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TIMES-DE_UdenRES/"/>
    </mc:Choice>
  </mc:AlternateContent>
  <xr:revisionPtr revIDLastSave="0" documentId="13_ncr:1_{D7EC1A90-7BED-D648-B5B8-41C5CB45B601}" xr6:coauthVersionLast="47" xr6:coauthVersionMax="47" xr10:uidLastSave="{00000000-0000-0000-0000-000000000000}"/>
  <bookViews>
    <workbookView xWindow="0" yWindow="460" windowWidth="25600" windowHeight="15540" tabRatio="862" firstSheet="2" activeTab="7" xr2:uid="{00000000-000D-0000-FFFF-FFFF00000000}"/>
  </bookViews>
  <sheets>
    <sheet name="LOG" sheetId="244" r:id="rId1"/>
    <sheet name="Intro" sheetId="246" r:id="rId2"/>
    <sheet name="Commodities" sheetId="216" r:id="rId3"/>
    <sheet name="Processes" sheetId="231" r:id="rId4"/>
    <sheet name="Appliances&amp;Cooking" sheetId="269" r:id="rId5"/>
    <sheet name="Cooling" sheetId="270" r:id="rId6"/>
    <sheet name="Boilers_DR" sheetId="260" r:id="rId7"/>
    <sheet name="Buildings_DR" sheetId="264" r:id="rId8"/>
    <sheet name="Dem" sheetId="221" r:id="rId9"/>
    <sheet name="RES_Fuel" sheetId="232" r:id="rId10"/>
    <sheet name="Emis" sheetId="242" r:id="rId11"/>
    <sheet name="Regional split" sheetId="268" r:id="rId12"/>
    <sheet name="Data manipulation" sheetId="267" r:id="rId13"/>
    <sheet name="Sources" sheetId="266" r:id="rId14"/>
    <sheet name="Energy balance" sheetId="265" r:id="rId15"/>
    <sheet name="Workflow" sheetId="259" r:id="rId16"/>
    <sheet name="Legend" sheetId="234" r:id="rId17"/>
    <sheet name="RES" sheetId="238"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8" hidden="1">Dem!$B$4:$U$4</definedName>
    <definedName name="_Order1" hidden="1">255</definedName>
    <definedName name="_Order2" hidden="1">255</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6">[3]Subsidy!#REF!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6">LOG!#REF!</definedName>
    <definedName name="FID_2" localSheetId="1">[7]LOG!#REF!</definedName>
    <definedName name="FID_2">LOG!#REF!</definedName>
    <definedName name="FID_2_" localSheetId="6">[8]LOG!#REF!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6">#REF!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6">[3]General!#REF!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6">[3]General!#REF!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6">#REF!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2">[11]AGR_Fuels!$A$2</definedName>
    <definedName name="x">[11]AGR_Fuels!$A$2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04" i="267" l="1"/>
  <c r="O128" i="267"/>
  <c r="O127" i="267"/>
  <c r="O125" i="267"/>
  <c r="O124" i="267"/>
  <c r="O123" i="267"/>
  <c r="O122" i="267"/>
  <c r="O121" i="267"/>
  <c r="O120" i="267"/>
  <c r="O119" i="267"/>
  <c r="O118" i="267"/>
  <c r="O117" i="267"/>
  <c r="O116" i="267"/>
  <c r="O115" i="267"/>
  <c r="O114" i="267"/>
  <c r="O113" i="267"/>
  <c r="O112" i="267"/>
  <c r="O111" i="267"/>
  <c r="O106" i="267"/>
  <c r="O105" i="267"/>
  <c r="O103" i="267"/>
  <c r="O102" i="267"/>
  <c r="O101" i="267"/>
  <c r="O100" i="267"/>
  <c r="O99" i="267"/>
  <c r="O98" i="267"/>
  <c r="O97" i="267"/>
  <c r="O96" i="267"/>
  <c r="O95" i="267"/>
  <c r="O94" i="267"/>
  <c r="O93" i="267"/>
  <c r="O92" i="267"/>
  <c r="O91" i="267"/>
  <c r="O90" i="267"/>
  <c r="O89" i="267"/>
  <c r="O84" i="267"/>
  <c r="O83" i="267"/>
  <c r="O81" i="267"/>
  <c r="O79" i="267"/>
  <c r="O78" i="267"/>
  <c r="O77" i="267"/>
  <c r="O76" i="267"/>
  <c r="O75" i="267"/>
  <c r="O74" i="267"/>
  <c r="O73" i="267"/>
  <c r="O72" i="267"/>
  <c r="O71" i="267"/>
  <c r="O69" i="267"/>
  <c r="O68" i="267"/>
  <c r="O67" i="267"/>
  <c r="O62" i="267"/>
  <c r="O61" i="267"/>
  <c r="O59" i="267"/>
  <c r="O57" i="267"/>
  <c r="O56" i="267"/>
  <c r="O55" i="267"/>
  <c r="O54" i="267"/>
  <c r="O53" i="267"/>
  <c r="O52" i="267"/>
  <c r="O51" i="267"/>
  <c r="O50" i="267"/>
  <c r="O49" i="267"/>
  <c r="O47" i="267"/>
  <c r="O46" i="267"/>
  <c r="O45" i="267"/>
  <c r="O40" i="267"/>
  <c r="O39" i="267"/>
  <c r="O38" i="267"/>
  <c r="O37" i="267"/>
  <c r="O36" i="267"/>
  <c r="O35" i="267"/>
  <c r="O34" i="267"/>
  <c r="O33" i="267"/>
  <c r="O32" i="267"/>
  <c r="O31" i="267"/>
  <c r="O30" i="267"/>
  <c r="O29" i="267"/>
  <c r="O28" i="267"/>
  <c r="O27" i="267"/>
  <c r="O26" i="267"/>
  <c r="O25" i="267"/>
  <c r="O24" i="267"/>
  <c r="O23"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O41" i="267" l="1"/>
  <c r="H166" i="260"/>
  <c r="H22" i="270"/>
  <c r="H21" i="270"/>
  <c r="H20" i="270"/>
  <c r="H19" i="270"/>
  <c r="O18" i="270"/>
  <c r="O17" i="270"/>
  <c r="O16" i="270"/>
  <c r="O15" i="270"/>
  <c r="AB51" i="264"/>
  <c r="AA51" i="264"/>
  <c r="Z51" i="264"/>
  <c r="Y51" i="264"/>
  <c r="X51" i="264"/>
  <c r="W51" i="264"/>
  <c r="P51" i="264"/>
  <c r="O51" i="264"/>
  <c r="N51" i="264"/>
  <c r="D12" i="221"/>
  <c r="D11" i="221"/>
  <c r="D10" i="221"/>
  <c r="D9" i="221"/>
  <c r="B36" i="221"/>
  <c r="B33" i="221"/>
  <c r="B30" i="221"/>
  <c r="M40" i="269"/>
  <c r="L40" i="269"/>
  <c r="K40" i="269"/>
  <c r="J40" i="269"/>
  <c r="M39" i="269"/>
  <c r="L39" i="269"/>
  <c r="K39" i="269"/>
  <c r="J39" i="269"/>
  <c r="M10" i="269"/>
  <c r="L10" i="269"/>
  <c r="K10" i="269"/>
  <c r="J10" i="269"/>
  <c r="M9" i="269"/>
  <c r="L9" i="269"/>
  <c r="K9" i="269"/>
  <c r="J9" i="269"/>
  <c r="L25" i="269"/>
  <c r="L27" i="269" s="1"/>
  <c r="L24" i="269"/>
  <c r="L26" i="269" s="1"/>
  <c r="K25" i="269"/>
  <c r="K27" i="269" s="1"/>
  <c r="K24" i="269"/>
  <c r="K26" i="269" s="1"/>
  <c r="J25" i="269"/>
  <c r="J24" i="269"/>
  <c r="J26" i="269" s="1"/>
  <c r="J27" i="269"/>
  <c r="M25" i="269"/>
  <c r="M24"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5" i="260" l="1"/>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44" i="269"/>
  <c r="F43" i="269"/>
  <c r="M44" i="269"/>
  <c r="M43" i="269"/>
  <c r="F29" i="269"/>
  <c r="F28" i="269"/>
  <c r="M29" i="269"/>
  <c r="M28" i="269"/>
  <c r="F14" i="269"/>
  <c r="F13" i="269"/>
  <c r="M14" i="269"/>
  <c r="M13"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G30" i="267"/>
  <c r="C31" i="216"/>
  <c r="D31" i="216"/>
  <c r="S52" i="264" l="1"/>
  <c r="V52" i="264" s="1"/>
  <c r="R52" i="264"/>
  <c r="U52" i="264" s="1"/>
  <c r="Q52" i="264"/>
  <c r="T52" i="264" s="1"/>
  <c r="S8" i="264"/>
  <c r="V8" i="264" s="1"/>
  <c r="S7" i="264"/>
  <c r="R8" i="264"/>
  <c r="U8" i="264" s="1"/>
  <c r="R7" i="264"/>
  <c r="Q8" i="264"/>
  <c r="T8" i="264" s="1"/>
  <c r="Q7" i="264"/>
  <c r="V35" i="260"/>
  <c r="V34" i="260"/>
  <c r="V29" i="260"/>
  <c r="V28" i="260"/>
  <c r="V27" i="260"/>
  <c r="V26" i="260"/>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B77" i="264"/>
  <c r="B76" i="264"/>
  <c r="B75" i="264"/>
  <c r="B74" i="264"/>
  <c r="B70" i="264"/>
  <c r="B69" i="264"/>
  <c r="B68" i="264"/>
  <c r="B67" i="264"/>
  <c r="B63" i="264"/>
  <c r="B62" i="264"/>
  <c r="B61" i="264"/>
  <c r="B60" i="264"/>
  <c r="B56" i="264"/>
  <c r="B55" i="264"/>
  <c r="B54" i="264"/>
  <c r="B53" i="264"/>
  <c r="C9" i="264"/>
  <c r="B33" i="264"/>
  <c r="B32" i="264"/>
  <c r="B31" i="264"/>
  <c r="B30" i="264"/>
  <c r="B26" i="264"/>
  <c r="B25" i="264"/>
  <c r="B24" i="264"/>
  <c r="B23" i="264"/>
  <c r="B19" i="264"/>
  <c r="B18" i="264"/>
  <c r="B17" i="264"/>
  <c r="B16" i="264"/>
  <c r="B12" i="264"/>
  <c r="B11" i="264"/>
  <c r="B13" i="260"/>
  <c r="B23" i="260"/>
  <c r="B33" i="260"/>
  <c r="B43" i="260"/>
  <c r="D62" i="231"/>
  <c r="D72" i="231"/>
  <c r="D82" i="231"/>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P82" i="231"/>
  <c r="P72" i="231"/>
  <c r="D52" i="231"/>
  <c r="D11" i="231"/>
  <c r="D12" i="231"/>
  <c r="D13" i="231"/>
  <c r="D14" i="231"/>
  <c r="D15" i="231"/>
  <c r="D16" i="231"/>
  <c r="D17" i="231"/>
  <c r="D18" i="231"/>
  <c r="D19" i="231"/>
  <c r="D20" i="231"/>
  <c r="D21" i="231"/>
  <c r="D22" i="231"/>
  <c r="D23" i="231"/>
  <c r="D24" i="231"/>
  <c r="D25" i="231"/>
  <c r="D26" i="231"/>
  <c r="D27" i="231"/>
  <c r="D28" i="231"/>
  <c r="D29" i="231"/>
  <c r="D30" i="231"/>
  <c r="D31" i="231"/>
  <c r="D32" i="231"/>
  <c r="D33" i="231"/>
  <c r="D34" i="231"/>
  <c r="D35" i="231"/>
  <c r="D36" i="231"/>
  <c r="D37" i="231"/>
  <c r="D38" i="231"/>
  <c r="P52" i="231"/>
  <c r="P62" i="231"/>
  <c r="D10" i="231"/>
  <c r="D8" i="231"/>
  <c r="B10" i="264" s="1"/>
  <c r="D9" i="231"/>
  <c r="D7" i="231"/>
  <c r="B9" i="264" s="1"/>
  <c r="D55" i="216"/>
  <c r="D56" i="216"/>
  <c r="D57" i="216"/>
  <c r="D58" i="216"/>
  <c r="D59" i="216"/>
  <c r="D60" i="216"/>
  <c r="D61" i="216"/>
  <c r="D62" i="216"/>
  <c r="D63" i="216"/>
  <c r="D64" i="216"/>
  <c r="D65" i="216"/>
  <c r="D66" i="216"/>
  <c r="D67" i="216"/>
  <c r="D68" i="216"/>
  <c r="D69" i="216"/>
  <c r="D70" i="216"/>
  <c r="D71" i="216"/>
  <c r="D72" i="216"/>
  <c r="D73" i="216"/>
  <c r="D74" i="216"/>
  <c r="D75" i="216"/>
  <c r="D76" i="216"/>
  <c r="D77" i="216"/>
  <c r="D78" i="216"/>
  <c r="D35" i="216"/>
  <c r="D36" i="216"/>
  <c r="D37" i="216"/>
  <c r="D38" i="216"/>
  <c r="D39" i="216"/>
  <c r="D44" i="216"/>
  <c r="D45" i="216"/>
  <c r="D46" i="216"/>
  <c r="D47" i="216"/>
  <c r="D48" i="216"/>
  <c r="D49" i="216"/>
  <c r="D50" i="216"/>
  <c r="D51" i="216"/>
  <c r="D52" i="216"/>
  <c r="D53" i="216"/>
  <c r="D54" i="216"/>
  <c r="D18" i="216"/>
  <c r="E89" i="231" s="1"/>
  <c r="D19" i="216"/>
  <c r="D20" i="216"/>
  <c r="D21" i="216"/>
  <c r="D22" i="216"/>
  <c r="D23" i="216"/>
  <c r="D24" i="216"/>
  <c r="D25" i="216"/>
  <c r="D26" i="216"/>
  <c r="D27" i="216"/>
  <c r="D28" i="216"/>
  <c r="D29" i="216"/>
  <c r="D30" i="216"/>
  <c r="D32" i="216"/>
  <c r="D33" i="216"/>
  <c r="D34" i="216"/>
  <c r="D17" i="216"/>
  <c r="D16" i="216"/>
  <c r="D15" i="216"/>
  <c r="D14" i="216"/>
  <c r="D13" i="216"/>
  <c r="D12" i="216"/>
  <c r="D11" i="216"/>
  <c r="D10" i="216"/>
  <c r="D9" i="216"/>
  <c r="D8" i="216"/>
  <c r="D7" i="216"/>
  <c r="C61" i="216"/>
  <c r="C56" i="216"/>
  <c r="C57" i="216"/>
  <c r="C58" i="216"/>
  <c r="C59" i="216"/>
  <c r="C60" i="216"/>
  <c r="C62" i="216"/>
  <c r="C63" i="216"/>
  <c r="C64" i="216"/>
  <c r="C65" i="216"/>
  <c r="C66" i="216"/>
  <c r="C67" i="216"/>
  <c r="C68" i="216"/>
  <c r="C69" i="216"/>
  <c r="C70" i="216"/>
  <c r="C71" i="216"/>
  <c r="C72" i="216"/>
  <c r="C73" i="216"/>
  <c r="C74" i="216"/>
  <c r="C75" i="216"/>
  <c r="C76" i="216"/>
  <c r="C77" i="216"/>
  <c r="C78" i="216"/>
  <c r="C55" i="216"/>
  <c r="C54" i="216"/>
  <c r="D77" i="264" s="1"/>
  <c r="C53" i="216"/>
  <c r="D70" i="264" s="1"/>
  <c r="C52" i="216"/>
  <c r="G8" i="270" s="1"/>
  <c r="C51" i="216"/>
  <c r="D56" i="264" s="1"/>
  <c r="C50" i="216"/>
  <c r="C49" i="216"/>
  <c r="C48" i="216"/>
  <c r="D19" i="264" s="1"/>
  <c r="C47" i="216"/>
  <c r="D12" i="264" s="1"/>
  <c r="C46" i="216"/>
  <c r="C45" i="216"/>
  <c r="C44" i="216"/>
  <c r="C43" i="216"/>
  <c r="C42" i="216"/>
  <c r="G43" i="260" s="1"/>
  <c r="C41" i="216"/>
  <c r="G33" i="260" s="1"/>
  <c r="C40" i="216"/>
  <c r="G21" i="260" s="1"/>
  <c r="C39" i="216"/>
  <c r="C38" i="216"/>
  <c r="C37" i="216"/>
  <c r="C36" i="216"/>
  <c r="C35" i="216"/>
  <c r="C34" i="216"/>
  <c r="D104" i="231" s="1"/>
  <c r="C33" i="216"/>
  <c r="D103" i="231" s="1"/>
  <c r="C32" i="216"/>
  <c r="C30" i="216"/>
  <c r="C29" i="216"/>
  <c r="S88" i="231" s="1"/>
  <c r="C28" i="216"/>
  <c r="F10" i="270" s="1"/>
  <c r="F14" i="270" s="1"/>
  <c r="C27" i="216"/>
  <c r="F33" i="260" s="1"/>
  <c r="F73" i="260" s="1"/>
  <c r="F113" i="260" s="1"/>
  <c r="C26" i="216"/>
  <c r="F41" i="260" s="1"/>
  <c r="F81" i="260" s="1"/>
  <c r="F121" i="260" s="1"/>
  <c r="C25" i="216"/>
  <c r="C24" i="216"/>
  <c r="F40" i="260" s="1"/>
  <c r="F80" i="260" s="1"/>
  <c r="F120" i="260" s="1"/>
  <c r="C23" i="216"/>
  <c r="F39" i="260" s="1"/>
  <c r="F79" i="260" s="1"/>
  <c r="F119" i="260" s="1"/>
  <c r="C22" i="216"/>
  <c r="F28" i="260" s="1"/>
  <c r="F68" i="260" s="1"/>
  <c r="F108" i="260" s="1"/>
  <c r="C21" i="216"/>
  <c r="D92" i="231" s="1"/>
  <c r="C20" i="216"/>
  <c r="S76" i="231" s="1"/>
  <c r="P76" i="231" s="1"/>
  <c r="D76" i="231" s="1"/>
  <c r="B37" i="260" s="1"/>
  <c r="C19" i="216"/>
  <c r="F35" i="260" s="1"/>
  <c r="F45" i="260" s="1"/>
  <c r="F85" i="260" s="1"/>
  <c r="F125" i="260" s="1"/>
  <c r="C18" i="216"/>
  <c r="D89" i="231" s="1"/>
  <c r="C17" i="216"/>
  <c r="C16" i="216"/>
  <c r="C15" i="216"/>
  <c r="C14" i="216"/>
  <c r="C13" i="216"/>
  <c r="C12" i="216"/>
  <c r="C11" i="216"/>
  <c r="C10" i="216"/>
  <c r="C9" i="216"/>
  <c r="C8" i="216"/>
  <c r="C7" i="216"/>
  <c r="E9" i="264" s="1"/>
  <c r="C26" i="267"/>
  <c r="C23" i="267"/>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F5" i="267"/>
  <c r="AE5" i="267"/>
  <c r="AD5" i="267"/>
  <c r="AC5" i="267"/>
  <c r="AB5" i="267"/>
  <c r="AA5" i="267"/>
  <c r="Z5" i="267"/>
  <c r="Y5" i="267"/>
  <c r="X5" i="267"/>
  <c r="W5" i="267"/>
  <c r="D205" i="260" l="1"/>
  <c r="D165" i="260"/>
  <c r="D177" i="260"/>
  <c r="D137" i="260"/>
  <c r="F205" i="260"/>
  <c r="F165" i="260"/>
  <c r="D204" i="260"/>
  <c r="D164" i="260"/>
  <c r="D190" i="260"/>
  <c r="D150" i="260"/>
  <c r="D176" i="260"/>
  <c r="D136" i="260"/>
  <c r="F188" i="260"/>
  <c r="F148" i="260"/>
  <c r="D203" i="260"/>
  <c r="D163" i="260"/>
  <c r="D189" i="260"/>
  <c r="D149" i="260"/>
  <c r="D175" i="260"/>
  <c r="D135" i="260"/>
  <c r="F199" i="260"/>
  <c r="F159" i="260"/>
  <c r="E202" i="260"/>
  <c r="E162" i="260"/>
  <c r="F200" i="260"/>
  <c r="F160" i="260"/>
  <c r="D202" i="260"/>
  <c r="D162" i="260"/>
  <c r="D188" i="260"/>
  <c r="D148" i="260"/>
  <c r="D174" i="260"/>
  <c r="D134" i="260"/>
  <c r="F201" i="260"/>
  <c r="F161" i="260"/>
  <c r="D187" i="260"/>
  <c r="D147" i="260"/>
  <c r="D173" i="260"/>
  <c r="D133" i="260"/>
  <c r="F19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02" i="231"/>
  <c r="F44" i="260"/>
  <c r="F84" i="260" s="1"/>
  <c r="F124" i="260" s="1"/>
  <c r="F24" i="260"/>
  <c r="D11" i="264"/>
  <c r="D42" i="216" s="1"/>
  <c r="D9" i="264"/>
  <c r="D40" i="216" s="1"/>
  <c r="D10" i="264"/>
  <c r="D41" i="216" s="1"/>
  <c r="D18" i="264"/>
  <c r="D17" i="264"/>
  <c r="D16" i="264"/>
  <c r="D43"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1" i="231"/>
  <c r="P51" i="231" s="1"/>
  <c r="S39" i="231"/>
  <c r="P39" i="231" s="1"/>
  <c r="D39" i="231" s="1"/>
  <c r="B7" i="269" s="1"/>
  <c r="B9" i="269" s="1"/>
  <c r="S71" i="231"/>
  <c r="P71" i="231" s="1"/>
  <c r="D71" i="231" s="1"/>
  <c r="B32" i="260" s="1"/>
  <c r="S79" i="231"/>
  <c r="P79" i="231" s="1"/>
  <c r="D79" i="231" s="1"/>
  <c r="B40" i="260" s="1"/>
  <c r="S78" i="231"/>
  <c r="T78" i="231" s="1"/>
  <c r="E78" i="231" s="1"/>
  <c r="C39" i="260" s="1"/>
  <c r="C79" i="260" s="1"/>
  <c r="C119" i="260" s="1"/>
  <c r="S53" i="231"/>
  <c r="P53" i="231" s="1"/>
  <c r="D53" i="231" s="1"/>
  <c r="B14" i="260" s="1"/>
  <c r="T52" i="231"/>
  <c r="E52" i="231" s="1"/>
  <c r="C13" i="260" s="1"/>
  <c r="T88" i="231"/>
  <c r="E88" i="231" s="1"/>
  <c r="C10" i="270" s="1"/>
  <c r="C14" i="270" s="1"/>
  <c r="D95" i="231"/>
  <c r="S56" i="231"/>
  <c r="T56" i="231" s="1"/>
  <c r="E56" i="231" s="1"/>
  <c r="C17" i="260" s="1"/>
  <c r="S57" i="231"/>
  <c r="T57" i="231" s="1"/>
  <c r="E57" i="231" s="1"/>
  <c r="C18" i="260" s="1"/>
  <c r="G22" i="260"/>
  <c r="G31" i="260"/>
  <c r="G71" i="260" s="1"/>
  <c r="G111" i="260" s="1"/>
  <c r="D101" i="231"/>
  <c r="G23" i="260"/>
  <c r="S54" i="231"/>
  <c r="P54" i="231" s="1"/>
  <c r="D54" i="231" s="1"/>
  <c r="B15" i="260" s="1"/>
  <c r="S80" i="231"/>
  <c r="P80" i="231" s="1"/>
  <c r="D80" i="231" s="1"/>
  <c r="B41" i="260" s="1"/>
  <c r="D100" i="231"/>
  <c r="G26" i="260"/>
  <c r="G66" i="260" s="1"/>
  <c r="G106" i="260" s="1"/>
  <c r="S46" i="231"/>
  <c r="T46" i="231" s="1"/>
  <c r="E46" i="231" s="1"/>
  <c r="C7" i="260" s="1"/>
  <c r="S81" i="231"/>
  <c r="P81" i="231" s="1"/>
  <c r="D81" i="231" s="1"/>
  <c r="B42" i="260" s="1"/>
  <c r="D99" i="231"/>
  <c r="G27" i="260"/>
  <c r="G67" i="260" s="1"/>
  <c r="G107" i="260" s="1"/>
  <c r="D98" i="231"/>
  <c r="G28" i="260"/>
  <c r="G68" i="260" s="1"/>
  <c r="G108" i="260" s="1"/>
  <c r="S83" i="231"/>
  <c r="P83" i="231" s="1"/>
  <c r="D83" i="231" s="1"/>
  <c r="B44" i="260" s="1"/>
  <c r="D97" i="231"/>
  <c r="G29" i="260"/>
  <c r="G69" i="260" s="1"/>
  <c r="G109" i="260" s="1"/>
  <c r="S84" i="231"/>
  <c r="P84" i="231" s="1"/>
  <c r="D84" i="231" s="1"/>
  <c r="B45" i="260" s="1"/>
  <c r="D96" i="231"/>
  <c r="G30" i="260"/>
  <c r="G70" i="260" s="1"/>
  <c r="G110" i="260" s="1"/>
  <c r="S40" i="231"/>
  <c r="P40" i="231" s="1"/>
  <c r="D40" i="231" s="1"/>
  <c r="B8" i="269" s="1"/>
  <c r="B10" i="269" s="1"/>
  <c r="T82" i="231"/>
  <c r="E82" i="231" s="1"/>
  <c r="C43" i="260" s="1"/>
  <c r="C83" i="260" s="1"/>
  <c r="C123" i="260" s="1"/>
  <c r="D94" i="231"/>
  <c r="G32" i="260"/>
  <c r="G72" i="260" s="1"/>
  <c r="G112" i="260" s="1"/>
  <c r="S41" i="231"/>
  <c r="T41" i="231" s="1"/>
  <c r="E41" i="231" s="1"/>
  <c r="C22" i="269" s="1"/>
  <c r="C24" i="269" s="1"/>
  <c r="C26" i="269" s="1"/>
  <c r="D93" i="231"/>
  <c r="S42" i="231"/>
  <c r="P42" i="231" s="1"/>
  <c r="D42" i="231" s="1"/>
  <c r="B23" i="269" s="1"/>
  <c r="B25" i="269" s="1"/>
  <c r="B27" i="269" s="1"/>
  <c r="T72" i="231"/>
  <c r="E72" i="231" s="1"/>
  <c r="C33" i="260" s="1"/>
  <c r="C73" i="260" s="1"/>
  <c r="C113" i="260" s="1"/>
  <c r="G34" i="260"/>
  <c r="G74" i="260" s="1"/>
  <c r="G114" i="260" s="1"/>
  <c r="S43" i="231"/>
  <c r="T43" i="231" s="1"/>
  <c r="E43" i="231" s="1"/>
  <c r="C37" i="269" s="1"/>
  <c r="C39" i="269" s="1"/>
  <c r="T62" i="231"/>
  <c r="E62" i="231" s="1"/>
  <c r="C23" i="260" s="1"/>
  <c r="D91" i="231"/>
  <c r="G36" i="260"/>
  <c r="G76" i="260" s="1"/>
  <c r="G116" i="260" s="1"/>
  <c r="S44" i="231"/>
  <c r="P44" i="231" s="1"/>
  <c r="D44" i="231" s="1"/>
  <c r="B38" i="269" s="1"/>
  <c r="B40" i="269" s="1"/>
  <c r="D90" i="231"/>
  <c r="G37" i="260"/>
  <c r="G77" i="260" s="1"/>
  <c r="G117" i="260" s="1"/>
  <c r="G38" i="260"/>
  <c r="G78" i="260" s="1"/>
  <c r="G118" i="260" s="1"/>
  <c r="G39" i="260"/>
  <c r="G79" i="260" s="1"/>
  <c r="G119" i="260" s="1"/>
  <c r="S66" i="231"/>
  <c r="T66" i="231" s="1"/>
  <c r="E66" i="231" s="1"/>
  <c r="C27" i="260" s="1"/>
  <c r="C67" i="260" s="1"/>
  <c r="C107" i="260" s="1"/>
  <c r="G40" i="260"/>
  <c r="G80" i="260" s="1"/>
  <c r="G120" i="260" s="1"/>
  <c r="S67" i="231"/>
  <c r="P67" i="231" s="1"/>
  <c r="D67" i="231" s="1"/>
  <c r="B28" i="260" s="1"/>
  <c r="G41" i="260"/>
  <c r="G81" i="260" s="1"/>
  <c r="G121" i="260" s="1"/>
  <c r="S68" i="231"/>
  <c r="P68" i="231" s="1"/>
  <c r="D68" i="231" s="1"/>
  <c r="B29" i="260" s="1"/>
  <c r="G42" i="260"/>
  <c r="G82" i="260" s="1"/>
  <c r="G122" i="260" s="1"/>
  <c r="S65" i="231"/>
  <c r="T65" i="231" s="1"/>
  <c r="E65" i="231" s="1"/>
  <c r="C26" i="260" s="1"/>
  <c r="C66" i="260" s="1"/>
  <c r="C106" i="260" s="1"/>
  <c r="G45" i="260"/>
  <c r="G85" i="260" s="1"/>
  <c r="G125" i="260" s="1"/>
  <c r="S45" i="231"/>
  <c r="T45" i="231" s="1"/>
  <c r="E45" i="231" s="1"/>
  <c r="C6" i="260" s="1"/>
  <c r="S69" i="231"/>
  <c r="P69" i="231" s="1"/>
  <c r="D69" i="231" s="1"/>
  <c r="B30" i="260" s="1"/>
  <c r="S85" i="231"/>
  <c r="T85" i="231" s="1"/>
  <c r="E85" i="231" s="1"/>
  <c r="C7" i="270" s="1"/>
  <c r="S55" i="231"/>
  <c r="T55" i="231" s="1"/>
  <c r="E55" i="231" s="1"/>
  <c r="C16" i="260" s="1"/>
  <c r="S70" i="231"/>
  <c r="P70" i="231" s="1"/>
  <c r="D70" i="231" s="1"/>
  <c r="B31" i="260" s="1"/>
  <c r="S86" i="231"/>
  <c r="P86" i="231" s="1"/>
  <c r="D86" i="231" s="1"/>
  <c r="B8" i="270" s="1"/>
  <c r="G6" i="260"/>
  <c r="S87" i="231"/>
  <c r="T87" i="231" s="1"/>
  <c r="E87" i="231" s="1"/>
  <c r="C9" i="270" s="1"/>
  <c r="G24" i="260"/>
  <c r="G9" i="270"/>
  <c r="G13" i="270" s="1"/>
  <c r="S58" i="231"/>
  <c r="S73" i="231"/>
  <c r="P73" i="231" s="1"/>
  <c r="D73" i="231" s="1"/>
  <c r="B34" i="260" s="1"/>
  <c r="G16" i="260"/>
  <c r="G10" i="270"/>
  <c r="G14" i="270" s="1"/>
  <c r="S59" i="231"/>
  <c r="P59" i="231" s="1"/>
  <c r="D59" i="231" s="1"/>
  <c r="B20" i="260" s="1"/>
  <c r="S74" i="231"/>
  <c r="P74" i="231" s="1"/>
  <c r="D74" i="231" s="1"/>
  <c r="B35" i="260" s="1"/>
  <c r="G17" i="260"/>
  <c r="S47" i="231"/>
  <c r="P47" i="231" s="1"/>
  <c r="D47" i="231" s="1"/>
  <c r="B8" i="260" s="1"/>
  <c r="S60" i="231"/>
  <c r="P60" i="231" s="1"/>
  <c r="D60" i="231" s="1"/>
  <c r="B21" i="260" s="1"/>
  <c r="G18" i="260"/>
  <c r="S48" i="231"/>
  <c r="P48" i="231" s="1"/>
  <c r="D48" i="231" s="1"/>
  <c r="B9" i="260" s="1"/>
  <c r="S61" i="231"/>
  <c r="T61" i="231" s="1"/>
  <c r="E61" i="231" s="1"/>
  <c r="C22" i="260" s="1"/>
  <c r="S75" i="231"/>
  <c r="G19" i="260"/>
  <c r="S49" i="231"/>
  <c r="P49" i="231" s="1"/>
  <c r="D49" i="231" s="1"/>
  <c r="B10" i="260" s="1"/>
  <c r="S63" i="231"/>
  <c r="T63" i="231" s="1"/>
  <c r="E63" i="231" s="1"/>
  <c r="C24" i="260" s="1"/>
  <c r="G20" i="260"/>
  <c r="S50" i="231"/>
  <c r="P50" i="231" s="1"/>
  <c r="D50" i="231" s="1"/>
  <c r="B11" i="260" s="1"/>
  <c r="S64" i="231"/>
  <c r="T64" i="231" s="1"/>
  <c r="E64" i="231" s="1"/>
  <c r="C25" i="260" s="1"/>
  <c r="S77" i="231"/>
  <c r="P77" i="231" s="1"/>
  <c r="D77" i="231" s="1"/>
  <c r="B38" i="260" s="1"/>
  <c r="P88" i="231"/>
  <c r="D88" i="231" s="1"/>
  <c r="B10" i="270" s="1"/>
  <c r="T76" i="231"/>
  <c r="E76" i="231" s="1"/>
  <c r="C37" i="260" s="1"/>
  <c r="C77" i="260" s="1"/>
  <c r="C117" i="260" s="1"/>
  <c r="D51" i="231"/>
  <c r="B12"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G200" i="260" l="1"/>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1" i="231"/>
  <c r="E51" i="231" s="1"/>
  <c r="T80" i="231"/>
  <c r="E80" i="231" s="1"/>
  <c r="C41" i="260" s="1"/>
  <c r="C81" i="260" s="1"/>
  <c r="C121" i="260" s="1"/>
  <c r="P56" i="231"/>
  <c r="D56" i="231" s="1"/>
  <c r="B17" i="260" s="1"/>
  <c r="T83" i="231"/>
  <c r="E83" i="231" s="1"/>
  <c r="C44" i="260" s="1"/>
  <c r="C84" i="260" s="1"/>
  <c r="C124" i="260" s="1"/>
  <c r="P87" i="231"/>
  <c r="D87" i="231" s="1"/>
  <c r="B9" i="270" s="1"/>
  <c r="T44" i="231"/>
  <c r="E44" i="231" s="1"/>
  <c r="C38" i="269" s="1"/>
  <c r="P57" i="231"/>
  <c r="D57" i="231" s="1"/>
  <c r="B18" i="260" s="1"/>
  <c r="T71" i="231"/>
  <c r="E71" i="231" s="1"/>
  <c r="C32" i="260" s="1"/>
  <c r="C72" i="260" s="1"/>
  <c r="C112" i="260" s="1"/>
  <c r="T39" i="231"/>
  <c r="E39" i="231" s="1"/>
  <c r="C7" i="269" s="1"/>
  <c r="T79" i="231"/>
  <c r="E79" i="231" s="1"/>
  <c r="C40" i="260" s="1"/>
  <c r="C80" i="260" s="1"/>
  <c r="C120" i="260" s="1"/>
  <c r="P78" i="231"/>
  <c r="D78" i="231" s="1"/>
  <c r="B39" i="260" s="1"/>
  <c r="T53" i="231"/>
  <c r="E53" i="231" s="1"/>
  <c r="C14" i="260" s="1"/>
  <c r="T60" i="231"/>
  <c r="E60" i="231" s="1"/>
  <c r="C21" i="260" s="1"/>
  <c r="T70" i="231"/>
  <c r="E70" i="231" s="1"/>
  <c r="C31" i="260" s="1"/>
  <c r="C71" i="260" s="1"/>
  <c r="C111" i="260" s="1"/>
  <c r="T84" i="231"/>
  <c r="E84" i="231" s="1"/>
  <c r="C45" i="260" s="1"/>
  <c r="C85" i="260" s="1"/>
  <c r="C125" i="260" s="1"/>
  <c r="P66" i="231"/>
  <c r="D66" i="231" s="1"/>
  <c r="B27" i="260" s="1"/>
  <c r="P55" i="231"/>
  <c r="D55" i="231" s="1"/>
  <c r="B16" i="260" s="1"/>
  <c r="P64" i="231"/>
  <c r="D64" i="231" s="1"/>
  <c r="B25" i="260" s="1"/>
  <c r="P85" i="231"/>
  <c r="D85" i="231" s="1"/>
  <c r="B7" i="270" s="1"/>
  <c r="T77" i="231"/>
  <c r="E77" i="231" s="1"/>
  <c r="C38" i="260" s="1"/>
  <c r="C78" i="260" s="1"/>
  <c r="C118" i="260" s="1"/>
  <c r="T54" i="231"/>
  <c r="E54" i="231" s="1"/>
  <c r="C15" i="260" s="1"/>
  <c r="T49" i="231"/>
  <c r="E49" i="231" s="1"/>
  <c r="C10" i="260" s="1"/>
  <c r="T47" i="231"/>
  <c r="E47" i="231" s="1"/>
  <c r="C8" i="260" s="1"/>
  <c r="P45" i="231"/>
  <c r="D45" i="231" s="1"/>
  <c r="P46" i="231"/>
  <c r="D46" i="231" s="1"/>
  <c r="B7" i="260" s="1"/>
  <c r="T59" i="231"/>
  <c r="E59" i="231" s="1"/>
  <c r="C20" i="260" s="1"/>
  <c r="T67" i="231"/>
  <c r="E67" i="231" s="1"/>
  <c r="C28" i="260" s="1"/>
  <c r="C68" i="260" s="1"/>
  <c r="C108" i="260" s="1"/>
  <c r="T74" i="231"/>
  <c r="E74" i="231" s="1"/>
  <c r="C35" i="260" s="1"/>
  <c r="C75" i="260" s="1"/>
  <c r="C115" i="260" s="1"/>
  <c r="T81" i="231"/>
  <c r="E81" i="231" s="1"/>
  <c r="C42" i="260" s="1"/>
  <c r="C82" i="260" s="1"/>
  <c r="C122" i="260" s="1"/>
  <c r="T69" i="231"/>
  <c r="E69" i="231" s="1"/>
  <c r="C30" i="260" s="1"/>
  <c r="C70" i="260" s="1"/>
  <c r="C110" i="260" s="1"/>
  <c r="T42" i="231"/>
  <c r="E42" i="231" s="1"/>
  <c r="C23" i="269" s="1"/>
  <c r="P43" i="231"/>
  <c r="D43" i="231" s="1"/>
  <c r="B37" i="269" s="1"/>
  <c r="T50" i="231"/>
  <c r="E50" i="231" s="1"/>
  <c r="C11" i="260" s="1"/>
  <c r="T40" i="231"/>
  <c r="E40" i="231" s="1"/>
  <c r="C8" i="269" s="1"/>
  <c r="P65" i="231"/>
  <c r="D65" i="231" s="1"/>
  <c r="B26" i="260" s="1"/>
  <c r="T68" i="231"/>
  <c r="E68" i="231" s="1"/>
  <c r="C29" i="260" s="1"/>
  <c r="C69" i="260" s="1"/>
  <c r="C109" i="260" s="1"/>
  <c r="T48" i="231"/>
  <c r="E48" i="231" s="1"/>
  <c r="C9" i="260" s="1"/>
  <c r="P41" i="231"/>
  <c r="D41" i="231" s="1"/>
  <c r="B22" i="269" s="1"/>
  <c r="P75" i="231"/>
  <c r="D75" i="231" s="1"/>
  <c r="B36" i="260" s="1"/>
  <c r="T75" i="231"/>
  <c r="E75" i="231" s="1"/>
  <c r="C36" i="260" s="1"/>
  <c r="C76" i="260" s="1"/>
  <c r="C116" i="260" s="1"/>
  <c r="T58" i="231"/>
  <c r="E58" i="231" s="1"/>
  <c r="C19" i="260" s="1"/>
  <c r="P58" i="231"/>
  <c r="D58" i="231" s="1"/>
  <c r="B19" i="260" s="1"/>
  <c r="T73" i="231"/>
  <c r="E73" i="231" s="1"/>
  <c r="C34" i="260" s="1"/>
  <c r="C74" i="260" s="1"/>
  <c r="C114" i="260" s="1"/>
  <c r="P61" i="231"/>
  <c r="D61" i="231" s="1"/>
  <c r="B22" i="260" s="1"/>
  <c r="P63" i="231"/>
  <c r="D63" i="231" s="1"/>
  <c r="B24" i="260" s="1"/>
  <c r="T86" i="231"/>
  <c r="E86" i="231" s="1"/>
  <c r="C8" i="270" s="1"/>
  <c r="C12" i="260"/>
  <c r="C13" i="270"/>
  <c r="G35" i="260"/>
  <c r="G75" i="260" s="1"/>
  <c r="G115" i="260" s="1"/>
  <c r="B11" i="242"/>
  <c r="D9" i="242"/>
  <c r="F9" i="242"/>
  <c r="E9" i="242"/>
  <c r="C9" i="242"/>
  <c r="B35" i="221"/>
  <c r="B37" i="221" s="1"/>
  <c r="B32" i="221"/>
  <c r="B34" i="221" s="1"/>
  <c r="B29" i="221"/>
  <c r="B31" i="221" s="1"/>
  <c r="E38" i="269"/>
  <c r="E37" i="269"/>
  <c r="E23" i="269"/>
  <c r="E22" i="269"/>
  <c r="E8" i="269"/>
  <c r="E7" i="269"/>
  <c r="R22" i="269"/>
  <c r="R24" i="269" s="1"/>
  <c r="M42" i="269"/>
  <c r="L42" i="269"/>
  <c r="L44" i="269" s="1"/>
  <c r="K42" i="269"/>
  <c r="K44" i="269" s="1"/>
  <c r="J42" i="269"/>
  <c r="J44" i="269" s="1"/>
  <c r="M41" i="269"/>
  <c r="L41" i="269"/>
  <c r="L43" i="269" s="1"/>
  <c r="K41" i="269"/>
  <c r="K43" i="269" s="1"/>
  <c r="J41" i="269"/>
  <c r="J43" i="269" s="1"/>
  <c r="M38" i="269"/>
  <c r="D38" i="269"/>
  <c r="B42" i="269"/>
  <c r="B44" i="269" s="1"/>
  <c r="R37" i="269"/>
  <c r="R39" i="269" s="1"/>
  <c r="M37" i="269"/>
  <c r="D37" i="269"/>
  <c r="C41" i="269"/>
  <c r="C43" i="269" s="1"/>
  <c r="R7" i="269"/>
  <c r="R9" i="269" s="1"/>
  <c r="M27" i="269"/>
  <c r="L29" i="269"/>
  <c r="K29" i="269"/>
  <c r="J29" i="269"/>
  <c r="M26" i="269"/>
  <c r="L28" i="269"/>
  <c r="K28" i="269"/>
  <c r="J28" i="269"/>
  <c r="M23" i="269"/>
  <c r="D23" i="269"/>
  <c r="B29" i="269"/>
  <c r="M22" i="269"/>
  <c r="D22" i="269"/>
  <c r="C28" i="269"/>
  <c r="L12" i="269"/>
  <c r="L14" i="269" s="1"/>
  <c r="L11" i="269"/>
  <c r="L13" i="269" s="1"/>
  <c r="K12" i="269"/>
  <c r="K14" i="269" s="1"/>
  <c r="K11" i="269"/>
  <c r="K13" i="269" s="1"/>
  <c r="J12" i="269"/>
  <c r="J14" i="269" s="1"/>
  <c r="J11" i="269"/>
  <c r="J13" i="269" s="1"/>
  <c r="B11" i="269"/>
  <c r="B13" i="269" s="1"/>
  <c r="B12" i="269"/>
  <c r="B14" i="269" s="1"/>
  <c r="D7" i="269"/>
  <c r="E7" i="232"/>
  <c r="D7" i="232"/>
  <c r="E90" i="231"/>
  <c r="C7" i="232" s="1"/>
  <c r="D8" i="269"/>
  <c r="E9" i="232"/>
  <c r="D9" i="232"/>
  <c r="E92" i="231"/>
  <c r="C9" i="232" s="1"/>
  <c r="B9" i="232"/>
  <c r="M12" i="269"/>
  <c r="M11" i="269"/>
  <c r="M8" i="269"/>
  <c r="M7" i="269"/>
  <c r="C188" i="260" l="1"/>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41" i="269"/>
  <c r="D43" i="269" s="1"/>
  <c r="D39" i="269"/>
  <c r="D42" i="269"/>
  <c r="D44" i="269" s="1"/>
  <c r="D40" i="269"/>
  <c r="C42" i="269"/>
  <c r="C44" i="269" s="1"/>
  <c r="C40" i="269"/>
  <c r="B41" i="269"/>
  <c r="B43" i="269" s="1"/>
  <c r="B39" i="269"/>
  <c r="E41" i="269"/>
  <c r="E43" i="269" s="1"/>
  <c r="E39" i="269"/>
  <c r="E42" i="269"/>
  <c r="E44" i="269" s="1"/>
  <c r="E40" i="269"/>
  <c r="D12" i="269"/>
  <c r="D14" i="269" s="1"/>
  <c r="D10" i="269"/>
  <c r="D11" i="269"/>
  <c r="D13" i="269" s="1"/>
  <c r="D9" i="269"/>
  <c r="B24" i="269"/>
  <c r="B26" i="269" s="1"/>
  <c r="B28" i="269" s="1"/>
  <c r="C11" i="269"/>
  <c r="C13" i="269" s="1"/>
  <c r="C9" i="269"/>
  <c r="R26" i="269"/>
  <c r="E11" i="269"/>
  <c r="E13" i="269" s="1"/>
  <c r="E9" i="269"/>
  <c r="E24" i="269"/>
  <c r="E26" i="269" s="1"/>
  <c r="E28" i="269" s="1"/>
  <c r="C12" i="269"/>
  <c r="C14" i="269" s="1"/>
  <c r="C10" i="269"/>
  <c r="C25" i="269"/>
  <c r="C27" i="269" s="1"/>
  <c r="C29" i="269" s="1"/>
  <c r="D25" i="269"/>
  <c r="D27" i="269" s="1"/>
  <c r="D29" i="269" s="1"/>
  <c r="D24" i="269"/>
  <c r="D26" i="269" s="1"/>
  <c r="D28" i="269" s="1"/>
  <c r="E25" i="269"/>
  <c r="E27" i="269" s="1"/>
  <c r="E29" i="269" s="1"/>
  <c r="E12" i="269"/>
  <c r="E14" i="269" s="1"/>
  <c r="E10" i="269"/>
  <c r="R23" i="269"/>
  <c r="R25" i="269" s="1"/>
  <c r="B7" i="232"/>
  <c r="B14" i="270"/>
  <c r="R8" i="269"/>
  <c r="R10" i="269" s="1"/>
  <c r="R38" i="269"/>
  <c r="R40" i="269" s="1"/>
  <c r="B22" i="270" l="1"/>
  <c r="B18" i="270"/>
  <c r="R27" i="269"/>
  <c r="R11" i="269"/>
  <c r="R41" i="269"/>
  <c r="R12" i="269"/>
  <c r="R13" i="269" l="1"/>
  <c r="R28" i="269"/>
  <c r="R42" i="269"/>
  <c r="R43" i="269" s="1"/>
  <c r="R44" i="269" l="1"/>
  <c r="R29" i="269"/>
  <c r="R14" i="269"/>
  <c r="G12" i="270"/>
  <c r="G7" i="270"/>
  <c r="G11" i="270" s="1"/>
  <c r="E17" i="232"/>
  <c r="E16" i="232"/>
  <c r="E100" i="231"/>
  <c r="C17" i="232" s="1"/>
  <c r="B17" i="232"/>
  <c r="E99" i="231"/>
  <c r="C16" i="232" s="1"/>
  <c r="B16" i="232"/>
  <c r="F8" i="270"/>
  <c r="F12" i="270" s="1"/>
  <c r="F7" i="270"/>
  <c r="F11" i="270" s="1"/>
  <c r="B72" i="260"/>
  <c r="B112" i="260" s="1"/>
  <c r="C11" i="270"/>
  <c r="E74" i="264"/>
  <c r="E67" i="264"/>
  <c r="E60" i="264"/>
  <c r="E53" i="264"/>
  <c r="AK51" i="264"/>
  <c r="AJ51" i="264"/>
  <c r="AI51" i="264"/>
  <c r="J51" i="264"/>
  <c r="S51" i="264" s="1"/>
  <c r="I51" i="264"/>
  <c r="R51" i="264" s="1"/>
  <c r="H51" i="264"/>
  <c r="Q51" i="264" s="1"/>
  <c r="V12" i="260"/>
  <c r="V22" i="260" s="1"/>
  <c r="O12" i="270"/>
  <c r="O11" i="270"/>
  <c r="O8" i="270"/>
  <c r="C12" i="270"/>
  <c r="O7" i="270"/>
  <c r="D20" i="221"/>
  <c r="D19" i="221"/>
  <c r="D18" i="221"/>
  <c r="D17" i="221"/>
  <c r="B20" i="221"/>
  <c r="B24" i="221" s="1"/>
  <c r="B19" i="221"/>
  <c r="B18" i="221"/>
  <c r="B17" i="221"/>
  <c r="B21" i="221" s="1"/>
  <c r="C20" i="221"/>
  <c r="C19" i="221"/>
  <c r="C18" i="221"/>
  <c r="C17" i="221"/>
  <c r="D23" i="267"/>
  <c r="E23" i="267"/>
  <c r="F23" i="267"/>
  <c r="G23" i="267"/>
  <c r="H23" i="267"/>
  <c r="I23" i="267"/>
  <c r="J23" i="267"/>
  <c r="K23" i="267"/>
  <c r="L23" i="267"/>
  <c r="M23" i="267"/>
  <c r="N23" i="267"/>
  <c r="C24" i="267"/>
  <c r="D24" i="267"/>
  <c r="E24" i="267"/>
  <c r="F24" i="267"/>
  <c r="G24" i="267"/>
  <c r="H24" i="267"/>
  <c r="I24" i="267"/>
  <c r="J24" i="267"/>
  <c r="K24" i="267"/>
  <c r="L24" i="267"/>
  <c r="M24" i="267"/>
  <c r="N24" i="267"/>
  <c r="C25" i="267"/>
  <c r="D25" i="267"/>
  <c r="E25" i="267"/>
  <c r="F25" i="267"/>
  <c r="G25" i="267"/>
  <c r="H25" i="267"/>
  <c r="I25" i="267"/>
  <c r="J25" i="267"/>
  <c r="K25" i="267"/>
  <c r="L25" i="267"/>
  <c r="M25" i="267"/>
  <c r="N25" i="267"/>
  <c r="D26" i="267"/>
  <c r="E26" i="267"/>
  <c r="F26" i="267"/>
  <c r="G26" i="267"/>
  <c r="H26" i="267"/>
  <c r="I26" i="267"/>
  <c r="J26" i="267"/>
  <c r="K26" i="267"/>
  <c r="L26" i="267"/>
  <c r="M26" i="267"/>
  <c r="N26" i="267"/>
  <c r="C27" i="267"/>
  <c r="D27" i="267"/>
  <c r="E27" i="267"/>
  <c r="F27" i="267"/>
  <c r="G27" i="267"/>
  <c r="H27" i="267"/>
  <c r="I27" i="267"/>
  <c r="J27" i="267"/>
  <c r="K27" i="267"/>
  <c r="L27" i="267"/>
  <c r="M27" i="267"/>
  <c r="N27" i="267"/>
  <c r="C28" i="267"/>
  <c r="D28" i="267"/>
  <c r="E28" i="267"/>
  <c r="F28" i="267"/>
  <c r="G28" i="267"/>
  <c r="H28" i="267"/>
  <c r="I28" i="267"/>
  <c r="J28" i="267"/>
  <c r="K28" i="267"/>
  <c r="L28" i="267"/>
  <c r="M28" i="267"/>
  <c r="N28" i="267"/>
  <c r="C29" i="267"/>
  <c r="D29" i="267"/>
  <c r="E29" i="267"/>
  <c r="F29" i="267"/>
  <c r="G29" i="267"/>
  <c r="H29" i="267"/>
  <c r="I29" i="267"/>
  <c r="J29" i="267"/>
  <c r="K29" i="267"/>
  <c r="L29" i="267"/>
  <c r="M29" i="267"/>
  <c r="N29" i="267"/>
  <c r="C30" i="267"/>
  <c r="D30" i="267"/>
  <c r="E30" i="267"/>
  <c r="F30" i="267"/>
  <c r="H30" i="267"/>
  <c r="I30" i="267"/>
  <c r="J30" i="267"/>
  <c r="K30" i="267"/>
  <c r="L30" i="267"/>
  <c r="M30" i="267"/>
  <c r="N30" i="267"/>
  <c r="C31" i="267"/>
  <c r="D31" i="267"/>
  <c r="E31" i="267"/>
  <c r="F31" i="267"/>
  <c r="G31" i="267"/>
  <c r="H31" i="267"/>
  <c r="I31" i="267"/>
  <c r="J31" i="267"/>
  <c r="K31" i="267"/>
  <c r="L31" i="267"/>
  <c r="M31" i="267"/>
  <c r="N31" i="267"/>
  <c r="C32" i="267"/>
  <c r="D32" i="267"/>
  <c r="E32" i="267"/>
  <c r="F32" i="267"/>
  <c r="G32" i="267"/>
  <c r="H32" i="267"/>
  <c r="I32" i="267"/>
  <c r="J32" i="267"/>
  <c r="K32" i="267"/>
  <c r="L32" i="267"/>
  <c r="M32" i="267"/>
  <c r="N32" i="267"/>
  <c r="C33" i="267"/>
  <c r="D33" i="267"/>
  <c r="E33" i="267"/>
  <c r="F33" i="267"/>
  <c r="G33" i="267"/>
  <c r="H33" i="267"/>
  <c r="I33" i="267"/>
  <c r="J33" i="267"/>
  <c r="K33" i="267"/>
  <c r="L33" i="267"/>
  <c r="M33" i="267"/>
  <c r="N33" i="267"/>
  <c r="C34" i="267"/>
  <c r="D34" i="267"/>
  <c r="E34" i="267"/>
  <c r="F34" i="267"/>
  <c r="G34" i="267"/>
  <c r="H34" i="267"/>
  <c r="I34" i="267"/>
  <c r="J34" i="267"/>
  <c r="K34" i="267"/>
  <c r="L34" i="267"/>
  <c r="M34" i="267"/>
  <c r="N34" i="267"/>
  <c r="C35" i="267"/>
  <c r="D35" i="267"/>
  <c r="E35" i="267"/>
  <c r="F35" i="267"/>
  <c r="G35" i="267"/>
  <c r="H35" i="267"/>
  <c r="I35" i="267"/>
  <c r="J35" i="267"/>
  <c r="K35" i="267"/>
  <c r="L35" i="267"/>
  <c r="M35" i="267"/>
  <c r="N35" i="267"/>
  <c r="C36" i="267"/>
  <c r="D36" i="267"/>
  <c r="E36" i="267"/>
  <c r="F36" i="267"/>
  <c r="G36" i="267"/>
  <c r="H36" i="267"/>
  <c r="I36" i="267"/>
  <c r="J36" i="267"/>
  <c r="K36" i="267"/>
  <c r="L36" i="267"/>
  <c r="M36" i="267"/>
  <c r="N36" i="267"/>
  <c r="C37" i="267"/>
  <c r="D37" i="267"/>
  <c r="E37" i="267"/>
  <c r="F37" i="267"/>
  <c r="G37" i="267"/>
  <c r="H37" i="267"/>
  <c r="I37" i="267"/>
  <c r="J37" i="267"/>
  <c r="K37" i="267"/>
  <c r="L37" i="267"/>
  <c r="M37" i="267"/>
  <c r="N37" i="267"/>
  <c r="C38" i="267"/>
  <c r="D38" i="267"/>
  <c r="E38" i="267"/>
  <c r="F38" i="267"/>
  <c r="G38" i="267"/>
  <c r="H38" i="267"/>
  <c r="I38" i="267"/>
  <c r="J38" i="267"/>
  <c r="K38" i="267"/>
  <c r="L38" i="267"/>
  <c r="M38" i="267"/>
  <c r="N38" i="267"/>
  <c r="C39" i="267"/>
  <c r="D39" i="267"/>
  <c r="E39" i="267"/>
  <c r="F39" i="267"/>
  <c r="G39" i="267"/>
  <c r="H39" i="267"/>
  <c r="I39" i="267"/>
  <c r="J39" i="267"/>
  <c r="K39" i="267"/>
  <c r="L39" i="267"/>
  <c r="M39" i="267"/>
  <c r="N39" i="267"/>
  <c r="C40" i="267"/>
  <c r="D40" i="267"/>
  <c r="E40" i="267"/>
  <c r="F40" i="267"/>
  <c r="G40" i="267"/>
  <c r="H40" i="267"/>
  <c r="I40" i="267"/>
  <c r="J40" i="267"/>
  <c r="K40" i="267"/>
  <c r="L40" i="267"/>
  <c r="M40" i="267"/>
  <c r="N40" i="267"/>
  <c r="O65" i="260"/>
  <c r="O64" i="260"/>
  <c r="T64" i="260" s="1"/>
  <c r="O63" i="260"/>
  <c r="O62" i="260"/>
  <c r="O61" i="260"/>
  <c r="O60" i="260"/>
  <c r="O59" i="260"/>
  <c r="O58" i="260"/>
  <c r="O57" i="260"/>
  <c r="O56" i="260"/>
  <c r="O55" i="260"/>
  <c r="O54" i="260"/>
  <c r="O53" i="260"/>
  <c r="O52" i="260"/>
  <c r="O51" i="260"/>
  <c r="O50" i="260"/>
  <c r="O49" i="260"/>
  <c r="O48" i="260"/>
  <c r="O47" i="260"/>
  <c r="O46" i="260"/>
  <c r="V9" i="260"/>
  <c r="V14" i="260"/>
  <c r="V6" i="260"/>
  <c r="V8" i="260"/>
  <c r="V7" i="260"/>
  <c r="V15" i="260"/>
  <c r="L1" i="221"/>
  <c r="K1" i="221"/>
  <c r="J1" i="221"/>
  <c r="I1" i="221"/>
  <c r="H1" i="221"/>
  <c r="G1" i="221"/>
  <c r="F1" i="221"/>
  <c r="C22" i="266"/>
  <c r="C6" i="268" s="1"/>
  <c r="F6" i="268" s="1"/>
  <c r="E30" i="264"/>
  <c r="E23" i="264"/>
  <c r="E16" i="264"/>
  <c r="AD11" i="267"/>
  <c r="AE11" i="267"/>
  <c r="AF11" i="267"/>
  <c r="AD12" i="267"/>
  <c r="AE12" i="267"/>
  <c r="AF12" i="267"/>
  <c r="AD13" i="267"/>
  <c r="AE13" i="267"/>
  <c r="AF13" i="267"/>
  <c r="X11" i="267"/>
  <c r="W12" i="267"/>
  <c r="X12" i="267"/>
  <c r="N128" i="267"/>
  <c r="M128" i="267"/>
  <c r="L128" i="267"/>
  <c r="K128" i="267"/>
  <c r="J128" i="267"/>
  <c r="I128" i="267"/>
  <c r="H128" i="267"/>
  <c r="G128" i="267"/>
  <c r="F128" i="267"/>
  <c r="E128" i="267"/>
  <c r="D128" i="267"/>
  <c r="C128" i="267"/>
  <c r="N127" i="267"/>
  <c r="M127" i="267"/>
  <c r="L127" i="267"/>
  <c r="K127" i="267"/>
  <c r="J127" i="267"/>
  <c r="I127" i="267"/>
  <c r="H127" i="267"/>
  <c r="G127" i="267"/>
  <c r="F127" i="267"/>
  <c r="E127" i="267"/>
  <c r="D127" i="267"/>
  <c r="C127" i="267"/>
  <c r="N125" i="267"/>
  <c r="M125" i="267"/>
  <c r="L125" i="267"/>
  <c r="K125" i="267"/>
  <c r="J125" i="267"/>
  <c r="I125" i="267"/>
  <c r="H125" i="267"/>
  <c r="G125" i="267"/>
  <c r="F125" i="267"/>
  <c r="E125" i="267"/>
  <c r="D125" i="267"/>
  <c r="C125" i="267"/>
  <c r="N124" i="267"/>
  <c r="M124" i="267"/>
  <c r="L124" i="267"/>
  <c r="K124" i="267"/>
  <c r="J124" i="267"/>
  <c r="I124" i="267"/>
  <c r="H124" i="267"/>
  <c r="G124" i="267"/>
  <c r="F124" i="267"/>
  <c r="E124" i="267"/>
  <c r="D124" i="267"/>
  <c r="C124" i="267"/>
  <c r="N123" i="267"/>
  <c r="M123" i="267"/>
  <c r="L123" i="267"/>
  <c r="K123" i="267"/>
  <c r="J123" i="267"/>
  <c r="I123" i="267"/>
  <c r="H123" i="267"/>
  <c r="G123" i="267"/>
  <c r="F123" i="267"/>
  <c r="E123" i="267"/>
  <c r="D123" i="267"/>
  <c r="C123" i="267"/>
  <c r="N122" i="267"/>
  <c r="M122" i="267"/>
  <c r="L122" i="267"/>
  <c r="K122" i="267"/>
  <c r="J122" i="267"/>
  <c r="I122" i="267"/>
  <c r="H122" i="267"/>
  <c r="G122" i="267"/>
  <c r="F122" i="267"/>
  <c r="E122" i="267"/>
  <c r="D122" i="267"/>
  <c r="C122" i="267"/>
  <c r="N121" i="267"/>
  <c r="M121" i="267"/>
  <c r="L121" i="267"/>
  <c r="K121" i="267"/>
  <c r="J121" i="267"/>
  <c r="I121" i="267"/>
  <c r="H121" i="267"/>
  <c r="G121" i="267"/>
  <c r="F121" i="267"/>
  <c r="E121" i="267"/>
  <c r="D121" i="267"/>
  <c r="C121" i="267"/>
  <c r="N120" i="267"/>
  <c r="M120" i="267"/>
  <c r="L120" i="267"/>
  <c r="K120" i="267"/>
  <c r="J120" i="267"/>
  <c r="I120" i="267"/>
  <c r="H120" i="267"/>
  <c r="G120" i="267"/>
  <c r="F120" i="267"/>
  <c r="E120" i="267"/>
  <c r="D120" i="267"/>
  <c r="C120" i="267"/>
  <c r="N119" i="267"/>
  <c r="M119" i="267"/>
  <c r="L119" i="267"/>
  <c r="K119" i="267"/>
  <c r="J119" i="267"/>
  <c r="I119" i="267"/>
  <c r="H119" i="267"/>
  <c r="G119" i="267"/>
  <c r="F119" i="267"/>
  <c r="E119" i="267"/>
  <c r="D119" i="267"/>
  <c r="C119" i="267"/>
  <c r="N118" i="267"/>
  <c r="M118" i="267"/>
  <c r="L118" i="267"/>
  <c r="K118" i="267"/>
  <c r="J118" i="267"/>
  <c r="I118" i="267"/>
  <c r="H118" i="267"/>
  <c r="G118" i="267"/>
  <c r="F118" i="267"/>
  <c r="E118" i="267"/>
  <c r="D118" i="267"/>
  <c r="C118" i="267"/>
  <c r="N117" i="267"/>
  <c r="M117" i="267"/>
  <c r="L117" i="267"/>
  <c r="K117" i="267"/>
  <c r="J117" i="267"/>
  <c r="I117" i="267"/>
  <c r="H117" i="267"/>
  <c r="G117" i="267"/>
  <c r="F117" i="267"/>
  <c r="E117" i="267"/>
  <c r="D117" i="267"/>
  <c r="C117" i="267"/>
  <c r="N116" i="267"/>
  <c r="M116" i="267"/>
  <c r="L116" i="267"/>
  <c r="K116" i="267"/>
  <c r="J116" i="267"/>
  <c r="I116" i="267"/>
  <c r="H116" i="267"/>
  <c r="G116" i="267"/>
  <c r="F116" i="267"/>
  <c r="E116" i="267"/>
  <c r="D116" i="267"/>
  <c r="C116" i="267"/>
  <c r="N115" i="267"/>
  <c r="M115" i="267"/>
  <c r="L115" i="267"/>
  <c r="K115" i="267"/>
  <c r="J115" i="267"/>
  <c r="I115" i="267"/>
  <c r="H115" i="267"/>
  <c r="G115" i="267"/>
  <c r="F115" i="267"/>
  <c r="E115" i="267"/>
  <c r="D115" i="267"/>
  <c r="C115" i="267"/>
  <c r="N114" i="267"/>
  <c r="M114" i="267"/>
  <c r="L114" i="267"/>
  <c r="K114" i="267"/>
  <c r="J114" i="267"/>
  <c r="I114" i="267"/>
  <c r="H114" i="267"/>
  <c r="G114" i="267"/>
  <c r="F114" i="267"/>
  <c r="E114" i="267"/>
  <c r="D114" i="267"/>
  <c r="C114" i="267"/>
  <c r="N113" i="267"/>
  <c r="M113" i="267"/>
  <c r="L113" i="267"/>
  <c r="K113" i="267"/>
  <c r="J113" i="267"/>
  <c r="I113" i="267"/>
  <c r="H113" i="267"/>
  <c r="G113" i="267"/>
  <c r="F113" i="267"/>
  <c r="E113" i="267"/>
  <c r="D113" i="267"/>
  <c r="C113" i="267"/>
  <c r="N112" i="267"/>
  <c r="M112" i="267"/>
  <c r="L112" i="267"/>
  <c r="K112" i="267"/>
  <c r="J112" i="267"/>
  <c r="I112" i="267"/>
  <c r="H112" i="267"/>
  <c r="G112" i="267"/>
  <c r="F112" i="267"/>
  <c r="E112" i="267"/>
  <c r="D112" i="267"/>
  <c r="C112" i="267"/>
  <c r="N111" i="267"/>
  <c r="M111" i="267"/>
  <c r="L111" i="267"/>
  <c r="K111" i="267"/>
  <c r="J111" i="267"/>
  <c r="I111" i="267"/>
  <c r="H111" i="267"/>
  <c r="G111" i="267"/>
  <c r="F111" i="267"/>
  <c r="E111" i="267"/>
  <c r="D111" i="267"/>
  <c r="C111" i="267"/>
  <c r="F11" i="267"/>
  <c r="Q58" i="267" s="1"/>
  <c r="O58" i="267" s="1"/>
  <c r="E11" i="267"/>
  <c r="Q80" i="267" s="1"/>
  <c r="O80" i="267" s="1"/>
  <c r="H10" i="267"/>
  <c r="G10" i="267" s="1"/>
  <c r="C9" i="267"/>
  <c r="D9" i="267" s="1"/>
  <c r="C8" i="267"/>
  <c r="C7" i="267"/>
  <c r="H7" i="267" s="1"/>
  <c r="C6" i="267"/>
  <c r="G6" i="267" s="1"/>
  <c r="C5" i="267"/>
  <c r="N106" i="267"/>
  <c r="M106" i="267"/>
  <c r="L106" i="267"/>
  <c r="K106" i="267"/>
  <c r="J106" i="267"/>
  <c r="I106" i="267"/>
  <c r="H106" i="267"/>
  <c r="G106" i="267"/>
  <c r="F106" i="267"/>
  <c r="E106" i="267"/>
  <c r="D106" i="267"/>
  <c r="C106" i="267"/>
  <c r="N105" i="267"/>
  <c r="M105" i="267"/>
  <c r="L105" i="267"/>
  <c r="K105" i="267"/>
  <c r="J105" i="267"/>
  <c r="I105" i="267"/>
  <c r="H105" i="267"/>
  <c r="G105" i="267"/>
  <c r="F105" i="267"/>
  <c r="E105" i="267"/>
  <c r="D105" i="267"/>
  <c r="C105" i="267"/>
  <c r="N103" i="267"/>
  <c r="M103" i="267"/>
  <c r="L103" i="267"/>
  <c r="K103" i="267"/>
  <c r="J103" i="267"/>
  <c r="I103" i="267"/>
  <c r="H103" i="267"/>
  <c r="G103" i="267"/>
  <c r="F103" i="267"/>
  <c r="E103" i="267"/>
  <c r="D103" i="267"/>
  <c r="C103" i="267"/>
  <c r="N102" i="267"/>
  <c r="M102" i="267"/>
  <c r="L102" i="267"/>
  <c r="K102" i="267"/>
  <c r="J102" i="267"/>
  <c r="I102" i="267"/>
  <c r="H102" i="267"/>
  <c r="G102" i="267"/>
  <c r="F102" i="267"/>
  <c r="E102" i="267"/>
  <c r="D102" i="267"/>
  <c r="C102" i="267"/>
  <c r="N101" i="267"/>
  <c r="M101" i="267"/>
  <c r="L101" i="267"/>
  <c r="K101" i="267"/>
  <c r="J101" i="267"/>
  <c r="I101" i="267"/>
  <c r="H101" i="267"/>
  <c r="G101" i="267"/>
  <c r="F101" i="267"/>
  <c r="E101" i="267"/>
  <c r="D101" i="267"/>
  <c r="C101" i="267"/>
  <c r="N100" i="267"/>
  <c r="M100" i="267"/>
  <c r="L100" i="267"/>
  <c r="K100" i="267"/>
  <c r="J100" i="267"/>
  <c r="I100" i="267"/>
  <c r="H100" i="267"/>
  <c r="G100" i="267"/>
  <c r="F100" i="267"/>
  <c r="E100" i="267"/>
  <c r="D100" i="267"/>
  <c r="C100" i="267"/>
  <c r="N99" i="267"/>
  <c r="M99" i="267"/>
  <c r="L99" i="267"/>
  <c r="K99" i="267"/>
  <c r="J99" i="267"/>
  <c r="I99" i="267"/>
  <c r="H99" i="267"/>
  <c r="G99" i="267"/>
  <c r="F99" i="267"/>
  <c r="E99" i="267"/>
  <c r="D99" i="267"/>
  <c r="C99" i="267"/>
  <c r="N98" i="267"/>
  <c r="M98" i="267"/>
  <c r="L98" i="267"/>
  <c r="K98" i="267"/>
  <c r="J98" i="267"/>
  <c r="I98" i="267"/>
  <c r="H98" i="267"/>
  <c r="G98" i="267"/>
  <c r="F98" i="267"/>
  <c r="E98" i="267"/>
  <c r="D98" i="267"/>
  <c r="C98" i="267"/>
  <c r="N97" i="267"/>
  <c r="M97" i="267"/>
  <c r="L97" i="267"/>
  <c r="K97" i="267"/>
  <c r="J97" i="267"/>
  <c r="I97" i="267"/>
  <c r="H97" i="267"/>
  <c r="G97" i="267"/>
  <c r="F97" i="267"/>
  <c r="E97" i="267"/>
  <c r="D97" i="267"/>
  <c r="C97" i="267"/>
  <c r="N96" i="267"/>
  <c r="M96" i="267"/>
  <c r="L96" i="267"/>
  <c r="K96" i="267"/>
  <c r="J96" i="267"/>
  <c r="I96" i="267"/>
  <c r="H96" i="267"/>
  <c r="G96" i="267"/>
  <c r="F96" i="267"/>
  <c r="E96" i="267"/>
  <c r="D96" i="267"/>
  <c r="C96" i="267"/>
  <c r="N95" i="267"/>
  <c r="M95" i="267"/>
  <c r="L95" i="267"/>
  <c r="K95" i="267"/>
  <c r="J95" i="267"/>
  <c r="I95" i="267"/>
  <c r="H95" i="267"/>
  <c r="G95" i="267"/>
  <c r="F95" i="267"/>
  <c r="E95" i="267"/>
  <c r="D95" i="267"/>
  <c r="C95" i="267"/>
  <c r="N94" i="267"/>
  <c r="M94" i="267"/>
  <c r="L94" i="267"/>
  <c r="K94" i="267"/>
  <c r="J94" i="267"/>
  <c r="I94" i="267"/>
  <c r="H94" i="267"/>
  <c r="G94" i="267"/>
  <c r="F94" i="267"/>
  <c r="E94" i="267"/>
  <c r="D94" i="267"/>
  <c r="C94" i="267"/>
  <c r="N93" i="267"/>
  <c r="X27" i="269" s="1" a="1"/>
  <c r="X27" i="269" s="1"/>
  <c r="M93" i="267"/>
  <c r="L93" i="267"/>
  <c r="K93" i="267"/>
  <c r="J93" i="267"/>
  <c r="I93" i="267"/>
  <c r="H93" i="267"/>
  <c r="G93" i="267"/>
  <c r="F93" i="267"/>
  <c r="E93" i="267"/>
  <c r="D93" i="267"/>
  <c r="C93" i="267"/>
  <c r="N92" i="267"/>
  <c r="M92" i="267"/>
  <c r="L92" i="267"/>
  <c r="K92" i="267"/>
  <c r="J92" i="267"/>
  <c r="I92" i="267"/>
  <c r="H92" i="267"/>
  <c r="G92" i="267"/>
  <c r="F92" i="267"/>
  <c r="E92" i="267"/>
  <c r="D92" i="267"/>
  <c r="C92" i="267"/>
  <c r="N91" i="267"/>
  <c r="M91" i="267"/>
  <c r="L91" i="267"/>
  <c r="K91" i="267"/>
  <c r="J91" i="267"/>
  <c r="I91" i="267"/>
  <c r="H91" i="267"/>
  <c r="G91" i="267"/>
  <c r="F91" i="267"/>
  <c r="E91" i="267"/>
  <c r="D91" i="267"/>
  <c r="C91" i="267"/>
  <c r="N90" i="267"/>
  <c r="M90" i="267"/>
  <c r="L90" i="267"/>
  <c r="K90" i="267"/>
  <c r="J90" i="267"/>
  <c r="I90" i="267"/>
  <c r="H90" i="267"/>
  <c r="G90" i="267"/>
  <c r="F90" i="267"/>
  <c r="E90" i="267"/>
  <c r="D90" i="267"/>
  <c r="C90" i="267"/>
  <c r="N89" i="267"/>
  <c r="M89" i="267"/>
  <c r="L89" i="267"/>
  <c r="K89" i="267"/>
  <c r="J89" i="267"/>
  <c r="I89" i="267"/>
  <c r="H89" i="267"/>
  <c r="G89" i="267"/>
  <c r="F89" i="267"/>
  <c r="E89" i="267"/>
  <c r="D89" i="267"/>
  <c r="C89" i="267"/>
  <c r="N84" i="267"/>
  <c r="M84" i="267"/>
  <c r="L84" i="267"/>
  <c r="K84" i="267"/>
  <c r="J84" i="267"/>
  <c r="I84" i="267"/>
  <c r="H84" i="267"/>
  <c r="G84" i="267"/>
  <c r="F84" i="267"/>
  <c r="E84" i="267"/>
  <c r="D84" i="267"/>
  <c r="C84" i="267"/>
  <c r="N83" i="267"/>
  <c r="M83" i="267"/>
  <c r="L83" i="267"/>
  <c r="K83" i="267"/>
  <c r="J83" i="267"/>
  <c r="I83" i="267"/>
  <c r="H83" i="267"/>
  <c r="G83" i="267"/>
  <c r="F83" i="267"/>
  <c r="E83" i="267"/>
  <c r="D83" i="267"/>
  <c r="C83" i="267"/>
  <c r="N81" i="267"/>
  <c r="M81" i="267"/>
  <c r="L81" i="267"/>
  <c r="K81" i="267"/>
  <c r="J81" i="267"/>
  <c r="I81" i="267"/>
  <c r="H81" i="267"/>
  <c r="G81" i="267"/>
  <c r="F81" i="267"/>
  <c r="E81" i="267"/>
  <c r="D81" i="267"/>
  <c r="C81" i="267"/>
  <c r="N79" i="267"/>
  <c r="M79" i="267"/>
  <c r="L79" i="267"/>
  <c r="K79" i="267"/>
  <c r="J79" i="267"/>
  <c r="I79" i="267"/>
  <c r="H79" i="267"/>
  <c r="G79" i="267"/>
  <c r="F79" i="267"/>
  <c r="E79" i="267"/>
  <c r="D79" i="267"/>
  <c r="C79" i="267"/>
  <c r="N78" i="267"/>
  <c r="M78" i="267"/>
  <c r="L78" i="267"/>
  <c r="K78" i="267"/>
  <c r="J78" i="267"/>
  <c r="I78" i="267"/>
  <c r="H78" i="267"/>
  <c r="G78" i="267"/>
  <c r="F78" i="267"/>
  <c r="E78" i="267"/>
  <c r="D78" i="267"/>
  <c r="C78" i="267"/>
  <c r="N77" i="267"/>
  <c r="M77" i="267"/>
  <c r="L77" i="267"/>
  <c r="K77" i="267"/>
  <c r="J77" i="267"/>
  <c r="I77" i="267"/>
  <c r="H77" i="267"/>
  <c r="G77" i="267"/>
  <c r="F77" i="267"/>
  <c r="E77" i="267"/>
  <c r="D77" i="267"/>
  <c r="C77" i="267"/>
  <c r="N76" i="267"/>
  <c r="M76" i="267"/>
  <c r="L76" i="267"/>
  <c r="K76" i="267"/>
  <c r="J76" i="267"/>
  <c r="I76" i="267"/>
  <c r="H76" i="267"/>
  <c r="G76" i="267"/>
  <c r="F76" i="267"/>
  <c r="E76" i="267"/>
  <c r="D76" i="267"/>
  <c r="C76" i="267"/>
  <c r="N75" i="267"/>
  <c r="M75" i="267"/>
  <c r="L75" i="267"/>
  <c r="K75" i="267"/>
  <c r="J75" i="267"/>
  <c r="I75" i="267"/>
  <c r="H75" i="267"/>
  <c r="G75" i="267"/>
  <c r="F75" i="267"/>
  <c r="E75" i="267"/>
  <c r="D75" i="267"/>
  <c r="C75" i="267"/>
  <c r="N74" i="267"/>
  <c r="M74" i="267"/>
  <c r="L74" i="267"/>
  <c r="K74" i="267"/>
  <c r="J74" i="267"/>
  <c r="I74" i="267"/>
  <c r="H74" i="267"/>
  <c r="G74" i="267"/>
  <c r="F74" i="267"/>
  <c r="E74" i="267"/>
  <c r="D74" i="267"/>
  <c r="C74" i="267"/>
  <c r="N73" i="267"/>
  <c r="M73" i="267"/>
  <c r="L73" i="267"/>
  <c r="K73" i="267"/>
  <c r="J73" i="267"/>
  <c r="I73" i="267"/>
  <c r="H73" i="267"/>
  <c r="G73" i="267"/>
  <c r="F73" i="267"/>
  <c r="E73" i="267"/>
  <c r="D73" i="267"/>
  <c r="C73" i="267"/>
  <c r="N72" i="267"/>
  <c r="M72" i="267"/>
  <c r="L72" i="267"/>
  <c r="K72" i="267"/>
  <c r="J72" i="267"/>
  <c r="I72" i="267"/>
  <c r="H72" i="267"/>
  <c r="G72" i="267"/>
  <c r="F72" i="267"/>
  <c r="E72" i="267"/>
  <c r="D72" i="267"/>
  <c r="C72" i="267"/>
  <c r="N71" i="267"/>
  <c r="M71" i="267"/>
  <c r="L71" i="267"/>
  <c r="K71" i="267"/>
  <c r="J71" i="267"/>
  <c r="I71" i="267"/>
  <c r="H71" i="267"/>
  <c r="G71" i="267"/>
  <c r="F71" i="267"/>
  <c r="E71" i="267"/>
  <c r="D71" i="267"/>
  <c r="C71" i="267"/>
  <c r="N69" i="267"/>
  <c r="M69" i="267"/>
  <c r="L69" i="267"/>
  <c r="K69" i="267"/>
  <c r="J69" i="267"/>
  <c r="I69" i="267"/>
  <c r="H69" i="267"/>
  <c r="G69" i="267"/>
  <c r="F69" i="267"/>
  <c r="E69" i="267"/>
  <c r="D69" i="267"/>
  <c r="C69" i="267"/>
  <c r="N68" i="267"/>
  <c r="M68" i="267"/>
  <c r="L68" i="267"/>
  <c r="K68" i="267"/>
  <c r="J68" i="267"/>
  <c r="I68" i="267"/>
  <c r="H68" i="267"/>
  <c r="G68" i="267"/>
  <c r="F68" i="267"/>
  <c r="E68" i="267"/>
  <c r="D68" i="267"/>
  <c r="C68" i="267"/>
  <c r="N67" i="267"/>
  <c r="M67" i="267"/>
  <c r="L67" i="267"/>
  <c r="K67" i="267"/>
  <c r="J67" i="267"/>
  <c r="I67" i="267"/>
  <c r="H67" i="267"/>
  <c r="G67" i="267"/>
  <c r="F67" i="267"/>
  <c r="E67" i="267"/>
  <c r="D67" i="267"/>
  <c r="C67" i="267"/>
  <c r="N62" i="267"/>
  <c r="M62" i="267"/>
  <c r="L62" i="267"/>
  <c r="K62" i="267"/>
  <c r="J62" i="267"/>
  <c r="I62" i="267"/>
  <c r="H62" i="267"/>
  <c r="G62" i="267"/>
  <c r="F62" i="267"/>
  <c r="E62" i="267"/>
  <c r="D62" i="267"/>
  <c r="C62" i="267"/>
  <c r="N61" i="267"/>
  <c r="M61" i="267"/>
  <c r="L61" i="267"/>
  <c r="K61" i="267"/>
  <c r="J61" i="267"/>
  <c r="I61" i="267"/>
  <c r="H61" i="267"/>
  <c r="G61" i="267"/>
  <c r="F61" i="267"/>
  <c r="E61" i="267"/>
  <c r="D61" i="267"/>
  <c r="C61" i="267"/>
  <c r="N59" i="267"/>
  <c r="M59" i="267"/>
  <c r="L59" i="267"/>
  <c r="K59" i="267"/>
  <c r="J59" i="267"/>
  <c r="I59" i="267"/>
  <c r="H59" i="267"/>
  <c r="G59" i="267"/>
  <c r="F59" i="267"/>
  <c r="E59" i="267"/>
  <c r="D59" i="267"/>
  <c r="C59" i="267"/>
  <c r="N57" i="267"/>
  <c r="M57" i="267"/>
  <c r="L57" i="267"/>
  <c r="K57" i="267"/>
  <c r="J57" i="267"/>
  <c r="I57" i="267"/>
  <c r="H57" i="267"/>
  <c r="G57" i="267"/>
  <c r="F57" i="267"/>
  <c r="E57" i="267"/>
  <c r="D57" i="267"/>
  <c r="C57" i="267"/>
  <c r="N56" i="267"/>
  <c r="M56" i="267"/>
  <c r="L56" i="267"/>
  <c r="K56" i="267"/>
  <c r="J56" i="267"/>
  <c r="I56" i="267"/>
  <c r="H56" i="267"/>
  <c r="G56" i="267"/>
  <c r="F56" i="267"/>
  <c r="E56" i="267"/>
  <c r="D56" i="267"/>
  <c r="C56" i="267"/>
  <c r="N55" i="267"/>
  <c r="M55" i="267"/>
  <c r="L55" i="267"/>
  <c r="K55" i="267"/>
  <c r="J55" i="267"/>
  <c r="I55" i="267"/>
  <c r="H55" i="267"/>
  <c r="G55" i="267"/>
  <c r="F55" i="267"/>
  <c r="E55" i="267"/>
  <c r="D55" i="267"/>
  <c r="C55" i="267"/>
  <c r="N54" i="267"/>
  <c r="M54" i="267"/>
  <c r="L54" i="267"/>
  <c r="K54" i="267"/>
  <c r="J54" i="267"/>
  <c r="I54" i="267"/>
  <c r="H54" i="267"/>
  <c r="G54" i="267"/>
  <c r="F54" i="267"/>
  <c r="E54" i="267"/>
  <c r="D54" i="267"/>
  <c r="C54" i="267"/>
  <c r="N53" i="267"/>
  <c r="M53" i="267"/>
  <c r="L53" i="267"/>
  <c r="K53" i="267"/>
  <c r="J53" i="267"/>
  <c r="I53" i="267"/>
  <c r="H53" i="267"/>
  <c r="G53" i="267"/>
  <c r="F53" i="267"/>
  <c r="E53" i="267"/>
  <c r="D53" i="267"/>
  <c r="C53" i="267"/>
  <c r="N52" i="267"/>
  <c r="M52" i="267"/>
  <c r="L52" i="267"/>
  <c r="K52" i="267"/>
  <c r="J52" i="267"/>
  <c r="I52" i="267"/>
  <c r="H52" i="267"/>
  <c r="G52" i="267"/>
  <c r="F52" i="267"/>
  <c r="E52" i="267"/>
  <c r="D52" i="267"/>
  <c r="C52" i="267"/>
  <c r="N51" i="267"/>
  <c r="M51" i="267"/>
  <c r="L51" i="267"/>
  <c r="K51" i="267"/>
  <c r="J51" i="267"/>
  <c r="I51" i="267"/>
  <c r="H51" i="267"/>
  <c r="G51" i="267"/>
  <c r="F51" i="267"/>
  <c r="E51" i="267"/>
  <c r="D51" i="267"/>
  <c r="C51" i="267"/>
  <c r="N50" i="267"/>
  <c r="M50" i="267"/>
  <c r="L50" i="267"/>
  <c r="K50" i="267"/>
  <c r="J50" i="267"/>
  <c r="I50" i="267"/>
  <c r="H50" i="267"/>
  <c r="G50" i="267"/>
  <c r="F50" i="267"/>
  <c r="E50" i="267"/>
  <c r="D50" i="267"/>
  <c r="C50" i="267"/>
  <c r="N49" i="267"/>
  <c r="M49" i="267"/>
  <c r="L49" i="267"/>
  <c r="K49" i="267"/>
  <c r="J49" i="267"/>
  <c r="I49" i="267"/>
  <c r="H49" i="267"/>
  <c r="G49" i="267"/>
  <c r="F49" i="267"/>
  <c r="E49" i="267"/>
  <c r="D49" i="267"/>
  <c r="C49" i="267"/>
  <c r="N47" i="267"/>
  <c r="M47" i="267"/>
  <c r="L47" i="267"/>
  <c r="K47" i="267"/>
  <c r="J47" i="267"/>
  <c r="I47" i="267"/>
  <c r="H47" i="267"/>
  <c r="G47" i="267"/>
  <c r="F47" i="267"/>
  <c r="E47" i="267"/>
  <c r="D47" i="267"/>
  <c r="C47" i="267"/>
  <c r="N46" i="267"/>
  <c r="M46" i="267"/>
  <c r="L46" i="267"/>
  <c r="K46" i="267"/>
  <c r="J46" i="267"/>
  <c r="I46" i="267"/>
  <c r="H46" i="267"/>
  <c r="G46" i="267"/>
  <c r="F46" i="267"/>
  <c r="E46" i="267"/>
  <c r="D46" i="267"/>
  <c r="C46" i="267"/>
  <c r="N45" i="267"/>
  <c r="M45" i="267"/>
  <c r="L45" i="267"/>
  <c r="K45" i="267"/>
  <c r="J45" i="267"/>
  <c r="I45" i="267"/>
  <c r="H45" i="267"/>
  <c r="G45" i="267"/>
  <c r="F45" i="267"/>
  <c r="E45" i="267"/>
  <c r="D45" i="267"/>
  <c r="C45" i="267"/>
  <c r="C30" i="266"/>
  <c r="C29" i="266" s="1"/>
  <c r="X25" i="269" l="1" a="1"/>
  <c r="X25" i="269" s="1"/>
  <c r="AA25" i="269" s="1"/>
  <c r="I25" i="269" s="1"/>
  <c r="W25" i="269" a="1"/>
  <c r="W25" i="269" s="1"/>
  <c r="Z25" i="269" s="1"/>
  <c r="H25" i="269" s="1"/>
  <c r="H8" i="267"/>
  <c r="D8" i="267"/>
  <c r="V27" i="269" a="1"/>
  <c r="V27" i="269" s="1"/>
  <c r="W27" i="269" a="1"/>
  <c r="W27" i="269" s="1"/>
  <c r="V23" i="269" a="1"/>
  <c r="V23" i="269" s="1"/>
  <c r="W23" i="269" a="1"/>
  <c r="W23" i="269" s="1"/>
  <c r="X23" i="269" a="1"/>
  <c r="X23" i="269" s="1"/>
  <c r="Z1" i="260"/>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V52" i="260"/>
  <c r="V62" i="260" s="1"/>
  <c r="V92" i="260" s="1"/>
  <c r="V32" i="260"/>
  <c r="X44" i="269" a="1"/>
  <c r="X44" i="269" s="1"/>
  <c r="AA44" i="269" s="1"/>
  <c r="W44" i="269" a="1"/>
  <c r="W44" i="269" s="1"/>
  <c r="Z44" i="269" s="1"/>
  <c r="V44" i="269" a="1"/>
  <c r="V44" i="269" s="1"/>
  <c r="Y44" i="269" s="1"/>
  <c r="X29" i="269" a="1"/>
  <c r="X29" i="269" s="1"/>
  <c r="AA29" i="269" s="1"/>
  <c r="W29" i="269" a="1"/>
  <c r="W29" i="269" s="1"/>
  <c r="Z29" i="269" s="1"/>
  <c r="V29" i="269" a="1"/>
  <c r="V29" i="269" s="1"/>
  <c r="Y29" i="269" s="1"/>
  <c r="W14" i="269" a="1"/>
  <c r="W14" i="269" s="1"/>
  <c r="Z14" i="269" s="1"/>
  <c r="X14" i="269" a="1"/>
  <c r="X14" i="269" s="1"/>
  <c r="AA14" i="269" s="1"/>
  <c r="V14" i="269" a="1"/>
  <c r="V14" i="269" s="1"/>
  <c r="Y14" i="269" s="1"/>
  <c r="E68" i="264"/>
  <c r="E75" i="264"/>
  <c r="B66" i="260"/>
  <c r="B106" i="260" s="1"/>
  <c r="B6" i="260"/>
  <c r="B46" i="260" s="1"/>
  <c r="B86" i="260" s="1"/>
  <c r="E10" i="264"/>
  <c r="E24" i="264"/>
  <c r="E31" i="264"/>
  <c r="E54" i="264"/>
  <c r="C4" i="268"/>
  <c r="F4" i="268" s="1"/>
  <c r="C5" i="268"/>
  <c r="F5" i="268" s="1"/>
  <c r="X17" i="267"/>
  <c r="W17" i="267"/>
  <c r="J41" i="267"/>
  <c r="B28" i="221"/>
  <c r="E61" i="264"/>
  <c r="H41" i="267"/>
  <c r="D41" i="267"/>
  <c r="C41" i="267"/>
  <c r="I41" i="267"/>
  <c r="N41" i="267"/>
  <c r="L41" i="267"/>
  <c r="G41" i="267"/>
  <c r="K41" i="267"/>
  <c r="F41" i="267"/>
  <c r="M41" i="267"/>
  <c r="E41" i="267"/>
  <c r="E17" i="264"/>
  <c r="D6" i="268"/>
  <c r="D5" i="268"/>
  <c r="D4" i="268"/>
  <c r="G9" i="267"/>
  <c r="F9" i="267"/>
  <c r="H9" i="267"/>
  <c r="G5" i="267"/>
  <c r="D6" i="267"/>
  <c r="H6" i="267"/>
  <c r="E9" i="267"/>
  <c r="N80" i="267"/>
  <c r="M80" i="267"/>
  <c r="N58" i="267"/>
  <c r="I58" i="267"/>
  <c r="H58" i="267"/>
  <c r="G58" i="267"/>
  <c r="K58" i="267"/>
  <c r="F58" i="267"/>
  <c r="E58" i="267"/>
  <c r="D58" i="267"/>
  <c r="C58" i="267"/>
  <c r="M58" i="267"/>
  <c r="J58" i="267"/>
  <c r="Q48" i="267"/>
  <c r="Q104" i="267"/>
  <c r="Q126" i="267"/>
  <c r="O126" i="267" s="1"/>
  <c r="O129" i="267" s="1"/>
  <c r="Q70" i="267"/>
  <c r="D80" i="267"/>
  <c r="F80" i="267"/>
  <c r="C80" i="267"/>
  <c r="E80" i="267"/>
  <c r="G80" i="267"/>
  <c r="H80" i="267"/>
  <c r="I80" i="267"/>
  <c r="J80" i="267"/>
  <c r="K80" i="267"/>
  <c r="L80" i="267"/>
  <c r="L58" i="267"/>
  <c r="H5" i="267"/>
  <c r="D7" i="267"/>
  <c r="E7" i="267"/>
  <c r="F7" i="267"/>
  <c r="G7" i="267"/>
  <c r="E8" i="267"/>
  <c r="F8" i="267"/>
  <c r="G8" i="267"/>
  <c r="D5" i="267"/>
  <c r="E5" i="267"/>
  <c r="Q82" i="267" s="1"/>
  <c r="F5" i="267"/>
  <c r="Q60" i="267" s="1"/>
  <c r="E6" i="267"/>
  <c r="F6" i="267"/>
  <c r="O7" i="260"/>
  <c r="V8" i="269" l="1" a="1"/>
  <c r="V8" i="269" s="1"/>
  <c r="X8" i="269" a="1"/>
  <c r="X8" i="269" s="1"/>
  <c r="AA8" i="269" s="1"/>
  <c r="W8" i="269" a="1"/>
  <c r="W8" i="269" s="1"/>
  <c r="Z8" i="269" s="1"/>
  <c r="H8" i="269" s="1"/>
  <c r="M104" i="267"/>
  <c r="M107" i="267" s="1"/>
  <c r="O107" i="267"/>
  <c r="C48" i="267"/>
  <c r="O48" i="267"/>
  <c r="O63" i="267" s="1"/>
  <c r="C60" i="267"/>
  <c r="O60" i="267"/>
  <c r="V38" i="269" a="1"/>
  <c r="V38" i="269" s="1"/>
  <c r="W38" i="269" a="1"/>
  <c r="W38" i="269" s="1"/>
  <c r="X38" i="269" a="1"/>
  <c r="X38" i="269" s="1"/>
  <c r="W40" i="269" a="1"/>
  <c r="W40" i="269" s="1"/>
  <c r="Z40" i="269" s="1"/>
  <c r="H40" i="269" s="1"/>
  <c r="V40" i="269" a="1"/>
  <c r="V40" i="269" s="1"/>
  <c r="Y40" i="269" s="1"/>
  <c r="G40" i="269" s="1"/>
  <c r="X40" i="269" a="1"/>
  <c r="X40" i="269" s="1"/>
  <c r="AA40" i="269" s="1"/>
  <c r="I40" i="269" s="1"/>
  <c r="W16" i="267"/>
  <c r="K82" i="267"/>
  <c r="O82" i="267"/>
  <c r="X42" i="269" a="1"/>
  <c r="X42" i="269" s="1"/>
  <c r="W42" i="269" a="1"/>
  <c r="W42" i="269" s="1"/>
  <c r="V42" i="269" a="1"/>
  <c r="V42" i="269" s="1"/>
  <c r="V12" i="269" a="1"/>
  <c r="V12" i="269" s="1"/>
  <c r="X12" i="269" a="1"/>
  <c r="X12" i="269" s="1"/>
  <c r="W12" i="269" a="1"/>
  <c r="W12" i="269" s="1"/>
  <c r="Z12" i="269" s="1"/>
  <c r="H12" i="269" s="1"/>
  <c r="D70" i="267"/>
  <c r="O70" i="267"/>
  <c r="O85" i="267" s="1"/>
  <c r="W10" i="269" a="1"/>
  <c r="W10" i="269" s="1"/>
  <c r="Z10" i="269" s="1"/>
  <c r="H10" i="269" s="1"/>
  <c r="X10" i="269" a="1"/>
  <c r="X10" i="269" s="1"/>
  <c r="AA10" i="269" s="1"/>
  <c r="I10" i="269" s="1"/>
  <c r="V10" i="269" a="1"/>
  <c r="V10" i="269" s="1"/>
  <c r="Y10" i="269" s="1"/>
  <c r="G10" i="269" s="1"/>
  <c r="V25" i="269" a="1"/>
  <c r="V25" i="269" s="1"/>
  <c r="Y25" i="269" s="1"/>
  <c r="G25" i="269" s="1"/>
  <c r="B186" i="260"/>
  <c r="B146" i="260"/>
  <c r="B166" i="260"/>
  <c r="B126" i="260"/>
  <c r="V42" i="260"/>
  <c r="V72" i="260" s="1"/>
  <c r="V82" i="260" s="1"/>
  <c r="V112" i="260" s="1"/>
  <c r="V102" i="260"/>
  <c r="V132" i="260" s="1"/>
  <c r="E69" i="264"/>
  <c r="E11" i="264"/>
  <c r="E76" i="264"/>
  <c r="E25" i="264"/>
  <c r="E32" i="264"/>
  <c r="E55" i="264"/>
  <c r="X16" i="267"/>
  <c r="X15" i="267"/>
  <c r="X24" i="267" s="1"/>
  <c r="W15" i="267"/>
  <c r="X21" i="267" s="1"/>
  <c r="E82" i="267"/>
  <c r="E62" i="264"/>
  <c r="E6" i="268"/>
  <c r="G6" i="268"/>
  <c r="I6" i="268"/>
  <c r="H6" i="268"/>
  <c r="E5" i="268"/>
  <c r="G5" i="268"/>
  <c r="I5" i="268"/>
  <c r="H5" i="268"/>
  <c r="G4" i="268"/>
  <c r="E4" i="268"/>
  <c r="I4" i="268"/>
  <c r="H4" i="268"/>
  <c r="E18" i="264"/>
  <c r="N82" i="267"/>
  <c r="G15" i="267"/>
  <c r="M82" i="267"/>
  <c r="L82" i="267"/>
  <c r="H15" i="267"/>
  <c r="Z21" i="267"/>
  <c r="Z23" i="267"/>
  <c r="Z24" i="267"/>
  <c r="Z22" i="267"/>
  <c r="Y21" i="267"/>
  <c r="Y23" i="267"/>
  <c r="X22" i="267"/>
  <c r="C63" i="267"/>
  <c r="F82" i="267"/>
  <c r="J82" i="267"/>
  <c r="H82" i="267"/>
  <c r="D82" i="267"/>
  <c r="D85" i="267" s="1"/>
  <c r="C82" i="267"/>
  <c r="H104" i="267"/>
  <c r="H107" i="267" s="1"/>
  <c r="I82" i="267"/>
  <c r="K104" i="267"/>
  <c r="G104" i="267"/>
  <c r="G107" i="267" s="1"/>
  <c r="D60" i="267"/>
  <c r="J60" i="267"/>
  <c r="I60" i="267"/>
  <c r="G60" i="267"/>
  <c r="H60" i="267"/>
  <c r="F60" i="267"/>
  <c r="E60" i="267"/>
  <c r="N60" i="267"/>
  <c r="M60" i="267"/>
  <c r="L60" i="267"/>
  <c r="K60" i="267"/>
  <c r="G82" i="267"/>
  <c r="E104" i="267"/>
  <c r="E107" i="267" s="1"/>
  <c r="H70" i="267"/>
  <c r="G70" i="267"/>
  <c r="E70" i="267"/>
  <c r="C70" i="267"/>
  <c r="M70" i="267"/>
  <c r="N70" i="267"/>
  <c r="D126" i="267"/>
  <c r="D129" i="267" s="1"/>
  <c r="C126" i="267"/>
  <c r="C129" i="267" s="1"/>
  <c r="F126" i="267"/>
  <c r="F129" i="267" s="1"/>
  <c r="E126" i="267"/>
  <c r="E129" i="267" s="1"/>
  <c r="H126" i="267"/>
  <c r="H129" i="267" s="1"/>
  <c r="G126" i="267"/>
  <c r="G129" i="267" s="1"/>
  <c r="N126" i="267"/>
  <c r="M126" i="267"/>
  <c r="M129" i="267" s="1"/>
  <c r="L126" i="267"/>
  <c r="L129" i="267" s="1"/>
  <c r="K126" i="267"/>
  <c r="K129" i="267" s="1"/>
  <c r="J126" i="267"/>
  <c r="J129" i="267" s="1"/>
  <c r="I126" i="267"/>
  <c r="I129" i="267" s="1"/>
  <c r="L70" i="267"/>
  <c r="E48" i="267"/>
  <c r="N48" i="267"/>
  <c r="M48" i="267"/>
  <c r="L48" i="267"/>
  <c r="K48" i="267"/>
  <c r="J48" i="267"/>
  <c r="I48" i="267"/>
  <c r="H48" i="267"/>
  <c r="G48" i="267"/>
  <c r="F48" i="267"/>
  <c r="F70" i="267"/>
  <c r="J104" i="267"/>
  <c r="J107" i="267" s="1"/>
  <c r="D104" i="267"/>
  <c r="D107" i="267" s="1"/>
  <c r="I104" i="267"/>
  <c r="I107" i="267" s="1"/>
  <c r="F104" i="267"/>
  <c r="C104" i="267"/>
  <c r="C107" i="267" s="1"/>
  <c r="D48" i="267"/>
  <c r="K70" i="267"/>
  <c r="N104" i="267"/>
  <c r="J70" i="267"/>
  <c r="I70" i="267"/>
  <c r="L104" i="267"/>
  <c r="L107" i="267" s="1"/>
  <c r="E15" i="267"/>
  <c r="D15" i="267"/>
  <c r="F15" i="267"/>
  <c r="F19" i="260"/>
  <c r="F59" i="260" s="1"/>
  <c r="F99" i="260" s="1"/>
  <c r="X23" i="267" l="1"/>
  <c r="F60" i="221"/>
  <c r="F48" i="221"/>
  <c r="H59" i="221"/>
  <c r="H47" i="221"/>
  <c r="H45" i="221"/>
  <c r="H57" i="221"/>
  <c r="N107" i="267"/>
  <c r="V26" i="269" a="1"/>
  <c r="V26" i="269" s="1"/>
  <c r="Y26" i="269" s="1"/>
  <c r="G26" i="269" s="1"/>
  <c r="X26" i="269" a="1"/>
  <c r="X26" i="269" s="1"/>
  <c r="W26" i="269" a="1"/>
  <c r="W26" i="269" s="1"/>
  <c r="X28" i="269" a="1"/>
  <c r="X28" i="269" s="1"/>
  <c r="AA28" i="269" s="1"/>
  <c r="W28" i="269" a="1"/>
  <c r="W28" i="269" s="1"/>
  <c r="Z28" i="269" s="1"/>
  <c r="V28" i="269" a="1"/>
  <c r="V28" i="269" s="1"/>
  <c r="Y28" i="269" s="1"/>
  <c r="F107" i="267"/>
  <c r="X22" i="269" a="1"/>
  <c r="X22" i="269" s="1"/>
  <c r="W22" i="269" a="1"/>
  <c r="W22" i="269" s="1"/>
  <c r="V22" i="269" a="1"/>
  <c r="V22" i="269" s="1"/>
  <c r="X11" i="269" a="1"/>
  <c r="X11" i="269" s="1"/>
  <c r="W11" i="269" a="1"/>
  <c r="W11" i="269" s="1"/>
  <c r="Z11" i="269" s="1"/>
  <c r="V11" i="269" a="1"/>
  <c r="V11" i="269" s="1"/>
  <c r="V13" i="269" a="1"/>
  <c r="V13" i="269" s="1"/>
  <c r="Y13" i="269" s="1"/>
  <c r="W13" i="269" a="1"/>
  <c r="W13" i="269" s="1"/>
  <c r="Z13" i="269" s="1"/>
  <c r="X13" i="269" a="1"/>
  <c r="X13" i="269" s="1"/>
  <c r="AA13" i="269" s="1"/>
  <c r="F47" i="221"/>
  <c r="F59" i="221"/>
  <c r="K85" i="267"/>
  <c r="X9" i="269" a="1"/>
  <c r="X9" i="269" s="1"/>
  <c r="AA9" i="269" s="1"/>
  <c r="W9" i="269" a="1"/>
  <c r="W9" i="269" s="1"/>
  <c r="Z9" i="269" s="1"/>
  <c r="V9" i="269" a="1"/>
  <c r="V9" i="269" s="1"/>
  <c r="Y9" i="269" s="1"/>
  <c r="M85" i="267"/>
  <c r="F45" i="221"/>
  <c r="F41" i="221"/>
  <c r="F5" i="221" s="1"/>
  <c r="F57" i="221"/>
  <c r="F49" i="221"/>
  <c r="X41" i="269" a="1"/>
  <c r="X41" i="269" s="1"/>
  <c r="W41" i="269" a="1"/>
  <c r="W41" i="269" s="1"/>
  <c r="V41" i="269" a="1"/>
  <c r="V41" i="269" s="1"/>
  <c r="V43" i="269" a="1"/>
  <c r="V43" i="269" s="1"/>
  <c r="Y43" i="269" s="1"/>
  <c r="W43" i="269" a="1"/>
  <c r="W43" i="269" s="1"/>
  <c r="Z43" i="269" s="1"/>
  <c r="X43" i="269" a="1"/>
  <c r="X43" i="269" s="1"/>
  <c r="AA43" i="269" s="1"/>
  <c r="N129" i="267"/>
  <c r="F58" i="221"/>
  <c r="K62" i="264" s="1" a="1"/>
  <c r="K62" i="264" s="1"/>
  <c r="W62" i="264" s="1"/>
  <c r="F46" i="221"/>
  <c r="E85" i="267"/>
  <c r="G59" i="221"/>
  <c r="G47" i="221"/>
  <c r="L25" i="264" s="1" a="1"/>
  <c r="L25" i="264" s="1"/>
  <c r="X25" i="264" s="1"/>
  <c r="X7" i="269" a="1"/>
  <c r="X7" i="269" s="1"/>
  <c r="W7" i="269" a="1"/>
  <c r="W7" i="269" s="1"/>
  <c r="Z7" i="269" s="1"/>
  <c r="H7" i="269" s="1"/>
  <c r="V7" i="269" a="1"/>
  <c r="V7" i="269" s="1"/>
  <c r="Y7" i="269" s="1"/>
  <c r="G7" i="269" s="1"/>
  <c r="G45" i="221"/>
  <c r="L11" i="264" s="1" a="1"/>
  <c r="L11" i="264" s="1"/>
  <c r="X11" i="264" s="1"/>
  <c r="G57" i="221"/>
  <c r="H46" i="221"/>
  <c r="H58" i="221"/>
  <c r="X37" i="269" a="1"/>
  <c r="X37" i="269" s="1"/>
  <c r="V37" i="269" a="1"/>
  <c r="V37" i="269" s="1"/>
  <c r="W37" i="269" a="1"/>
  <c r="W37" i="269" s="1"/>
  <c r="H48" i="221"/>
  <c r="H60" i="221"/>
  <c r="V39" i="269" a="1"/>
  <c r="V39" i="269" s="1"/>
  <c r="Y39" i="269" s="1"/>
  <c r="X39" i="269" a="1"/>
  <c r="X39" i="269" s="1"/>
  <c r="AA39" i="269" s="1"/>
  <c r="W39" i="269" a="1"/>
  <c r="W39" i="269" s="1"/>
  <c r="Z39" i="269" s="1"/>
  <c r="K107" i="267"/>
  <c r="V24" i="269" a="1"/>
  <c r="V24" i="269" s="1"/>
  <c r="Y24" i="269" s="1"/>
  <c r="W24" i="269" a="1"/>
  <c r="W24" i="269" s="1"/>
  <c r="Z24" i="269" s="1"/>
  <c r="X24" i="269" a="1"/>
  <c r="X24" i="269" s="1"/>
  <c r="AA24" i="269" s="1"/>
  <c r="F179" i="260"/>
  <c r="F139" i="260"/>
  <c r="V142" i="260"/>
  <c r="K55" i="264" a="1"/>
  <c r="K55" i="264" s="1"/>
  <c r="W55" i="264" s="1"/>
  <c r="M55" i="264" a="1"/>
  <c r="M55" i="264" s="1"/>
  <c r="Y55" i="264" s="1"/>
  <c r="K32" i="264" a="1"/>
  <c r="K32" i="264" s="1"/>
  <c r="W32" i="264" s="1"/>
  <c r="K25" i="264" a="1"/>
  <c r="K25" i="264" s="1"/>
  <c r="W25" i="264" s="1"/>
  <c r="M25" i="264" a="1"/>
  <c r="M25" i="264" s="1"/>
  <c r="Y25" i="264" s="1"/>
  <c r="K11" i="264" a="1"/>
  <c r="K11" i="264" s="1"/>
  <c r="M11" i="264" a="1"/>
  <c r="M11" i="264" s="1"/>
  <c r="Y11" i="264" s="1"/>
  <c r="M69" i="264" a="1"/>
  <c r="M69" i="264" s="1"/>
  <c r="Y69" i="264" s="1"/>
  <c r="L69" i="264" a="1"/>
  <c r="L69" i="264" s="1"/>
  <c r="X69" i="264" s="1"/>
  <c r="K69" i="264" a="1"/>
  <c r="K69" i="264" s="1"/>
  <c r="W69" i="264" s="1"/>
  <c r="K76" i="264" a="1"/>
  <c r="K76" i="264" s="1"/>
  <c r="W76" i="264" s="1"/>
  <c r="M76" i="264" a="1"/>
  <c r="M76" i="264" s="1"/>
  <c r="Y76" i="264" s="1"/>
  <c r="N69" i="264" a="1"/>
  <c r="N69" i="264" s="1"/>
  <c r="N62" i="264" a="1"/>
  <c r="N62" i="264" s="1"/>
  <c r="N55" i="264" a="1"/>
  <c r="N55" i="264" s="1"/>
  <c r="P76" i="264" a="1"/>
  <c r="P76" i="264" s="1"/>
  <c r="O11" i="264" a="1"/>
  <c r="O11" i="264" s="1"/>
  <c r="N11" i="264" a="1"/>
  <c r="N11" i="264" s="1"/>
  <c r="Z11" i="264" s="1"/>
  <c r="E70" i="264"/>
  <c r="V172" i="260"/>
  <c r="V122" i="260"/>
  <c r="V152" i="260" s="1"/>
  <c r="E77" i="264"/>
  <c r="E26" i="264"/>
  <c r="E12" i="264"/>
  <c r="E56" i="264"/>
  <c r="E33" i="264"/>
  <c r="E63" i="264"/>
  <c r="F62" i="221"/>
  <c r="F54" i="221"/>
  <c r="F50" i="221"/>
  <c r="N18" i="264" s="1" a="1"/>
  <c r="N18" i="264" s="1"/>
  <c r="F42" i="221"/>
  <c r="F6" i="221" s="1"/>
  <c r="F64" i="221"/>
  <c r="N76" i="264" s="1" a="1"/>
  <c r="N76" i="264" s="1"/>
  <c r="F52" i="221"/>
  <c r="N32" i="264" s="1" a="1"/>
  <c r="N32" i="264" s="1"/>
  <c r="F44" i="221"/>
  <c r="F8" i="221" s="1"/>
  <c r="F56" i="221"/>
  <c r="H76" i="264" s="1" a="1"/>
  <c r="H76" i="264" s="1"/>
  <c r="T76" i="264" s="1"/>
  <c r="AF76" i="264" s="1"/>
  <c r="G51" i="221"/>
  <c r="O25" i="264" s="1" a="1"/>
  <c r="O25" i="264" s="1"/>
  <c r="G55" i="221"/>
  <c r="I69" i="264" s="1" a="1"/>
  <c r="I69" i="264" s="1"/>
  <c r="U69" i="264" s="1"/>
  <c r="AG69" i="264" s="1"/>
  <c r="G63" i="221"/>
  <c r="O69" i="264" s="1" a="1"/>
  <c r="O69" i="264" s="1"/>
  <c r="G43" i="221"/>
  <c r="G7" i="221"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H44" i="221"/>
  <c r="H8" i="221" s="1"/>
  <c r="H56" i="221"/>
  <c r="F63" i="221"/>
  <c r="F51" i="221"/>
  <c r="N25" i="264" s="1" a="1"/>
  <c r="N25" i="264" s="1"/>
  <c r="F55" i="221"/>
  <c r="H69" i="264" s="1" a="1"/>
  <c r="H69" i="264" s="1"/>
  <c r="F43" i="221"/>
  <c r="F7" i="221" s="1"/>
  <c r="F53" i="221"/>
  <c r="F61" i="221"/>
  <c r="H41" i="221"/>
  <c r="H5" i="221" s="1"/>
  <c r="H61" i="221"/>
  <c r="H53" i="221"/>
  <c r="J55" i="264" s="1" a="1"/>
  <c r="J55" i="264" s="1"/>
  <c r="H49" i="221"/>
  <c r="P11" i="264" s="1" a="1"/>
  <c r="P11" i="264" s="1"/>
  <c r="H63" i="221"/>
  <c r="P69" i="264" s="1" a="1"/>
  <c r="P69" i="264" s="1"/>
  <c r="H51" i="221"/>
  <c r="H55" i="221"/>
  <c r="J69" i="264" s="1" a="1"/>
  <c r="J69" i="264" s="1"/>
  <c r="V69" i="264" s="1"/>
  <c r="AH69" i="264" s="1"/>
  <c r="H43" i="221"/>
  <c r="H7" i="221" s="1"/>
  <c r="Y24" i="267"/>
  <c r="Y22" i="267"/>
  <c r="J85" i="267"/>
  <c r="N85" i="267"/>
  <c r="G85" i="267"/>
  <c r="E19" i="264"/>
  <c r="I85" i="267"/>
  <c r="H85" i="267"/>
  <c r="C85" i="267"/>
  <c r="F85" i="267"/>
  <c r="M63" i="267"/>
  <c r="L85" i="267"/>
  <c r="E63" i="267"/>
  <c r="H63" i="267"/>
  <c r="I63" i="267"/>
  <c r="G63" i="267"/>
  <c r="J63" i="267"/>
  <c r="F63" i="267"/>
  <c r="K63" i="267"/>
  <c r="L63" i="267"/>
  <c r="N63" i="267"/>
  <c r="D63" i="267"/>
  <c r="O19" i="260"/>
  <c r="G59" i="260"/>
  <c r="G99" i="260" s="1"/>
  <c r="C59" i="260"/>
  <c r="C99" i="260" s="1"/>
  <c r="G24" i="269" l="1"/>
  <c r="F69" i="221"/>
  <c r="F33" i="221" s="1"/>
  <c r="H10" i="221"/>
  <c r="M16" i="264" a="1"/>
  <c r="M16" i="264" s="1"/>
  <c r="Y16" i="264" s="1"/>
  <c r="M17" i="264" a="1"/>
  <c r="M17" i="264" s="1"/>
  <c r="Y17" i="264" s="1"/>
  <c r="P53" i="264" a="1"/>
  <c r="P53" i="264" s="1"/>
  <c r="AB53" i="264" s="1"/>
  <c r="P54" i="264" a="1"/>
  <c r="P54" i="264" s="1"/>
  <c r="AB54" i="264" s="1"/>
  <c r="N53" i="264" a="1"/>
  <c r="N53" i="264" s="1"/>
  <c r="Z53" i="264" s="1"/>
  <c r="N54" i="264" a="1"/>
  <c r="N54" i="264" s="1"/>
  <c r="Z54" i="264" s="1"/>
  <c r="F15" i="221"/>
  <c r="N23" i="264" a="1"/>
  <c r="N23" i="264" s="1"/>
  <c r="N24" i="264" a="1"/>
  <c r="N24" i="264" s="1"/>
  <c r="Z24" i="264" s="1"/>
  <c r="G23" i="221"/>
  <c r="L67" i="264" a="1"/>
  <c r="L67" i="264" s="1"/>
  <c r="X67" i="264" s="1"/>
  <c r="L68" i="264" a="1"/>
  <c r="L68" i="264" s="1"/>
  <c r="X68" i="264" s="1"/>
  <c r="N67" i="264" a="1"/>
  <c r="N67" i="264" s="1"/>
  <c r="Z67" i="264" s="1"/>
  <c r="N68" i="264" a="1"/>
  <c r="N68" i="264" s="1"/>
  <c r="Z68" i="264" s="1"/>
  <c r="H9" i="269"/>
  <c r="G72" i="221"/>
  <c r="G36" i="221" s="1"/>
  <c r="H24" i="269"/>
  <c r="G69" i="221"/>
  <c r="G33" i="221" s="1"/>
  <c r="O53" i="264" a="1"/>
  <c r="O53" i="264" s="1"/>
  <c r="AA53" i="264" s="1"/>
  <c r="O54" i="264" a="1"/>
  <c r="O54" i="264" s="1"/>
  <c r="AA54" i="264" s="1"/>
  <c r="F16" i="221"/>
  <c r="N30" i="264" a="1"/>
  <c r="N30" i="264" s="1"/>
  <c r="N31" i="264" a="1"/>
  <c r="N31" i="264" s="1"/>
  <c r="Z31" i="264" s="1"/>
  <c r="I9"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M18" i="264" a="1"/>
  <c r="M18" i="264" s="1"/>
  <c r="Y18" i="264" s="1"/>
  <c r="H39" i="269"/>
  <c r="G66" i="221"/>
  <c r="G30" i="221" s="1"/>
  <c r="F10" i="221"/>
  <c r="K16" i="264" a="1"/>
  <c r="K16" i="264" s="1"/>
  <c r="W16" i="264" s="1"/>
  <c r="K17" i="264" a="1"/>
  <c r="K17" i="264" s="1"/>
  <c r="W17" i="264" s="1"/>
  <c r="K18" i="264" a="1"/>
  <c r="K18" i="264" s="1"/>
  <c r="W18" i="264" s="1"/>
  <c r="F22" i="221"/>
  <c r="K60" i="264" a="1"/>
  <c r="K60" i="264" s="1"/>
  <c r="W60" i="264" s="1"/>
  <c r="K61" i="264" a="1"/>
  <c r="K61" i="264" s="1"/>
  <c r="W61" i="264" s="1"/>
  <c r="P74" i="264" a="1"/>
  <c r="P74" i="264" s="1"/>
  <c r="AB74" i="264" s="1"/>
  <c r="P75" i="264" a="1"/>
  <c r="P75" i="264" s="1"/>
  <c r="AB75" i="264" s="1"/>
  <c r="H16" i="221"/>
  <c r="P30" i="264" a="1"/>
  <c r="P30" i="264" s="1"/>
  <c r="P31" i="264" a="1"/>
  <c r="P31" i="264" s="1"/>
  <c r="AB31" i="264" s="1"/>
  <c r="F11" i="221"/>
  <c r="K23" i="264" a="1"/>
  <c r="K23" i="264" s="1"/>
  <c r="W23" i="264" s="1"/>
  <c r="K24" i="264" a="1"/>
  <c r="K24" i="264" s="1"/>
  <c r="W24" i="264" s="1"/>
  <c r="P60" i="264" a="1"/>
  <c r="P60" i="264" s="1"/>
  <c r="AB60" i="264" s="1"/>
  <c r="P61" i="264" a="1"/>
  <c r="P61" i="264" s="1"/>
  <c r="AB61" i="264" s="1"/>
  <c r="I24" i="269"/>
  <c r="H69" i="221"/>
  <c r="H33" i="221" s="1"/>
  <c r="I39" i="269"/>
  <c r="H66" i="221"/>
  <c r="H30" i="221" s="1"/>
  <c r="G58" i="221"/>
  <c r="G46" i="221"/>
  <c r="G39" i="269"/>
  <c r="F66" i="221"/>
  <c r="F30" i="221" s="1"/>
  <c r="G60" i="221"/>
  <c r="G48" i="221"/>
  <c r="O67" i="264" a="1"/>
  <c r="O67" i="264" s="1"/>
  <c r="AA67" i="264" s="1"/>
  <c r="O68" i="264" a="1"/>
  <c r="O68" i="264" s="1"/>
  <c r="AA68" i="264" s="1"/>
  <c r="P32" i="264" a="1"/>
  <c r="P32" i="264" s="1"/>
  <c r="AB32" i="264" s="1"/>
  <c r="H24" i="221"/>
  <c r="M74" i="264" a="1"/>
  <c r="M74" i="264" s="1"/>
  <c r="Y74" i="264" s="1"/>
  <c r="M75" i="264" a="1"/>
  <c r="M75" i="264" s="1"/>
  <c r="Y75" i="264" s="1"/>
  <c r="H12" i="221"/>
  <c r="M30" i="264" a="1"/>
  <c r="M30" i="264" s="1"/>
  <c r="Y30" i="264" s="1"/>
  <c r="M31" i="264" a="1"/>
  <c r="M31" i="264" s="1"/>
  <c r="Y31" i="264" s="1"/>
  <c r="H14" i="221"/>
  <c r="P16" i="264" a="1"/>
  <c r="P16" i="264" s="1"/>
  <c r="P17" i="264" a="1"/>
  <c r="P17" i="264" s="1"/>
  <c r="AB17" i="264" s="1"/>
  <c r="H15" i="221"/>
  <c r="P23" i="264" a="1"/>
  <c r="P23" i="264" s="1"/>
  <c r="P24" i="264" a="1"/>
  <c r="P24" i="264" s="1"/>
  <c r="AB24" i="264" s="1"/>
  <c r="G15" i="221"/>
  <c r="O23" i="264" a="1"/>
  <c r="O23" i="264" s="1"/>
  <c r="O24" i="264" a="1"/>
  <c r="O24" i="264" s="1"/>
  <c r="AA24" i="264" s="1"/>
  <c r="P25" i="264" a="1"/>
  <c r="P25" i="264" s="1"/>
  <c r="P67" i="264" a="1"/>
  <c r="P67" i="264" s="1"/>
  <c r="AB67" i="264" s="1"/>
  <c r="P68" i="264" a="1"/>
  <c r="P68" i="264" s="1"/>
  <c r="AB68" i="264" s="1"/>
  <c r="P55" i="264" a="1"/>
  <c r="P55" i="264" s="1"/>
  <c r="M32" i="264" a="1"/>
  <c r="M32" i="264" s="1"/>
  <c r="Y32" i="264" s="1"/>
  <c r="G21" i="221"/>
  <c r="L53" i="264" a="1"/>
  <c r="L53" i="264" s="1"/>
  <c r="X53" i="264" s="1"/>
  <c r="L54" i="264" a="1"/>
  <c r="L54" i="264" s="1"/>
  <c r="X54" i="264" s="1"/>
  <c r="L55" i="264" a="1"/>
  <c r="L55" i="264" s="1"/>
  <c r="X55" i="264" s="1"/>
  <c r="F14" i="221"/>
  <c r="N16" i="264" a="1"/>
  <c r="N16" i="264" s="1"/>
  <c r="N17" i="264" a="1"/>
  <c r="N17" i="264" s="1"/>
  <c r="Z17" i="264" s="1"/>
  <c r="G9" i="221"/>
  <c r="L9" i="264" a="1"/>
  <c r="L9" i="264" s="1"/>
  <c r="X9" i="264" s="1"/>
  <c r="L10" i="264" a="1"/>
  <c r="L10" i="264" s="1"/>
  <c r="X10" i="264" s="1"/>
  <c r="F13" i="221"/>
  <c r="N9" i="264" a="1"/>
  <c r="N9" i="264" s="1"/>
  <c r="N10" i="264" a="1"/>
  <c r="N10" i="264" s="1"/>
  <c r="Z10" i="264" s="1"/>
  <c r="H21" i="221"/>
  <c r="M53" i="264" a="1"/>
  <c r="M53" i="264" s="1"/>
  <c r="Y53" i="264" s="1"/>
  <c r="M54" i="264" a="1"/>
  <c r="M54" i="264" s="1"/>
  <c r="Y54" i="264" s="1"/>
  <c r="F21" i="221"/>
  <c r="K53" i="264" a="1"/>
  <c r="K53" i="264" s="1"/>
  <c r="W53" i="264" s="1"/>
  <c r="K54" i="264" a="1"/>
  <c r="K54" i="264" s="1"/>
  <c r="W54" i="264" s="1"/>
  <c r="H9" i="221"/>
  <c r="M9" i="264" a="1"/>
  <c r="M9" i="264" s="1"/>
  <c r="Y9" i="264" s="1"/>
  <c r="M10" i="264" a="1"/>
  <c r="M10" i="264" s="1"/>
  <c r="Y10" i="264" s="1"/>
  <c r="H11" i="221"/>
  <c r="M23" i="264" a="1"/>
  <c r="M23" i="264" s="1"/>
  <c r="Y23" i="264" s="1"/>
  <c r="M24" i="264" a="1"/>
  <c r="M24" i="264" s="1"/>
  <c r="Y24" i="264" s="1"/>
  <c r="F9" i="221"/>
  <c r="K9" i="264" a="1"/>
  <c r="K9" i="264" s="1"/>
  <c r="W9" i="264" s="1"/>
  <c r="K10" i="264" a="1"/>
  <c r="K10" i="264" s="1"/>
  <c r="W10" i="264" s="1"/>
  <c r="H23" i="221"/>
  <c r="M67" i="264" a="1"/>
  <c r="M67" i="264" s="1"/>
  <c r="Y67" i="264" s="1"/>
  <c r="M68" i="264" a="1"/>
  <c r="M68" i="264" s="1"/>
  <c r="Y68" i="264" s="1"/>
  <c r="H13" i="221"/>
  <c r="P9" i="264" a="1"/>
  <c r="P9" i="264" s="1"/>
  <c r="P10" i="264" a="1"/>
  <c r="P10" i="264" s="1"/>
  <c r="AB10" i="264" s="1"/>
  <c r="N60" i="264" a="1"/>
  <c r="N60" i="264" s="1"/>
  <c r="Z60" i="264" s="1"/>
  <c r="N61" i="264" a="1"/>
  <c r="N61" i="264" s="1"/>
  <c r="Z61" i="264" s="1"/>
  <c r="M62" i="264" a="1"/>
  <c r="M62" i="264" s="1"/>
  <c r="Y62" i="264" s="1"/>
  <c r="P18" i="264" a="1"/>
  <c r="P18" i="264" s="1"/>
  <c r="AB18" i="264" s="1"/>
  <c r="G11" i="221"/>
  <c r="L23" i="264" a="1"/>
  <c r="L23" i="264" s="1"/>
  <c r="X23" i="264" s="1"/>
  <c r="L24" i="264" a="1"/>
  <c r="L24" i="264" s="1"/>
  <c r="X24" i="264" s="1"/>
  <c r="F12" i="221"/>
  <c r="K30" i="264" a="1"/>
  <c r="K30" i="264" s="1"/>
  <c r="W30" i="264" s="1"/>
  <c r="K31" i="264" a="1"/>
  <c r="K31" i="264" s="1"/>
  <c r="W31" i="264" s="1"/>
  <c r="G13" i="221"/>
  <c r="O9" i="264" a="1"/>
  <c r="O9" i="264" s="1"/>
  <c r="O10" i="264" a="1"/>
  <c r="O10" i="264" s="1"/>
  <c r="AA10" i="264" s="1"/>
  <c r="G9" i="269"/>
  <c r="F72" i="221"/>
  <c r="F36" i="221" s="1"/>
  <c r="F24" i="221"/>
  <c r="K74" i="264" a="1"/>
  <c r="K74" i="264" s="1"/>
  <c r="W74" i="264" s="1"/>
  <c r="K75" i="264" a="1"/>
  <c r="K75" i="264" s="1"/>
  <c r="W75" i="264" s="1"/>
  <c r="C179" i="260"/>
  <c r="C139" i="260"/>
  <c r="G179" i="260"/>
  <c r="G139" i="260"/>
  <c r="V162" i="260"/>
  <c r="W11" i="264"/>
  <c r="AA69" i="264"/>
  <c r="AA11" i="264"/>
  <c r="AA55" i="264"/>
  <c r="AB11" i="264"/>
  <c r="Z32" i="264"/>
  <c r="AB76" i="264"/>
  <c r="Z25" i="264"/>
  <c r="AA25" i="264"/>
  <c r="AB25" i="264"/>
  <c r="AB55" i="264"/>
  <c r="Z55" i="264"/>
  <c r="Z62" i="264"/>
  <c r="AB62" i="264"/>
  <c r="Z18"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192" i="260"/>
  <c r="V182" i="260"/>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V36" i="267"/>
  <c r="G62" i="221"/>
  <c r="G50" i="221"/>
  <c r="G54" i="221"/>
  <c r="G42" i="221"/>
  <c r="G6" i="221" s="1"/>
  <c r="G64" i="221"/>
  <c r="G52" i="221"/>
  <c r="G44" i="221"/>
  <c r="G8" i="221" s="1"/>
  <c r="G56" i="221"/>
  <c r="V34" i="267"/>
  <c r="O18" i="260"/>
  <c r="Z16" i="264" l="1"/>
  <c r="AA23" i="264"/>
  <c r="AB23" i="264"/>
  <c r="AA9" i="264"/>
  <c r="Z23" i="264"/>
  <c r="AB9" i="264"/>
  <c r="AB30" i="264"/>
  <c r="Z9" i="264"/>
  <c r="AB16" i="264"/>
  <c r="Z30" i="264"/>
  <c r="G16" i="221"/>
  <c r="O30" i="264" a="1"/>
  <c r="O30" i="264" s="1"/>
  <c r="O31" i="264" a="1"/>
  <c r="O31" i="264" s="1"/>
  <c r="AA31" i="264" s="1"/>
  <c r="O32" i="264" a="1"/>
  <c r="O32" i="264" s="1"/>
  <c r="AA32" i="264" s="1"/>
  <c r="O60" i="264" a="1"/>
  <c r="O60" i="264" s="1"/>
  <c r="AA60" i="264" s="1"/>
  <c r="O61" i="264" a="1"/>
  <c r="O61" i="264" s="1"/>
  <c r="AA61" i="264" s="1"/>
  <c r="O62" i="264" a="1"/>
  <c r="O62" i="264" s="1"/>
  <c r="G14" i="221"/>
  <c r="O16" i="264" a="1"/>
  <c r="O16" i="264" s="1"/>
  <c r="O17" i="264" a="1"/>
  <c r="O17" i="264" s="1"/>
  <c r="AA17" i="264" s="1"/>
  <c r="O18" i="264" a="1"/>
  <c r="O18" i="264" s="1"/>
  <c r="AA18" i="264" s="1"/>
  <c r="G12" i="221"/>
  <c r="L30" i="264" a="1"/>
  <c r="L30" i="264" s="1"/>
  <c r="X30" i="264" s="1"/>
  <c r="L31" i="264" a="1"/>
  <c r="L31" i="264" s="1"/>
  <c r="X31" i="264" s="1"/>
  <c r="L32" i="264" a="1"/>
  <c r="L32" i="264" s="1"/>
  <c r="X32" i="264" s="1"/>
  <c r="G24" i="221"/>
  <c r="L74" i="264" a="1"/>
  <c r="L74" i="264" s="1"/>
  <c r="X74" i="264" s="1"/>
  <c r="L75" i="264" a="1"/>
  <c r="L75" i="264" s="1"/>
  <c r="X75" i="264" s="1"/>
  <c r="L76" i="264" a="1"/>
  <c r="L76" i="264" s="1"/>
  <c r="X76" i="264" s="1"/>
  <c r="G10" i="221"/>
  <c r="L16" i="264" a="1"/>
  <c r="L16" i="264" s="1"/>
  <c r="X16" i="264" s="1"/>
  <c r="L17" i="264" a="1"/>
  <c r="L17" i="264" s="1"/>
  <c r="X17" i="264" s="1"/>
  <c r="L18" i="264" a="1"/>
  <c r="L18" i="264" s="1"/>
  <c r="X18" i="264" s="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BC76" i="264"/>
  <c r="V33" i="267"/>
  <c r="V37"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E76" i="264"/>
  <c r="AH76" i="264"/>
  <c r="AF55" i="264"/>
  <c r="AF69" i="264"/>
  <c r="AG55" i="264"/>
  <c r="AH55" i="264"/>
  <c r="AC69" i="264"/>
  <c r="AC76" i="264"/>
  <c r="AE62" i="264"/>
  <c r="V202" i="260"/>
  <c r="V35" i="267"/>
  <c r="V39" i="267" s="1"/>
  <c r="AA30" i="264" l="1"/>
  <c r="AA16" i="264"/>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Z202" i="260"/>
  <c r="AC202" i="260" s="1"/>
  <c r="AA202" i="260"/>
  <c r="AD202" i="260" s="1"/>
  <c r="Y202" i="260"/>
  <c r="AB202" i="260" s="1"/>
  <c r="V43" i="267"/>
  <c r="V42" i="267"/>
  <c r="V41" i="267"/>
  <c r="V40" i="267"/>
  <c r="Y38" i="269"/>
  <c r="G38" i="269" s="1"/>
  <c r="AA7" i="269"/>
  <c r="I7" i="269" s="1"/>
  <c r="Y37" i="269"/>
  <c r="Z37" i="269"/>
  <c r="H37" i="269" s="1"/>
  <c r="AA37" i="269"/>
  <c r="I37" i="269" s="1"/>
  <c r="AA22" i="269"/>
  <c r="I22" i="269" s="1"/>
  <c r="Z23" i="269"/>
  <c r="H23" i="269" s="1"/>
  <c r="Z22" i="269"/>
  <c r="H22" i="269" s="1"/>
  <c r="Y22" i="269"/>
  <c r="G22" i="269" s="1"/>
  <c r="Y8" i="269"/>
  <c r="G8" i="269" s="1"/>
  <c r="Y23" i="269"/>
  <c r="G23" i="269" s="1"/>
  <c r="Y11" i="269"/>
  <c r="G11" i="269" s="1"/>
  <c r="AA23" i="269"/>
  <c r="I23" i="269" s="1"/>
  <c r="AA38" i="269"/>
  <c r="I38" i="269" s="1"/>
  <c r="Z38" i="269"/>
  <c r="H38" i="269" s="1"/>
  <c r="AA26" i="269"/>
  <c r="I26" i="269" s="1"/>
  <c r="Z26" i="269"/>
  <c r="H26" i="269" s="1"/>
  <c r="AA11" i="269"/>
  <c r="I11" i="269" s="1"/>
  <c r="H11" i="269"/>
  <c r="Z41" i="269"/>
  <c r="H41" i="269" s="1"/>
  <c r="AA41" i="269"/>
  <c r="I41" i="269" s="1"/>
  <c r="Y41" i="269"/>
  <c r="G41" i="269" s="1"/>
  <c r="AA27" i="269"/>
  <c r="I27" i="269" s="1"/>
  <c r="Z27" i="269"/>
  <c r="H27" i="269" s="1"/>
  <c r="Y27" i="269"/>
  <c r="G27" i="269" s="1"/>
  <c r="AA12" i="269"/>
  <c r="I12" i="269" s="1"/>
  <c r="Y12" i="269"/>
  <c r="G12" i="269" s="1"/>
  <c r="Z42" i="269"/>
  <c r="H42" i="269" s="1"/>
  <c r="AA42" i="269"/>
  <c r="I42" i="269" s="1"/>
  <c r="Y42" i="269"/>
  <c r="G42" i="269" s="1"/>
  <c r="Y8" i="260" l="1"/>
  <c r="Z9" i="260"/>
  <c r="AA10" i="260"/>
  <c r="Y12" i="260"/>
  <c r="Z13" i="260"/>
  <c r="AA14" i="260"/>
  <c r="Y7" i="260"/>
  <c r="Z8" i="260"/>
  <c r="AA9" i="260"/>
  <c r="Y11" i="260"/>
  <c r="Z12" i="260"/>
  <c r="AA13" i="260"/>
  <c r="Y15" i="260"/>
  <c r="Y47" i="260"/>
  <c r="Z48" i="260"/>
  <c r="AA49" i="260"/>
  <c r="Y51" i="260"/>
  <c r="Z52" i="260"/>
  <c r="AA53" i="260"/>
  <c r="Y55" i="260"/>
  <c r="Z7" i="260"/>
  <c r="AA8" i="260"/>
  <c r="Y10" i="260"/>
  <c r="Z11" i="260"/>
  <c r="AA12" i="260"/>
  <c r="Y14" i="260"/>
  <c r="Z15" i="260"/>
  <c r="Y46" i="260"/>
  <c r="Z47" i="260"/>
  <c r="AA48" i="260"/>
  <c r="Y50" i="260"/>
  <c r="Z51" i="260"/>
  <c r="AA52" i="260"/>
  <c r="Y54" i="260"/>
  <c r="Z55" i="260"/>
  <c r="Y86" i="260"/>
  <c r="Z87" i="260"/>
  <c r="AA88" i="260"/>
  <c r="Y90" i="260"/>
  <c r="Z91" i="260"/>
  <c r="AA92" i="260"/>
  <c r="Y94" i="260"/>
  <c r="Z95" i="260"/>
  <c r="AA7" i="260"/>
  <c r="Y9" i="260"/>
  <c r="Z10" i="260"/>
  <c r="AA11" i="260"/>
  <c r="Y13" i="260"/>
  <c r="Z14" i="260"/>
  <c r="AA15" i="260"/>
  <c r="AA46" i="260"/>
  <c r="Z49" i="260"/>
  <c r="Y52" i="260"/>
  <c r="AA54" i="260"/>
  <c r="AA86" i="260"/>
  <c r="Z88" i="260"/>
  <c r="Z90" i="260"/>
  <c r="Y92" i="260"/>
  <c r="AA93" i="260"/>
  <c r="AA95" i="260"/>
  <c r="Z126" i="260"/>
  <c r="Y129" i="260"/>
  <c r="Z130" i="260"/>
  <c r="Z134" i="260"/>
  <c r="AA47" i="260"/>
  <c r="Z50" i="260"/>
  <c r="Y53" i="260"/>
  <c r="AA55" i="260"/>
  <c r="Y87" i="260"/>
  <c r="Y89" i="260"/>
  <c r="AA90" i="260"/>
  <c r="Z92" i="260"/>
  <c r="Z94" i="260"/>
  <c r="AA126" i="260"/>
  <c r="Y128" i="260"/>
  <c r="Z129" i="260"/>
  <c r="AA130" i="260"/>
  <c r="Y132" i="260"/>
  <c r="Z133" i="260"/>
  <c r="AA134" i="260"/>
  <c r="Y48" i="260"/>
  <c r="AA50" i="260"/>
  <c r="Z53" i="260"/>
  <c r="AA87" i="260"/>
  <c r="Z89" i="260"/>
  <c r="Y91" i="260"/>
  <c r="Y93" i="260"/>
  <c r="AA94" i="260"/>
  <c r="Y127" i="260"/>
  <c r="Z128" i="260"/>
  <c r="AA129" i="260"/>
  <c r="Y131" i="260"/>
  <c r="Z132" i="260"/>
  <c r="AA133" i="260"/>
  <c r="Y135" i="260"/>
  <c r="Z46" i="260"/>
  <c r="Y49" i="260"/>
  <c r="AA51" i="260"/>
  <c r="Z54" i="260"/>
  <c r="Z86" i="260"/>
  <c r="Y88" i="260"/>
  <c r="AA89" i="260"/>
  <c r="AA91" i="260"/>
  <c r="Z93" i="260"/>
  <c r="Y95" i="260"/>
  <c r="Y126" i="260"/>
  <c r="Z127" i="260"/>
  <c r="AA128" i="260"/>
  <c r="Y130" i="260"/>
  <c r="Z131" i="260"/>
  <c r="AA132" i="260"/>
  <c r="Y134" i="260"/>
  <c r="Z135" i="260"/>
  <c r="Z6" i="260"/>
  <c r="AA127" i="260"/>
  <c r="AA131" i="260"/>
  <c r="Y133" i="260"/>
  <c r="AA135" i="260"/>
  <c r="AA6" i="260"/>
  <c r="Y6" i="260"/>
  <c r="Y16" i="260"/>
  <c r="Z17" i="260"/>
  <c r="AA18" i="260"/>
  <c r="Y20" i="260"/>
  <c r="Z21" i="260"/>
  <c r="AA22" i="260"/>
  <c r="Y24" i="260"/>
  <c r="Z25" i="260"/>
  <c r="Z16" i="260"/>
  <c r="AA17" i="260"/>
  <c r="Y19" i="260"/>
  <c r="Z20" i="260"/>
  <c r="AA21" i="260"/>
  <c r="Y23" i="260"/>
  <c r="Z24" i="260"/>
  <c r="AA25" i="260"/>
  <c r="Z56" i="260"/>
  <c r="AA57" i="260"/>
  <c r="Y59" i="260"/>
  <c r="Z60" i="260"/>
  <c r="AA61" i="260"/>
  <c r="Y63" i="260"/>
  <c r="Z64" i="260"/>
  <c r="AA65" i="260"/>
  <c r="AA16" i="260"/>
  <c r="Y18" i="260"/>
  <c r="Z19" i="260"/>
  <c r="AA20" i="260"/>
  <c r="Y22" i="260"/>
  <c r="Z23" i="260"/>
  <c r="AA24" i="260"/>
  <c r="AA56" i="260"/>
  <c r="Y58" i="260"/>
  <c r="Z59" i="260"/>
  <c r="AA60" i="260"/>
  <c r="Y62" i="260"/>
  <c r="Z63" i="260"/>
  <c r="AA64" i="260"/>
  <c r="AA96" i="260"/>
  <c r="Y98" i="260"/>
  <c r="Z99" i="260"/>
  <c r="AA100" i="260"/>
  <c r="Y102" i="260"/>
  <c r="Z103" i="260"/>
  <c r="AA104" i="260"/>
  <c r="Y17" i="260"/>
  <c r="Z18" i="260"/>
  <c r="AA19" i="260"/>
  <c r="Y25" i="260"/>
  <c r="Z57" i="260"/>
  <c r="Y60" i="260"/>
  <c r="AA62" i="260"/>
  <c r="Z65" i="260"/>
  <c r="Z97" i="260"/>
  <c r="Y99" i="260"/>
  <c r="Y101" i="260"/>
  <c r="AA102" i="260"/>
  <c r="Z104" i="260"/>
  <c r="Y137" i="260"/>
  <c r="AA139" i="260"/>
  <c r="Y141" i="260"/>
  <c r="Z142" i="260"/>
  <c r="AA143" i="260"/>
  <c r="Y21" i="260"/>
  <c r="Z58" i="260"/>
  <c r="Y61" i="260"/>
  <c r="AA63" i="260"/>
  <c r="Y96" i="260"/>
  <c r="AA97" i="260"/>
  <c r="AA99" i="260"/>
  <c r="Z101" i="260"/>
  <c r="Y103" i="260"/>
  <c r="Y105" i="260"/>
  <c r="Y136" i="260"/>
  <c r="Z137" i="260"/>
  <c r="AA138" i="260"/>
  <c r="Y140" i="260"/>
  <c r="Z141" i="260"/>
  <c r="AA142" i="260"/>
  <c r="Y144" i="260"/>
  <c r="Z145" i="260"/>
  <c r="Z22" i="260"/>
  <c r="Y56" i="260"/>
  <c r="AA58" i="260"/>
  <c r="Z61" i="260"/>
  <c r="Y64" i="260"/>
  <c r="Z96" i="260"/>
  <c r="Z98" i="260"/>
  <c r="Y100" i="260"/>
  <c r="AA101" i="260"/>
  <c r="AA103" i="260"/>
  <c r="Z105" i="260"/>
  <c r="Z136" i="260"/>
  <c r="AA137" i="260"/>
  <c r="Y139" i="260"/>
  <c r="Z140" i="260"/>
  <c r="AA141" i="260"/>
  <c r="Y143" i="260"/>
  <c r="Z144" i="260"/>
  <c r="AA145" i="260"/>
  <c r="AA23" i="260"/>
  <c r="Y57" i="260"/>
  <c r="AA59" i="260"/>
  <c r="Z62" i="260"/>
  <c r="Y65" i="260"/>
  <c r="Y97" i="260"/>
  <c r="AA98" i="260"/>
  <c r="Z100" i="260"/>
  <c r="Z102" i="260"/>
  <c r="Y104" i="260"/>
  <c r="AA105" i="260"/>
  <c r="AA136" i="260"/>
  <c r="Y138" i="260"/>
  <c r="Z139" i="260"/>
  <c r="AA140" i="260"/>
  <c r="Y142" i="260"/>
  <c r="Z143" i="260"/>
  <c r="AA144" i="260"/>
  <c r="Z138" i="260"/>
  <c r="Y145" i="260"/>
  <c r="AA26" i="260"/>
  <c r="Y28" i="260"/>
  <c r="Z29" i="260"/>
  <c r="AA30" i="260"/>
  <c r="Y32" i="260"/>
  <c r="Z33" i="260"/>
  <c r="AA34" i="260"/>
  <c r="Y27" i="260"/>
  <c r="Z28" i="260"/>
  <c r="AA29" i="260"/>
  <c r="Y31" i="260"/>
  <c r="Z32" i="260"/>
  <c r="AA33" i="260"/>
  <c r="Y35" i="260"/>
  <c r="Y67" i="260"/>
  <c r="Z68" i="260"/>
  <c r="AA69" i="260"/>
  <c r="Y71" i="260"/>
  <c r="Z72" i="260"/>
  <c r="AA73" i="260"/>
  <c r="Y75" i="260"/>
  <c r="Y26" i="260"/>
  <c r="Z27" i="260"/>
  <c r="AA28" i="260"/>
  <c r="Y30" i="260"/>
  <c r="Z31" i="260"/>
  <c r="AA32" i="260"/>
  <c r="Y34" i="260"/>
  <c r="Z35" i="260"/>
  <c r="Y66" i="260"/>
  <c r="Z67" i="260"/>
  <c r="AA68" i="260"/>
  <c r="Y70" i="260"/>
  <c r="Z71" i="260"/>
  <c r="AA72" i="260"/>
  <c r="Y74" i="260"/>
  <c r="Z75" i="260"/>
  <c r="Y106" i="260"/>
  <c r="Z107" i="260"/>
  <c r="AA108" i="260"/>
  <c r="Y110" i="260"/>
  <c r="Z111" i="260"/>
  <c r="Z30" i="260"/>
  <c r="AA35" i="260"/>
  <c r="Y68" i="260"/>
  <c r="AA70" i="260"/>
  <c r="Z73" i="260"/>
  <c r="Z106" i="260"/>
  <c r="Y108" i="260"/>
  <c r="AA109" i="260"/>
  <c r="AA111" i="260"/>
  <c r="Y113" i="260"/>
  <c r="Z114" i="260"/>
  <c r="AA115" i="260"/>
  <c r="AA147" i="260"/>
  <c r="Y149" i="260"/>
  <c r="Z26" i="260"/>
  <c r="AA31" i="260"/>
  <c r="Z66" i="260"/>
  <c r="Y69" i="260"/>
  <c r="AA71" i="260"/>
  <c r="Z74" i="260"/>
  <c r="AA106" i="260"/>
  <c r="Z108" i="260"/>
  <c r="Z110" i="260"/>
  <c r="Y112" i="260"/>
  <c r="Z113" i="260"/>
  <c r="AA114" i="260"/>
  <c r="AA146" i="260"/>
  <c r="Y148" i="260"/>
  <c r="Z149" i="260"/>
  <c r="AA150" i="260"/>
  <c r="Y152" i="260"/>
  <c r="Z153" i="260"/>
  <c r="AA154" i="260"/>
  <c r="AA27" i="260"/>
  <c r="Y33" i="260"/>
  <c r="AA66" i="260"/>
  <c r="Z69" i="260"/>
  <c r="Y72" i="260"/>
  <c r="AA74" i="260"/>
  <c r="Y107" i="260"/>
  <c r="Y109" i="260"/>
  <c r="AA110" i="260"/>
  <c r="Z112" i="260"/>
  <c r="AA113" i="260"/>
  <c r="Y115" i="260"/>
  <c r="Y147" i="260"/>
  <c r="Z148" i="260"/>
  <c r="AA149" i="260"/>
  <c r="Y151" i="260"/>
  <c r="Z152" i="260"/>
  <c r="AA153" i="260"/>
  <c r="Y155" i="260"/>
  <c r="Y29" i="260"/>
  <c r="Z34" i="260"/>
  <c r="AA67" i="260"/>
  <c r="Z70" i="260"/>
  <c r="Y73" i="260"/>
  <c r="AA75" i="260"/>
  <c r="AA107" i="260"/>
  <c r="Z109" i="260"/>
  <c r="Y111" i="260"/>
  <c r="AA112" i="260"/>
  <c r="Y114" i="260"/>
  <c r="Z115" i="260"/>
  <c r="Y146" i="260"/>
  <c r="Z147" i="260"/>
  <c r="AA148" i="260"/>
  <c r="Y150" i="260"/>
  <c r="Z151" i="260"/>
  <c r="AA152" i="260"/>
  <c r="Y154" i="260"/>
  <c r="Z155" i="260"/>
  <c r="Z146" i="260"/>
  <c r="Z150" i="260"/>
  <c r="AA151" i="260"/>
  <c r="Y153" i="260"/>
  <c r="Z154" i="260"/>
  <c r="AA155" i="260"/>
  <c r="Y36" i="260"/>
  <c r="Z37" i="260"/>
  <c r="AA38" i="260"/>
  <c r="Y40" i="260"/>
  <c r="Z41" i="260"/>
  <c r="Z36" i="260"/>
  <c r="AA37" i="260"/>
  <c r="Y39" i="260"/>
  <c r="Z40" i="260"/>
  <c r="AA41" i="260"/>
  <c r="Y43" i="260"/>
  <c r="Z44" i="260"/>
  <c r="AA45" i="260"/>
  <c r="Z76" i="260"/>
  <c r="AA77" i="260"/>
  <c r="Y79" i="260"/>
  <c r="Z80" i="260"/>
  <c r="AA36" i="260"/>
  <c r="Y38" i="260"/>
  <c r="Z39" i="260"/>
  <c r="AA40" i="260"/>
  <c r="Y42" i="260"/>
  <c r="Z43" i="260"/>
  <c r="AA44" i="260"/>
  <c r="AA76" i="260"/>
  <c r="Y78" i="260"/>
  <c r="Z79" i="260"/>
  <c r="AA80" i="260"/>
  <c r="Y82" i="260"/>
  <c r="Z83" i="260"/>
  <c r="AA84" i="260"/>
  <c r="Y41" i="260"/>
  <c r="Y44" i="260"/>
  <c r="Y76" i="260"/>
  <c r="AA78" i="260"/>
  <c r="Z81" i="260"/>
  <c r="Y83" i="260"/>
  <c r="Y85" i="260"/>
  <c r="Y117" i="260"/>
  <c r="Z118" i="260"/>
  <c r="AA119" i="260"/>
  <c r="Y121" i="260"/>
  <c r="Z122" i="260"/>
  <c r="AA123" i="260"/>
  <c r="Y125" i="260"/>
  <c r="Y37" i="260"/>
  <c r="Z42" i="260"/>
  <c r="Y45" i="260"/>
  <c r="Y77" i="260"/>
  <c r="AA79" i="260"/>
  <c r="AA81" i="260"/>
  <c r="AA83" i="260"/>
  <c r="Z85" i="260"/>
  <c r="Y116" i="260"/>
  <c r="Z117" i="260"/>
  <c r="AA118" i="260"/>
  <c r="Y120" i="260"/>
  <c r="Z121" i="260"/>
  <c r="AA122" i="260"/>
  <c r="Y124" i="260"/>
  <c r="Z125" i="260"/>
  <c r="Y156" i="260"/>
  <c r="Z157" i="260"/>
  <c r="AA158" i="260"/>
  <c r="Z38" i="260"/>
  <c r="AA42" i="260"/>
  <c r="Z45" i="260"/>
  <c r="Z77" i="260"/>
  <c r="Y80" i="260"/>
  <c r="Z82" i="260"/>
  <c r="Y84" i="260"/>
  <c r="AA85" i="260"/>
  <c r="Z116" i="260"/>
  <c r="AA117" i="260"/>
  <c r="Y119" i="260"/>
  <c r="Z120" i="260"/>
  <c r="AA121" i="260"/>
  <c r="Y123" i="260"/>
  <c r="Z124" i="260"/>
  <c r="AC124" i="260" s="1"/>
  <c r="AA125" i="260"/>
  <c r="Z156" i="260"/>
  <c r="AA157" i="260"/>
  <c r="AD157" i="260" s="1"/>
  <c r="K157" i="260" s="1"/>
  <c r="AA39" i="260"/>
  <c r="AA43" i="260"/>
  <c r="Z78" i="260"/>
  <c r="Y81" i="260"/>
  <c r="AA82" i="260"/>
  <c r="Z84" i="260"/>
  <c r="AA116" i="260"/>
  <c r="Y118" i="260"/>
  <c r="Z119" i="260"/>
  <c r="AA120" i="260"/>
  <c r="Y122" i="260"/>
  <c r="Z123" i="260"/>
  <c r="AA124" i="260"/>
  <c r="AD124" i="260" s="1"/>
  <c r="AA156" i="260"/>
  <c r="Y158" i="260"/>
  <c r="AB158" i="260" s="1"/>
  <c r="I158" i="260" s="1"/>
  <c r="T158" i="260" s="1"/>
  <c r="Z159" i="260"/>
  <c r="AC159" i="260" s="1"/>
  <c r="J159" i="260" s="1"/>
  <c r="AA160" i="260"/>
  <c r="AD160" i="260" s="1"/>
  <c r="K160" i="260" s="1"/>
  <c r="Y162" i="260"/>
  <c r="Z163" i="260"/>
  <c r="AA164" i="260"/>
  <c r="Y157" i="260"/>
  <c r="AB157" i="260" s="1"/>
  <c r="I157" i="260" s="1"/>
  <c r="T157" i="260" s="1"/>
  <c r="Y160" i="260"/>
  <c r="Z158" i="260"/>
  <c r="Z160" i="260"/>
  <c r="AC160" i="260" s="1"/>
  <c r="J160" i="260" s="1"/>
  <c r="Z162" i="260"/>
  <c r="AC162" i="260" s="1"/>
  <c r="J162" i="260" s="1"/>
  <c r="Y164" i="260"/>
  <c r="AA165" i="260"/>
  <c r="Z164" i="260"/>
  <c r="AC164" i="260" s="1"/>
  <c r="AA161" i="260"/>
  <c r="Y159" i="260"/>
  <c r="Y161" i="260"/>
  <c r="AA162" i="260"/>
  <c r="AD162" i="260" s="1"/>
  <c r="K162" i="260" s="1"/>
  <c r="Y163" i="260"/>
  <c r="Z165" i="260"/>
  <c r="AA159" i="260"/>
  <c r="Z161" i="260"/>
  <c r="Y165" i="260"/>
  <c r="AB165" i="260" s="1"/>
  <c r="I165" i="260" s="1"/>
  <c r="T165" i="260" s="1"/>
  <c r="AA163" i="260"/>
  <c r="AD136" i="260"/>
  <c r="AD138" i="260"/>
  <c r="K138" i="260" s="1"/>
  <c r="AD141" i="260"/>
  <c r="K141" i="260" s="1"/>
  <c r="AD143" i="260"/>
  <c r="K143" i="260" s="1"/>
  <c r="AD137" i="260"/>
  <c r="K137" i="260" s="1"/>
  <c r="AD139" i="260"/>
  <c r="K139" i="260" s="1"/>
  <c r="AD145" i="260"/>
  <c r="K145" i="260" s="1"/>
  <c r="AD140" i="260"/>
  <c r="K140" i="260" s="1"/>
  <c r="AD144" i="260"/>
  <c r="AB144" i="260"/>
  <c r="AC141" i="260"/>
  <c r="J141" i="260" s="1"/>
  <c r="AC143" i="260"/>
  <c r="J143" i="260" s="1"/>
  <c r="AB137" i="260"/>
  <c r="I137" i="260" s="1"/>
  <c r="AC145" i="260"/>
  <c r="J145" i="260" s="1"/>
  <c r="AC140" i="260"/>
  <c r="J140" i="260" s="1"/>
  <c r="AB136" i="260"/>
  <c r="AC144" i="260"/>
  <c r="AB141" i="260"/>
  <c r="I141" i="260" s="1"/>
  <c r="AB145" i="260"/>
  <c r="I145" i="260" s="1"/>
  <c r="T145" i="260" s="1"/>
  <c r="AB16" i="260"/>
  <c r="AC139" i="260"/>
  <c r="J139" i="260" s="1"/>
  <c r="AB138" i="260"/>
  <c r="I138" i="260" s="1"/>
  <c r="AC138" i="260"/>
  <c r="J138" i="260" s="1"/>
  <c r="AB143" i="260"/>
  <c r="I143" i="260" s="1"/>
  <c r="T143" i="260" s="1"/>
  <c r="AB139" i="260"/>
  <c r="I139" i="260" s="1"/>
  <c r="AC137" i="260"/>
  <c r="J137" i="260" s="1"/>
  <c r="T137" i="260" s="1"/>
  <c r="AB140" i="260"/>
  <c r="I140" i="260" s="1"/>
  <c r="AC136" i="260"/>
  <c r="AC142" i="260"/>
  <c r="J142" i="260" s="1"/>
  <c r="AD142" i="260"/>
  <c r="K142" i="260" s="1"/>
  <c r="AB142" i="260"/>
  <c r="I142" i="260" s="1"/>
  <c r="T142" i="260" s="1"/>
  <c r="AD159" i="260"/>
  <c r="K159" i="260" s="1"/>
  <c r="AD165" i="260"/>
  <c r="K165" i="260" s="1"/>
  <c r="AD163" i="260"/>
  <c r="K163" i="260" s="1"/>
  <c r="AD158" i="260"/>
  <c r="K158" i="260" s="1"/>
  <c r="AD156" i="260"/>
  <c r="AD164" i="260"/>
  <c r="AD161" i="260"/>
  <c r="K161" i="260" s="1"/>
  <c r="AC157" i="260"/>
  <c r="J157" i="260" s="1"/>
  <c r="AB163" i="260"/>
  <c r="I163" i="260" s="1"/>
  <c r="AC165" i="260"/>
  <c r="J165" i="260" s="1"/>
  <c r="AC156" i="260"/>
  <c r="AC158" i="260"/>
  <c r="J158" i="260" s="1"/>
  <c r="AB159" i="260"/>
  <c r="I159" i="260" s="1"/>
  <c r="AC163" i="260"/>
  <c r="J163" i="260" s="1"/>
  <c r="AB160" i="260"/>
  <c r="I160" i="260" s="1"/>
  <c r="AB156" i="260"/>
  <c r="AC161" i="260"/>
  <c r="J161" i="260" s="1"/>
  <c r="AB161" i="260"/>
  <c r="I161" i="260" s="1"/>
  <c r="AB164" i="260"/>
  <c r="AB162" i="260"/>
  <c r="I162" i="260" s="1"/>
  <c r="AD147" i="260"/>
  <c r="K147" i="260" s="1"/>
  <c r="AD151" i="260"/>
  <c r="K151" i="260" s="1"/>
  <c r="AD154" i="260"/>
  <c r="AD150" i="260"/>
  <c r="K150" i="260" s="1"/>
  <c r="AD148" i="260"/>
  <c r="K148" i="260" s="1"/>
  <c r="AD146" i="260"/>
  <c r="AD155" i="260"/>
  <c r="K155" i="260" s="1"/>
  <c r="AD149" i="260"/>
  <c r="K149" i="260" s="1"/>
  <c r="AD153" i="260"/>
  <c r="K153" i="260" s="1"/>
  <c r="AC155" i="260"/>
  <c r="J155" i="260" s="1"/>
  <c r="AC150" i="260"/>
  <c r="J150" i="260" s="1"/>
  <c r="AB151" i="260"/>
  <c r="I151" i="260" s="1"/>
  <c r="AC154" i="260"/>
  <c r="AC146" i="260"/>
  <c r="AC147" i="260"/>
  <c r="J147" i="260" s="1"/>
  <c r="AB148" i="260"/>
  <c r="I148" i="260" s="1"/>
  <c r="AB154" i="260"/>
  <c r="AB155" i="260"/>
  <c r="I155" i="260" s="1"/>
  <c r="T155" i="260" s="1"/>
  <c r="AB150" i="260"/>
  <c r="I150" i="260" s="1"/>
  <c r="AB153" i="260"/>
  <c r="I153" i="260" s="1"/>
  <c r="AC149" i="260"/>
  <c r="J149" i="260" s="1"/>
  <c r="AB146" i="260"/>
  <c r="AB147" i="260"/>
  <c r="I147" i="260" s="1"/>
  <c r="AC153" i="260"/>
  <c r="J153" i="260" s="1"/>
  <c r="AB149" i="260"/>
  <c r="I149" i="260" s="1"/>
  <c r="AC148" i="260"/>
  <c r="J148" i="260" s="1"/>
  <c r="AC151" i="260"/>
  <c r="J151" i="260" s="1"/>
  <c r="AB152" i="260"/>
  <c r="I152" i="260" s="1"/>
  <c r="AC152" i="260"/>
  <c r="J152" i="260" s="1"/>
  <c r="AD152" i="260"/>
  <c r="K152" i="260" s="1"/>
  <c r="G37" i="269"/>
  <c r="F65" i="221"/>
  <c r="AD126" i="260"/>
  <c r="AD135" i="260"/>
  <c r="K135" i="260" s="1"/>
  <c r="AD133" i="260"/>
  <c r="K133" i="260" s="1"/>
  <c r="AD129" i="260"/>
  <c r="K129" i="260" s="1"/>
  <c r="AD131" i="260"/>
  <c r="K131" i="260" s="1"/>
  <c r="AD127" i="260"/>
  <c r="K127" i="260" s="1"/>
  <c r="AD128" i="260"/>
  <c r="K128" i="260" s="1"/>
  <c r="AD130" i="260"/>
  <c r="K130" i="260" s="1"/>
  <c r="AD134" i="260"/>
  <c r="AB46" i="260"/>
  <c r="I46" i="260" s="1"/>
  <c r="AB130" i="260"/>
  <c r="I130" i="260" s="1"/>
  <c r="AC134" i="260"/>
  <c r="AB126" i="260"/>
  <c r="AC131" i="260"/>
  <c r="J131" i="260" s="1"/>
  <c r="AB134" i="260"/>
  <c r="AC129" i="260"/>
  <c r="J129" i="260" s="1"/>
  <c r="AB133" i="260"/>
  <c r="I133" i="260" s="1"/>
  <c r="T133" i="260" s="1"/>
  <c r="AB135" i="260"/>
  <c r="I135" i="260" s="1"/>
  <c r="AC128" i="260"/>
  <c r="J128" i="260" s="1"/>
  <c r="AC130" i="260"/>
  <c r="J130" i="260" s="1"/>
  <c r="AC127" i="260"/>
  <c r="J127" i="260" s="1"/>
  <c r="AB6" i="260"/>
  <c r="AC126" i="260"/>
  <c r="AB129" i="260"/>
  <c r="I129" i="260" s="1"/>
  <c r="AB131" i="260"/>
  <c r="I131" i="260" s="1"/>
  <c r="AC135" i="260"/>
  <c r="J135" i="260" s="1"/>
  <c r="AB128" i="260"/>
  <c r="I128" i="260" s="1"/>
  <c r="AC133" i="260"/>
  <c r="J133" i="260" s="1"/>
  <c r="AB127" i="260"/>
  <c r="I127" i="260" s="1"/>
  <c r="AC132" i="260"/>
  <c r="J132" i="260" s="1"/>
  <c r="AB132" i="260"/>
  <c r="I132" i="260" s="1"/>
  <c r="AD132" i="260"/>
  <c r="K132" i="260" s="1"/>
  <c r="AD74" i="264"/>
  <c r="AD60" i="264"/>
  <c r="Q22" i="269"/>
  <c r="AB87" i="260"/>
  <c r="I87" i="260" s="1"/>
  <c r="AC94" i="260"/>
  <c r="AC89" i="260"/>
  <c r="J89" i="260" s="1"/>
  <c r="AB88" i="260"/>
  <c r="I88" i="260" s="1"/>
  <c r="AC88" i="260"/>
  <c r="J88" i="260" s="1"/>
  <c r="AD88" i="260"/>
  <c r="K88" i="260" s="1"/>
  <c r="AD91" i="260"/>
  <c r="K91" i="260" s="1"/>
  <c r="AD89" i="260"/>
  <c r="K89" i="260" s="1"/>
  <c r="AC86" i="260"/>
  <c r="AC91" i="260"/>
  <c r="J91" i="260" s="1"/>
  <c r="AD86" i="260"/>
  <c r="AC90" i="260"/>
  <c r="J90" i="260" s="1"/>
  <c r="AB93" i="260"/>
  <c r="I93" i="260" s="1"/>
  <c r="AB90" i="260"/>
  <c r="I90" i="260" s="1"/>
  <c r="AD90" i="260"/>
  <c r="K90" i="260" s="1"/>
  <c r="AD93" i="260"/>
  <c r="K93" i="260" s="1"/>
  <c r="AC93" i="260"/>
  <c r="J93" i="260" s="1"/>
  <c r="AB86" i="260"/>
  <c r="AD94" i="260"/>
  <c r="AB94" i="260"/>
  <c r="AB89" i="260"/>
  <c r="I89" i="260" s="1"/>
  <c r="AD87" i="260"/>
  <c r="K87" i="260" s="1"/>
  <c r="AB91" i="260"/>
  <c r="AC87" i="260"/>
  <c r="J87" i="260" s="1"/>
  <c r="Z169" i="260"/>
  <c r="AC169" i="260" s="1"/>
  <c r="AA171" i="260"/>
  <c r="AD171" i="260" s="1"/>
  <c r="Z171" i="260"/>
  <c r="AC171" i="260" s="1"/>
  <c r="Y174" i="260"/>
  <c r="AB174" i="260" s="1"/>
  <c r="Y171" i="260"/>
  <c r="AB171" i="260" s="1"/>
  <c r="AA174" i="260"/>
  <c r="AD174" i="260" s="1"/>
  <c r="Z174" i="260"/>
  <c r="AC174" i="260" s="1"/>
  <c r="Y173" i="260"/>
  <c r="AB173" i="260" s="1"/>
  <c r="AA173" i="260"/>
  <c r="AD173" i="260" s="1"/>
  <c r="Z173" i="260"/>
  <c r="AC173" i="260" s="1"/>
  <c r="Y167" i="260"/>
  <c r="AB167" i="260" s="1"/>
  <c r="AA167" i="260"/>
  <c r="AD167" i="260" s="1"/>
  <c r="AD95" i="260"/>
  <c r="K95" i="260" s="1"/>
  <c r="Z167" i="260"/>
  <c r="AC167" i="260" s="1"/>
  <c r="AC95" i="260"/>
  <c r="J95" i="260" s="1"/>
  <c r="AB95" i="260"/>
  <c r="I95" i="260" s="1"/>
  <c r="Y169" i="260"/>
  <c r="AB169" i="260" s="1"/>
  <c r="AA169" i="260"/>
  <c r="AD169" i="260" s="1"/>
  <c r="Y170" i="260"/>
  <c r="AB170" i="260" s="1"/>
  <c r="Z170" i="260"/>
  <c r="AC170" i="260" s="1"/>
  <c r="AA170" i="260"/>
  <c r="AD170" i="260" s="1"/>
  <c r="AA168" i="260"/>
  <c r="AD168" i="260" s="1"/>
  <c r="Z166" i="260"/>
  <c r="AC166" i="260" s="1"/>
  <c r="Z168" i="260"/>
  <c r="AC168" i="260" s="1"/>
  <c r="Y166" i="260"/>
  <c r="AB166" i="260" s="1"/>
  <c r="Y168" i="260"/>
  <c r="AB168" i="260" s="1"/>
  <c r="AA166" i="260"/>
  <c r="AD166" i="260" s="1"/>
  <c r="AA175" i="260"/>
  <c r="AD175" i="260" s="1"/>
  <c r="K175" i="260" s="1"/>
  <c r="Z175" i="260"/>
  <c r="AC175" i="260" s="1"/>
  <c r="J175" i="260" s="1"/>
  <c r="Y175" i="260"/>
  <c r="AB175" i="260" s="1"/>
  <c r="I175" i="260" s="1"/>
  <c r="AB92" i="260"/>
  <c r="I92" i="260" s="1"/>
  <c r="AC92" i="260"/>
  <c r="J92" i="260" s="1"/>
  <c r="AD92" i="260"/>
  <c r="K92" i="260" s="1"/>
  <c r="AA172" i="260"/>
  <c r="AD172" i="260" s="1"/>
  <c r="Y172" i="260"/>
  <c r="AB172" i="260" s="1"/>
  <c r="Z172" i="260"/>
  <c r="AC172" i="260" s="1"/>
  <c r="AC101" i="260"/>
  <c r="J101" i="260" s="1"/>
  <c r="AD104" i="260"/>
  <c r="AB105" i="260"/>
  <c r="I105" i="260" s="1"/>
  <c r="AB101" i="260"/>
  <c r="I101" i="260" s="1"/>
  <c r="AD100" i="260"/>
  <c r="K100" i="260" s="1"/>
  <c r="AD105" i="260"/>
  <c r="K105" i="260" s="1"/>
  <c r="AB98" i="260"/>
  <c r="I98" i="260" s="1"/>
  <c r="AB100" i="260"/>
  <c r="I100" i="260" s="1"/>
  <c r="AC104" i="260"/>
  <c r="AC96" i="260"/>
  <c r="J96" i="260" s="1"/>
  <c r="AD97" i="260"/>
  <c r="K97" i="260" s="1"/>
  <c r="AC99" i="260"/>
  <c r="J99" i="260" s="1"/>
  <c r="AC105" i="260"/>
  <c r="J105" i="260" s="1"/>
  <c r="AB104" i="260"/>
  <c r="AD96" i="260"/>
  <c r="K96" i="260" s="1"/>
  <c r="AD99" i="260"/>
  <c r="K99" i="260" s="1"/>
  <c r="AD98" i="260"/>
  <c r="K98" i="260" s="1"/>
  <c r="AB97" i="260"/>
  <c r="I97" i="260" s="1"/>
  <c r="AC103" i="260"/>
  <c r="J103" i="260" s="1"/>
  <c r="AB96" i="260"/>
  <c r="I96" i="260" s="1"/>
  <c r="AC98" i="260"/>
  <c r="J98" i="260" s="1"/>
  <c r="AB103" i="260"/>
  <c r="I103" i="260" s="1"/>
  <c r="AC100" i="260"/>
  <c r="J100" i="260" s="1"/>
  <c r="AD101" i="260"/>
  <c r="K101" i="260" s="1"/>
  <c r="AB99" i="260"/>
  <c r="I99" i="260" s="1"/>
  <c r="AC97" i="260"/>
  <c r="J97" i="260" s="1"/>
  <c r="AD103" i="260"/>
  <c r="K103" i="260" s="1"/>
  <c r="AA178" i="260"/>
  <c r="AD178" i="260" s="1"/>
  <c r="AA185" i="260"/>
  <c r="AD185" i="260" s="1"/>
  <c r="Z178" i="260"/>
  <c r="AC178" i="260" s="1"/>
  <c r="Z183" i="260"/>
  <c r="AC183" i="260" s="1"/>
  <c r="Z185" i="260"/>
  <c r="AC185" i="260" s="1"/>
  <c r="Y178" i="260"/>
  <c r="AB178" i="260" s="1"/>
  <c r="Y185" i="260"/>
  <c r="AB185" i="260" s="1"/>
  <c r="Y177" i="260"/>
  <c r="AB177" i="260" s="1"/>
  <c r="AA184" i="260"/>
  <c r="AD184" i="260" s="1"/>
  <c r="AA177" i="260"/>
  <c r="AD177" i="260" s="1"/>
  <c r="Z184" i="260"/>
  <c r="AC184" i="260" s="1"/>
  <c r="Z177" i="260"/>
  <c r="AC177" i="260" s="1"/>
  <c r="Y184" i="260"/>
  <c r="AB184" i="260" s="1"/>
  <c r="Y183" i="260"/>
  <c r="AB183" i="260" s="1"/>
  <c r="AA180" i="260"/>
  <c r="AD180" i="260" s="1"/>
  <c r="AA183" i="260"/>
  <c r="AD183" i="260" s="1"/>
  <c r="Z180" i="260"/>
  <c r="AC180" i="260" s="1"/>
  <c r="Y180" i="260"/>
  <c r="AB180" i="260" s="1"/>
  <c r="AA179" i="260"/>
  <c r="AD179" i="260" s="1"/>
  <c r="Z179" i="260"/>
  <c r="AC179" i="260" s="1"/>
  <c r="Y179" i="260"/>
  <c r="AB179" i="260" s="1"/>
  <c r="Y181" i="260"/>
  <c r="AB181" i="260" s="1"/>
  <c r="AA181" i="260"/>
  <c r="AD181" i="260" s="1"/>
  <c r="Z181" i="260"/>
  <c r="AC181" i="260" s="1"/>
  <c r="AA176" i="260"/>
  <c r="AD176" i="260" s="1"/>
  <c r="Z176" i="260"/>
  <c r="AC176" i="260" s="1"/>
  <c r="Y176" i="260"/>
  <c r="AB176" i="260" s="1"/>
  <c r="AD102" i="260"/>
  <c r="K102" i="260" s="1"/>
  <c r="AC102" i="260"/>
  <c r="J102" i="260" s="1"/>
  <c r="AB102" i="260"/>
  <c r="I102" i="260" s="1"/>
  <c r="AA182" i="260"/>
  <c r="AD182" i="260" s="1"/>
  <c r="Z182" i="260"/>
  <c r="AC182" i="260" s="1"/>
  <c r="Y182" i="260"/>
  <c r="AB182" i="260" s="1"/>
  <c r="V49" i="267"/>
  <c r="AC108" i="260"/>
  <c r="J108" i="260" s="1"/>
  <c r="AD114" i="260"/>
  <c r="AB115" i="260"/>
  <c r="I115" i="260" s="1"/>
  <c r="AD111" i="260"/>
  <c r="K111" i="260" s="1"/>
  <c r="AC115" i="260"/>
  <c r="J115" i="260" s="1"/>
  <c r="AC113" i="260"/>
  <c r="J113" i="260" s="1"/>
  <c r="AC107" i="260"/>
  <c r="J107" i="260" s="1"/>
  <c r="AB107" i="260"/>
  <c r="I107" i="260" s="1"/>
  <c r="AB106" i="260"/>
  <c r="I106" i="260" s="1"/>
  <c r="AD107" i="260"/>
  <c r="K107" i="260" s="1"/>
  <c r="AB109" i="260"/>
  <c r="I109" i="260" s="1"/>
  <c r="AD113" i="260"/>
  <c r="K113" i="260" s="1"/>
  <c r="AD109" i="260"/>
  <c r="K109" i="260" s="1"/>
  <c r="AB114" i="260"/>
  <c r="AC109" i="260"/>
  <c r="J109" i="260" s="1"/>
  <c r="AB110" i="260"/>
  <c r="I110" i="260" s="1"/>
  <c r="AD108" i="260"/>
  <c r="K108" i="260" s="1"/>
  <c r="AD110" i="260"/>
  <c r="K110" i="260" s="1"/>
  <c r="AC110" i="260"/>
  <c r="J110" i="260" s="1"/>
  <c r="AD115" i="260"/>
  <c r="K115" i="260" s="1"/>
  <c r="AB113" i="260"/>
  <c r="I113" i="260" s="1"/>
  <c r="AC111" i="260"/>
  <c r="J111" i="260" s="1"/>
  <c r="AB111" i="260"/>
  <c r="I111" i="260" s="1"/>
  <c r="AC106" i="260"/>
  <c r="J106" i="260" s="1"/>
  <c r="AD106" i="260"/>
  <c r="K106" i="260" s="1"/>
  <c r="AC114" i="260"/>
  <c r="AB108" i="260"/>
  <c r="I108" i="260" s="1"/>
  <c r="Z187" i="260"/>
  <c r="AC187" i="260" s="1"/>
  <c r="AA188" i="260"/>
  <c r="AD188" i="260" s="1"/>
  <c r="Y187" i="260"/>
  <c r="AB187" i="260" s="1"/>
  <c r="Y186" i="260"/>
  <c r="AB186" i="260" s="1"/>
  <c r="Z186" i="260"/>
  <c r="AC186" i="260" s="1"/>
  <c r="AA190" i="260"/>
  <c r="AD190" i="260" s="1"/>
  <c r="AA186" i="260"/>
  <c r="AD186" i="260" s="1"/>
  <c r="Z190" i="260"/>
  <c r="AC190" i="260" s="1"/>
  <c r="Y195" i="260"/>
  <c r="AB195" i="260" s="1"/>
  <c r="AA191" i="260"/>
  <c r="AD191" i="260" s="1"/>
  <c r="Z188" i="260"/>
  <c r="AC188" i="260" s="1"/>
  <c r="Z191" i="260"/>
  <c r="AC191" i="260" s="1"/>
  <c r="Y191" i="260"/>
  <c r="AB191" i="260" s="1"/>
  <c r="Y188" i="260"/>
  <c r="AB188" i="260" s="1"/>
  <c r="Y190" i="260"/>
  <c r="AB190" i="260" s="1"/>
  <c r="AA189" i="260"/>
  <c r="AD189" i="260" s="1"/>
  <c r="Z189" i="260"/>
  <c r="AC189" i="260" s="1"/>
  <c r="Y189" i="260"/>
  <c r="AB189" i="260" s="1"/>
  <c r="AA194" i="260"/>
  <c r="AD194" i="260" s="1"/>
  <c r="Z193" i="260"/>
  <c r="AC193" i="260" s="1"/>
  <c r="Z194" i="260"/>
  <c r="AC194" i="260" s="1"/>
  <c r="Y194" i="260"/>
  <c r="AB194" i="260" s="1"/>
  <c r="Y193" i="260"/>
  <c r="AB193" i="260" s="1"/>
  <c r="AA193" i="260"/>
  <c r="AD193" i="260" s="1"/>
  <c r="AA195" i="260"/>
  <c r="AD195" i="260" s="1"/>
  <c r="Z195" i="260"/>
  <c r="AC195" i="260" s="1"/>
  <c r="AA187" i="260"/>
  <c r="AD187" i="260" s="1"/>
  <c r="AB32" i="260"/>
  <c r="I32" i="260" s="1"/>
  <c r="AD112" i="260"/>
  <c r="K112" i="260" s="1"/>
  <c r="AC112" i="260"/>
  <c r="J112" i="260" s="1"/>
  <c r="AB112" i="260"/>
  <c r="I112" i="260" s="1"/>
  <c r="AA192" i="260"/>
  <c r="AD192" i="260" s="1"/>
  <c r="Z192" i="260"/>
  <c r="AC192" i="260" s="1"/>
  <c r="Y192" i="260"/>
  <c r="AB192" i="260" s="1"/>
  <c r="AB119" i="260"/>
  <c r="AB121" i="260"/>
  <c r="I121" i="260" s="1"/>
  <c r="AB120" i="260"/>
  <c r="I120" i="260" s="1"/>
  <c r="AB117" i="260"/>
  <c r="I117" i="260" s="1"/>
  <c r="AD117" i="260"/>
  <c r="K117" i="260" s="1"/>
  <c r="AD121" i="260"/>
  <c r="K121" i="260" s="1"/>
  <c r="AC116" i="260"/>
  <c r="J116" i="260" s="1"/>
  <c r="AC120" i="260"/>
  <c r="J120" i="260" s="1"/>
  <c r="AB124" i="260"/>
  <c r="AD116" i="260"/>
  <c r="K116" i="260" s="1"/>
  <c r="AD118" i="260"/>
  <c r="K118" i="260" s="1"/>
  <c r="AB116" i="260"/>
  <c r="I116" i="260" s="1"/>
  <c r="AC118" i="260"/>
  <c r="J118" i="260" s="1"/>
  <c r="AD119" i="260"/>
  <c r="K119" i="260" s="1"/>
  <c r="AB123" i="260"/>
  <c r="I123" i="260" s="1"/>
  <c r="AB118" i="260"/>
  <c r="I118" i="260" s="1"/>
  <c r="AD125" i="260"/>
  <c r="K125" i="260" s="1"/>
  <c r="AC125" i="260"/>
  <c r="J125" i="260" s="1"/>
  <c r="AD123" i="260"/>
  <c r="K123" i="260" s="1"/>
  <c r="AB125" i="260"/>
  <c r="AC123" i="260"/>
  <c r="J123" i="260" s="1"/>
  <c r="AC117" i="260"/>
  <c r="J117" i="260" s="1"/>
  <c r="AC121" i="260"/>
  <c r="J121" i="260" s="1"/>
  <c r="AC119" i="260"/>
  <c r="J119" i="260" s="1"/>
  <c r="AD120" i="260"/>
  <c r="K120" i="260" s="1"/>
  <c r="Y200" i="260"/>
  <c r="AB200" i="260" s="1"/>
  <c r="AA203" i="260"/>
  <c r="AD203" i="260" s="1"/>
  <c r="Y203" i="260"/>
  <c r="AB203" i="260" s="1"/>
  <c r="AA201" i="260"/>
  <c r="AD201" i="260" s="1"/>
  <c r="Z203" i="260"/>
  <c r="AC203" i="260" s="1"/>
  <c r="Z196" i="260"/>
  <c r="AC196" i="260" s="1"/>
  <c r="Z201" i="260"/>
  <c r="AC201" i="260" s="1"/>
  <c r="Z205" i="260"/>
  <c r="AC205" i="260" s="1"/>
  <c r="Y196" i="260"/>
  <c r="AB196" i="260" s="1"/>
  <c r="Y201" i="260"/>
  <c r="AB201" i="260" s="1"/>
  <c r="AA197" i="260"/>
  <c r="AD197" i="260" s="1"/>
  <c r="Z197" i="260"/>
  <c r="AC197" i="260" s="1"/>
  <c r="Y197" i="260"/>
  <c r="AB197" i="260" s="1"/>
  <c r="AA198" i="260"/>
  <c r="AD198" i="260" s="1"/>
  <c r="Z198" i="260"/>
  <c r="AC198" i="260" s="1"/>
  <c r="AA205" i="260"/>
  <c r="AD205" i="260" s="1"/>
  <c r="Y198" i="260"/>
  <c r="AB198" i="260" s="1"/>
  <c r="Y205" i="260"/>
  <c r="AB205" i="260" s="1"/>
  <c r="AA199" i="260"/>
  <c r="AD199" i="260" s="1"/>
  <c r="Z199" i="260"/>
  <c r="AC199" i="260" s="1"/>
  <c r="AA196" i="260"/>
  <c r="AD196" i="260" s="1"/>
  <c r="Y199" i="260"/>
  <c r="AB199" i="260" s="1"/>
  <c r="Z204" i="260"/>
  <c r="AC204" i="260" s="1"/>
  <c r="Y204" i="260"/>
  <c r="AB204" i="260" s="1"/>
  <c r="AA204" i="260"/>
  <c r="AD204" i="260" s="1"/>
  <c r="Z200" i="260"/>
  <c r="AC200" i="260" s="1"/>
  <c r="AA200" i="260"/>
  <c r="AD200" i="260" s="1"/>
  <c r="AD122" i="260"/>
  <c r="K122" i="260" s="1"/>
  <c r="AB122" i="260"/>
  <c r="I122" i="260" s="1"/>
  <c r="AC122" i="260"/>
  <c r="J122" i="260" s="1"/>
  <c r="F29" i="221"/>
  <c r="H65" i="221"/>
  <c r="H29" i="221" s="1"/>
  <c r="F68" i="221"/>
  <c r="F32" i="221" s="1"/>
  <c r="H68" i="221"/>
  <c r="H32" i="221" s="1"/>
  <c r="G65" i="221"/>
  <c r="G29" i="221" s="1"/>
  <c r="F70" i="221"/>
  <c r="F34" i="221" s="1"/>
  <c r="G68" i="221"/>
  <c r="G32" i="221" s="1"/>
  <c r="F67" i="221"/>
  <c r="F31" i="221" s="1"/>
  <c r="H67" i="221"/>
  <c r="H31" i="221" s="1"/>
  <c r="G67" i="221"/>
  <c r="G31" i="221" s="1"/>
  <c r="V47" i="267"/>
  <c r="AD48" i="260"/>
  <c r="K48" i="260" s="1"/>
  <c r="AB54" i="260"/>
  <c r="AC15" i="260"/>
  <c r="AC48" i="260"/>
  <c r="J48" i="260" s="1"/>
  <c r="AC53" i="260"/>
  <c r="J53" i="260" s="1"/>
  <c r="AD53" i="260"/>
  <c r="K53" i="260" s="1"/>
  <c r="AC52" i="260"/>
  <c r="J52" i="260" s="1"/>
  <c r="AB48" i="260"/>
  <c r="AD47" i="260"/>
  <c r="K47" i="260" s="1"/>
  <c r="AB53" i="260"/>
  <c r="AB52" i="260"/>
  <c r="I52" i="260" s="1"/>
  <c r="AC13" i="260"/>
  <c r="AC47" i="260"/>
  <c r="J47" i="260" s="1"/>
  <c r="AD52" i="260"/>
  <c r="K52" i="260" s="1"/>
  <c r="AD51" i="260"/>
  <c r="K51" i="260" s="1"/>
  <c r="AD8" i="260"/>
  <c r="AB47" i="260"/>
  <c r="AC8" i="260"/>
  <c r="AC51" i="260"/>
  <c r="J51" i="260" s="1"/>
  <c r="AD46" i="260"/>
  <c r="AB8" i="260"/>
  <c r="AB51" i="260"/>
  <c r="I51" i="260" s="1"/>
  <c r="AD55" i="260"/>
  <c r="K55" i="260" s="1"/>
  <c r="AC12" i="260"/>
  <c r="AC46" i="260"/>
  <c r="AD50" i="260"/>
  <c r="K50" i="260" s="1"/>
  <c r="AC55" i="260"/>
  <c r="J55" i="260" s="1"/>
  <c r="AC49" i="260"/>
  <c r="J49" i="260" s="1"/>
  <c r="AC50" i="260"/>
  <c r="J50" i="260" s="1"/>
  <c r="AD11" i="260"/>
  <c r="AB55" i="260"/>
  <c r="I55" i="260" s="1"/>
  <c r="AC11" i="260"/>
  <c r="AC10" i="260"/>
  <c r="AB50" i="260"/>
  <c r="AD10" i="260"/>
  <c r="AD54" i="260"/>
  <c r="AD49" i="260"/>
  <c r="K49" i="260" s="1"/>
  <c r="AC54" i="260"/>
  <c r="AD15" i="260"/>
  <c r="AB49" i="260"/>
  <c r="I49" i="260" s="1"/>
  <c r="AD14" i="260"/>
  <c r="AD21" i="260"/>
  <c r="AD24" i="260"/>
  <c r="AB64" i="260"/>
  <c r="AD58" i="260"/>
  <c r="K58" i="260" s="1"/>
  <c r="AB59" i="260"/>
  <c r="I59" i="260" s="1"/>
  <c r="AD63" i="260"/>
  <c r="K63" i="260" s="1"/>
  <c r="AC58" i="260"/>
  <c r="J58" i="260" s="1"/>
  <c r="AC63" i="260"/>
  <c r="J63" i="260" s="1"/>
  <c r="AC25" i="260"/>
  <c r="AB58" i="260"/>
  <c r="AB63" i="260"/>
  <c r="I63" i="260" s="1"/>
  <c r="AD20" i="260"/>
  <c r="AD25" i="260"/>
  <c r="AD61" i="260"/>
  <c r="K61" i="260" s="1"/>
  <c r="AD57" i="260"/>
  <c r="K57" i="260" s="1"/>
  <c r="AD62" i="260"/>
  <c r="K62" i="260" s="1"/>
  <c r="AC20" i="260"/>
  <c r="AC62" i="260"/>
  <c r="J62" i="260" s="1"/>
  <c r="AC61" i="260"/>
  <c r="J61" i="260" s="1"/>
  <c r="AC57" i="260"/>
  <c r="J57" i="260" s="1"/>
  <c r="AB62" i="260"/>
  <c r="I62" i="260" s="1"/>
  <c r="AB61" i="260"/>
  <c r="I61" i="260" s="1"/>
  <c r="AB57" i="260"/>
  <c r="I57" i="260" s="1"/>
  <c r="AD60" i="260"/>
  <c r="K60" i="260" s="1"/>
  <c r="AD56" i="260"/>
  <c r="AC23" i="260"/>
  <c r="AC60" i="260"/>
  <c r="J60" i="260" s="1"/>
  <c r="AD65" i="260"/>
  <c r="K65" i="260" s="1"/>
  <c r="AC56" i="260"/>
  <c r="AB60" i="260"/>
  <c r="AD18" i="260"/>
  <c r="K18" i="260" s="1"/>
  <c r="AC65" i="260"/>
  <c r="J65" i="260" s="1"/>
  <c r="AC21" i="260"/>
  <c r="AB56" i="260"/>
  <c r="AD59" i="260"/>
  <c r="K59" i="260" s="1"/>
  <c r="AC18" i="260"/>
  <c r="J18" i="260" s="1"/>
  <c r="AC22" i="260"/>
  <c r="AB65" i="260"/>
  <c r="I65" i="260" s="1"/>
  <c r="AC59" i="260"/>
  <c r="J59" i="260" s="1"/>
  <c r="AD64" i="260"/>
  <c r="AC64" i="260"/>
  <c r="V48" i="267"/>
  <c r="AC68" i="260"/>
  <c r="J68" i="260" s="1"/>
  <c r="AD26" i="260"/>
  <c r="K26" i="260" s="1"/>
  <c r="AC34" i="260"/>
  <c r="AB31" i="260"/>
  <c r="AB73" i="260"/>
  <c r="I73" i="260" s="1"/>
  <c r="AB68" i="260"/>
  <c r="I68" i="260" s="1"/>
  <c r="AD35" i="260"/>
  <c r="K35" i="260" s="1"/>
  <c r="AD34" i="260"/>
  <c r="AD67" i="260"/>
  <c r="K67" i="260" s="1"/>
  <c r="AC26" i="260"/>
  <c r="AC30" i="260"/>
  <c r="J30" i="260" s="1"/>
  <c r="AB72" i="260"/>
  <c r="I72" i="260" s="1"/>
  <c r="AD71" i="260"/>
  <c r="K71" i="260" s="1"/>
  <c r="AC67" i="260"/>
  <c r="J67" i="260" s="1"/>
  <c r="AD72" i="260"/>
  <c r="K72" i="260" s="1"/>
  <c r="AB30" i="260"/>
  <c r="AC35" i="260"/>
  <c r="J35" i="260" s="1"/>
  <c r="AD68" i="260"/>
  <c r="K68" i="260" s="1"/>
  <c r="AC29" i="260"/>
  <c r="J29" i="260" s="1"/>
  <c r="AB26" i="260"/>
  <c r="I26" i="260" s="1"/>
  <c r="AB67" i="260"/>
  <c r="I67" i="260" s="1"/>
  <c r="AC72" i="260"/>
  <c r="J72" i="260" s="1"/>
  <c r="AD29" i="260"/>
  <c r="K29" i="260" s="1"/>
  <c r="AB35" i="260"/>
  <c r="I35" i="260" s="1"/>
  <c r="AD66" i="260"/>
  <c r="AB71" i="260"/>
  <c r="I71" i="260" s="1"/>
  <c r="AD75" i="260"/>
  <c r="K75" i="260" s="1"/>
  <c r="AB34" i="260"/>
  <c r="AD33" i="260"/>
  <c r="K33" i="260" s="1"/>
  <c r="AC66" i="260"/>
  <c r="AD30" i="260"/>
  <c r="K30" i="260" s="1"/>
  <c r="AB29" i="260"/>
  <c r="I29" i="260" s="1"/>
  <c r="AD70" i="260"/>
  <c r="K70" i="260" s="1"/>
  <c r="AC75" i="260"/>
  <c r="J75" i="260" s="1"/>
  <c r="AC71" i="260"/>
  <c r="J71" i="260" s="1"/>
  <c r="AC73" i="260"/>
  <c r="J73" i="260" s="1"/>
  <c r="AC33" i="260"/>
  <c r="J33" i="260" s="1"/>
  <c r="AB66" i="260"/>
  <c r="AB74" i="260"/>
  <c r="AC70" i="260"/>
  <c r="J70" i="260" s="1"/>
  <c r="AD28" i="260"/>
  <c r="K28" i="260" s="1"/>
  <c r="AB33" i="260"/>
  <c r="AB75" i="260"/>
  <c r="AB70" i="260"/>
  <c r="AC28" i="260"/>
  <c r="J28" i="260" s="1"/>
  <c r="AB69" i="260"/>
  <c r="I69" i="260" s="1"/>
  <c r="AD32" i="260"/>
  <c r="K32" i="260" s="1"/>
  <c r="AD74" i="260"/>
  <c r="AD69" i="260"/>
  <c r="K69" i="260" s="1"/>
  <c r="AB28" i="260"/>
  <c r="I28" i="260" s="1"/>
  <c r="AC32" i="260"/>
  <c r="J32" i="260" s="1"/>
  <c r="AC74" i="260"/>
  <c r="AC31" i="260"/>
  <c r="J31" i="260" s="1"/>
  <c r="AC69" i="260"/>
  <c r="J69" i="260" s="1"/>
  <c r="AD27" i="260"/>
  <c r="K27" i="260" s="1"/>
  <c r="AC27" i="260"/>
  <c r="J27" i="260" s="1"/>
  <c r="AB27" i="260"/>
  <c r="I27" i="260" s="1"/>
  <c r="AD31" i="260"/>
  <c r="K31" i="260" s="1"/>
  <c r="AD73" i="260"/>
  <c r="K73" i="260" s="1"/>
  <c r="AC80" i="260"/>
  <c r="J80" i="260" s="1"/>
  <c r="AB76" i="260"/>
  <c r="AC44" i="260"/>
  <c r="AB43" i="260"/>
  <c r="I43" i="260" s="1"/>
  <c r="AD38" i="260"/>
  <c r="K38" i="260" s="1"/>
  <c r="AB81" i="260"/>
  <c r="AB80" i="260"/>
  <c r="I80" i="260" s="1"/>
  <c r="AB85" i="260"/>
  <c r="AD43" i="260"/>
  <c r="K43" i="260" s="1"/>
  <c r="AD42" i="260"/>
  <c r="K42" i="260" s="1"/>
  <c r="AC38" i="260"/>
  <c r="J38" i="260" s="1"/>
  <c r="AD80" i="260"/>
  <c r="K80" i="260" s="1"/>
  <c r="AD79" i="260"/>
  <c r="K79" i="260" s="1"/>
  <c r="AD84" i="260"/>
  <c r="AC42" i="260"/>
  <c r="J42" i="260" s="1"/>
  <c r="AB38" i="260"/>
  <c r="I38" i="260" s="1"/>
  <c r="AC79" i="260"/>
  <c r="J79" i="260" s="1"/>
  <c r="AC84" i="260"/>
  <c r="AB42" i="260"/>
  <c r="I42" i="260" s="1"/>
  <c r="AD37" i="260"/>
  <c r="K37" i="260" s="1"/>
  <c r="AB79" i="260"/>
  <c r="I79" i="260" s="1"/>
  <c r="AB84" i="260"/>
  <c r="AD41" i="260"/>
  <c r="K41" i="260" s="1"/>
  <c r="AC37" i="260"/>
  <c r="J37" i="260" s="1"/>
  <c r="AD78" i="260"/>
  <c r="K78" i="260" s="1"/>
  <c r="AD83" i="260"/>
  <c r="K83" i="260" s="1"/>
  <c r="AC41" i="260"/>
  <c r="J41" i="260" s="1"/>
  <c r="AB37" i="260"/>
  <c r="I37" i="260" s="1"/>
  <c r="AC78" i="260"/>
  <c r="J78" i="260" s="1"/>
  <c r="AC83" i="260"/>
  <c r="J83" i="260" s="1"/>
  <c r="AB41" i="260"/>
  <c r="AD36" i="260"/>
  <c r="K36" i="260" s="1"/>
  <c r="AB40" i="260"/>
  <c r="I40" i="260" s="1"/>
  <c r="AB83" i="260"/>
  <c r="AB78" i="260"/>
  <c r="AD45" i="260"/>
  <c r="K45" i="260" s="1"/>
  <c r="AD40" i="260"/>
  <c r="K40" i="260" s="1"/>
  <c r="AC36" i="260"/>
  <c r="J36" i="260" s="1"/>
  <c r="AD77" i="260"/>
  <c r="K77" i="260" s="1"/>
  <c r="AD82" i="260"/>
  <c r="K82" i="260" s="1"/>
  <c r="AC40" i="260"/>
  <c r="J40" i="260" s="1"/>
  <c r="AC45" i="260"/>
  <c r="J45" i="260" s="1"/>
  <c r="AC77" i="260"/>
  <c r="J77" i="260" s="1"/>
  <c r="AB36" i="260"/>
  <c r="I36" i="260" s="1"/>
  <c r="AB77" i="260"/>
  <c r="I77" i="260" s="1"/>
  <c r="AC82" i="260"/>
  <c r="J82" i="260" s="1"/>
  <c r="AD39" i="260"/>
  <c r="K39" i="260" s="1"/>
  <c r="AB45" i="260"/>
  <c r="I45" i="260" s="1"/>
  <c r="AD76" i="260"/>
  <c r="AB44" i="260"/>
  <c r="AC81" i="260"/>
  <c r="J81" i="260" s="1"/>
  <c r="AC39" i="260"/>
  <c r="J39" i="260" s="1"/>
  <c r="AB82" i="260"/>
  <c r="I82" i="260" s="1"/>
  <c r="AD85" i="260"/>
  <c r="K85" i="260" s="1"/>
  <c r="AD44" i="260"/>
  <c r="AC76" i="260"/>
  <c r="AB39" i="260"/>
  <c r="I39" i="260" s="1"/>
  <c r="AC43" i="260"/>
  <c r="J43" i="260" s="1"/>
  <c r="AC85" i="260"/>
  <c r="J85" i="260" s="1"/>
  <c r="AD81" i="260"/>
  <c r="K81" i="260" s="1"/>
  <c r="V50" i="267"/>
  <c r="H73" i="221"/>
  <c r="H37" i="221" s="1"/>
  <c r="F71" i="221"/>
  <c r="F35" i="221" s="1"/>
  <c r="G73" i="221"/>
  <c r="G37" i="221" s="1"/>
  <c r="G70" i="221"/>
  <c r="G34" i="221" s="1"/>
  <c r="H70" i="221"/>
  <c r="H34" i="221" s="1"/>
  <c r="F73" i="221"/>
  <c r="F37" i="221" s="1"/>
  <c r="I8" i="269"/>
  <c r="J126" i="260" l="1"/>
  <c r="AS10" i="264"/>
  <c r="T130" i="260"/>
  <c r="T150" i="260"/>
  <c r="J136" i="260"/>
  <c r="AS17" i="264"/>
  <c r="I136" i="260"/>
  <c r="AR17" i="264"/>
  <c r="I146" i="260"/>
  <c r="AR24" i="264"/>
  <c r="J146" i="260"/>
  <c r="AS24" i="264"/>
  <c r="K146" i="260"/>
  <c r="AT24" i="264"/>
  <c r="T160" i="260"/>
  <c r="I126" i="260"/>
  <c r="T126" i="260" s="1"/>
  <c r="AR10" i="264"/>
  <c r="K126" i="260"/>
  <c r="AT10" i="264"/>
  <c r="I154" i="260"/>
  <c r="T154" i="260" s="1"/>
  <c r="I156" i="260"/>
  <c r="AR31" i="264"/>
  <c r="J156" i="260"/>
  <c r="AS31" i="264"/>
  <c r="K156" i="260"/>
  <c r="AT31" i="264"/>
  <c r="K136" i="260"/>
  <c r="AT17" i="264"/>
  <c r="T141" i="260"/>
  <c r="I134" i="260"/>
  <c r="T134" i="260" s="1"/>
  <c r="T132" i="260"/>
  <c r="T128" i="260"/>
  <c r="T129" i="260"/>
  <c r="T152" i="260"/>
  <c r="T161" i="260"/>
  <c r="Z16" i="270"/>
  <c r="AC16" i="270" s="1"/>
  <c r="Y16" i="270"/>
  <c r="AB16" i="270" s="1"/>
  <c r="X16" i="270"/>
  <c r="AA16" i="270" s="1"/>
  <c r="Z15" i="270"/>
  <c r="AC15" i="270" s="1"/>
  <c r="Y15" i="270"/>
  <c r="AB15" i="270" s="1"/>
  <c r="X15" i="270"/>
  <c r="AA15" i="270" s="1"/>
  <c r="T135" i="260"/>
  <c r="T146" i="260"/>
  <c r="T140" i="260"/>
  <c r="I34" i="260"/>
  <c r="T34" i="260" s="1"/>
  <c r="T153" i="260"/>
  <c r="T139" i="260"/>
  <c r="T138" i="260"/>
  <c r="T148" i="260"/>
  <c r="T159" i="260"/>
  <c r="T147" i="260"/>
  <c r="T151" i="260"/>
  <c r="T136" i="260"/>
  <c r="T163" i="260"/>
  <c r="Z17" i="270"/>
  <c r="AC17" i="270" s="1"/>
  <c r="X17" i="270"/>
  <c r="AA17" i="270" s="1"/>
  <c r="Y17" i="270"/>
  <c r="AB17" i="270" s="1"/>
  <c r="T127" i="260"/>
  <c r="T131" i="260"/>
  <c r="Z18" i="270"/>
  <c r="AC18" i="270" s="1"/>
  <c r="X18" i="270"/>
  <c r="AA18" i="270" s="1"/>
  <c r="Y18" i="270"/>
  <c r="AB18" i="270" s="1"/>
  <c r="T162" i="260"/>
  <c r="T149" i="260"/>
  <c r="K76" i="260"/>
  <c r="AN31" i="264"/>
  <c r="I74" i="260"/>
  <c r="T74" i="260" s="1"/>
  <c r="I78" i="260"/>
  <c r="T78" i="260" s="1"/>
  <c r="I66" i="260"/>
  <c r="AL24" i="264"/>
  <c r="I60" i="260"/>
  <c r="T60" i="260" s="1"/>
  <c r="I83" i="260"/>
  <c r="T83" i="260" s="1"/>
  <c r="I81" i="260"/>
  <c r="T81" i="260" s="1"/>
  <c r="I58" i="260"/>
  <c r="T58" i="260" s="1"/>
  <c r="I53" i="260"/>
  <c r="T53" i="260" s="1"/>
  <c r="I50" i="260"/>
  <c r="T50" i="260" s="1"/>
  <c r="I33" i="260"/>
  <c r="T33" i="260" s="1"/>
  <c r="I119" i="260"/>
  <c r="T119" i="260" s="1"/>
  <c r="J26" i="260"/>
  <c r="T26" i="260" s="1"/>
  <c r="J56" i="260"/>
  <c r="AM17" i="264"/>
  <c r="K66" i="260"/>
  <c r="AN24" i="264"/>
  <c r="K86" i="260"/>
  <c r="I41" i="260"/>
  <c r="T41" i="260" s="1"/>
  <c r="I76" i="260"/>
  <c r="AL31" i="264"/>
  <c r="I125" i="260"/>
  <c r="T125" i="260" s="1"/>
  <c r="J86" i="260"/>
  <c r="I31" i="260"/>
  <c r="T31" i="260" s="1"/>
  <c r="I48" i="260"/>
  <c r="T48" i="260" s="1"/>
  <c r="J76" i="260"/>
  <c r="T76" i="260" s="1"/>
  <c r="AM31" i="264"/>
  <c r="K56" i="260"/>
  <c r="AN17" i="264"/>
  <c r="J46" i="260"/>
  <c r="AM10" i="264"/>
  <c r="I54" i="260"/>
  <c r="T54" i="260" s="1"/>
  <c r="K46" i="260"/>
  <c r="AN10" i="264"/>
  <c r="T175" i="260"/>
  <c r="I114" i="260"/>
  <c r="T114" i="260" s="1"/>
  <c r="I91" i="260"/>
  <c r="T91" i="260" s="1"/>
  <c r="I47" i="260"/>
  <c r="T47" i="260" s="1"/>
  <c r="AL10" i="264"/>
  <c r="J66" i="260"/>
  <c r="AM24" i="264"/>
  <c r="I70" i="260"/>
  <c r="T70" i="260" s="1"/>
  <c r="I94" i="260"/>
  <c r="T94" i="260" s="1"/>
  <c r="I86" i="260"/>
  <c r="AO10" i="264"/>
  <c r="I75" i="260"/>
  <c r="T75" i="260" s="1"/>
  <c r="I30" i="260"/>
  <c r="T30" i="260" s="1"/>
  <c r="I85" i="260"/>
  <c r="T85" i="260" s="1"/>
  <c r="I56" i="260"/>
  <c r="AL17" i="264"/>
  <c r="AQ31" i="264"/>
  <c r="T103" i="260"/>
  <c r="T67" i="260"/>
  <c r="T110" i="260"/>
  <c r="AO17" i="264"/>
  <c r="T65" i="260"/>
  <c r="T38" i="260"/>
  <c r="T97" i="260"/>
  <c r="T77" i="260"/>
  <c r="T36" i="260"/>
  <c r="AP31" i="264"/>
  <c r="T89" i="260"/>
  <c r="AQ17" i="264"/>
  <c r="T107" i="260"/>
  <c r="T106" i="260"/>
  <c r="AO24" i="264"/>
  <c r="T122" i="260"/>
  <c r="AP17" i="264"/>
  <c r="T90" i="260"/>
  <c r="AQ10" i="264"/>
  <c r="T101" i="260"/>
  <c r="AP10" i="264"/>
  <c r="AQ24" i="264"/>
  <c r="T39" i="260"/>
  <c r="T37" i="260"/>
  <c r="AP24" i="264"/>
  <c r="T102" i="260"/>
  <c r="T118" i="260"/>
  <c r="T116" i="260"/>
  <c r="AO31" i="264"/>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Z7" i="270"/>
  <c r="AC7" i="270" s="1"/>
  <c r="K7" i="270" s="1"/>
  <c r="Y7" i="270"/>
  <c r="AB7" i="270" s="1"/>
  <c r="J7" i="270" s="1"/>
  <c r="X7" i="270"/>
  <c r="AA7" i="270" s="1"/>
  <c r="AI54" i="264" s="1"/>
  <c r="X11" i="270"/>
  <c r="AA11" i="270" s="1"/>
  <c r="Y19" i="270"/>
  <c r="AB19" i="270" s="1"/>
  <c r="Z19" i="270"/>
  <c r="AC19" i="270" s="1"/>
  <c r="X19" i="270"/>
  <c r="AA19" i="270" s="1"/>
  <c r="Y11" i="270"/>
  <c r="AB11" i="270" s="1"/>
  <c r="Z11" i="270"/>
  <c r="AC11" i="270" s="1"/>
  <c r="Y13" i="270"/>
  <c r="AB13" i="270" s="1"/>
  <c r="Z9" i="270"/>
  <c r="Y9" i="270"/>
  <c r="X9" i="270"/>
  <c r="Y21" i="270"/>
  <c r="AB21" i="270" s="1"/>
  <c r="Z13" i="270"/>
  <c r="AC13" i="270" s="1"/>
  <c r="X21" i="270"/>
  <c r="AA21" i="270" s="1"/>
  <c r="Z21" i="270"/>
  <c r="AC21" i="270" s="1"/>
  <c r="X13" i="270"/>
  <c r="AA13" i="270" s="1"/>
  <c r="Z14" i="270"/>
  <c r="AC14" i="270" s="1"/>
  <c r="Z10" i="270"/>
  <c r="AC10" i="270" s="1"/>
  <c r="Y10" i="270"/>
  <c r="AB10" i="270" s="1"/>
  <c r="X10" i="270"/>
  <c r="AA10" i="270" s="1"/>
  <c r="X22" i="270"/>
  <c r="AA22" i="270" s="1"/>
  <c r="X14" i="270"/>
  <c r="AA14" i="270" s="1"/>
  <c r="Y14" i="270"/>
  <c r="AB14" i="270" s="1"/>
  <c r="Y22" i="270"/>
  <c r="AB22" i="270" s="1"/>
  <c r="Z22" i="270"/>
  <c r="AC22" i="270" s="1"/>
  <c r="Z8" i="270"/>
  <c r="AC8" i="270" s="1"/>
  <c r="AK61" i="264" s="1"/>
  <c r="Y8" i="270"/>
  <c r="AB8" i="270" s="1"/>
  <c r="X8" i="270"/>
  <c r="AA8" i="270" s="1"/>
  <c r="X20" i="270"/>
  <c r="AA20" i="270" s="1"/>
  <c r="X12" i="270"/>
  <c r="AA12" i="270" s="1"/>
  <c r="Z12" i="270"/>
  <c r="AC12" i="270" s="1"/>
  <c r="Z20" i="270"/>
  <c r="AC20" i="270" s="1"/>
  <c r="Y20" i="270"/>
  <c r="AB20" i="270" s="1"/>
  <c r="Y12" i="270"/>
  <c r="AB12" i="270" s="1"/>
  <c r="T32" i="260"/>
  <c r="BE38" i="264"/>
  <c r="BD38" i="264"/>
  <c r="BF38" i="264"/>
  <c r="Z2" i="260"/>
  <c r="H71" i="221"/>
  <c r="H35" i="221" s="1"/>
  <c r="G71" i="221"/>
  <c r="G35" i="221" s="1"/>
  <c r="T46" i="260" l="1"/>
  <c r="T15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AQ74" i="264"/>
  <c r="I13" i="270"/>
  <c r="AO67" i="264"/>
  <c r="AL68" i="264"/>
  <c r="AL67" i="264" s="1"/>
  <c r="K13" i="270"/>
  <c r="AQ67" i="264"/>
  <c r="AN68" i="264"/>
  <c r="AN67" i="264" s="1"/>
  <c r="I14" i="270"/>
  <c r="AL75" i="264"/>
  <c r="AL74" i="264" s="1"/>
  <c r="AO74" i="264"/>
  <c r="J13" i="270"/>
  <c r="AP67" i="264"/>
  <c r="AM68" i="264"/>
  <c r="AM67" i="264" s="1"/>
  <c r="K11" i="270"/>
  <c r="AN54" i="264"/>
  <c r="AN53" i="264" s="1"/>
  <c r="AQ53" i="264"/>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P60" i="264" l="1"/>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BE37" i="264" l="1"/>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6" i="260"/>
  <c r="F46" i="260" s="1"/>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96" i="231"/>
  <c r="C13" i="232" s="1"/>
  <c r="B13" i="232"/>
  <c r="E13" i="232"/>
  <c r="T17" i="260" l="1"/>
  <c r="T12" i="260"/>
  <c r="T15" i="260"/>
  <c r="T22" i="260"/>
  <c r="T13" i="260"/>
  <c r="G183" i="260"/>
  <c r="G143" i="260"/>
  <c r="G175" i="260"/>
  <c r="G135" i="260"/>
  <c r="G185" i="260"/>
  <c r="G145" i="260"/>
  <c r="G173" i="260"/>
  <c r="G133" i="260"/>
  <c r="T6" i="260"/>
  <c r="T16" i="260"/>
  <c r="T8" i="260"/>
  <c r="T25" i="260"/>
  <c r="T23" i="260"/>
  <c r="I11" i="234"/>
  <c r="I10" i="234" l="1"/>
  <c r="I9" i="234"/>
  <c r="I8" i="234"/>
  <c r="I7" i="234"/>
  <c r="I6" i="234"/>
  <c r="I12" i="234" l="1"/>
  <c r="D8" i="232" l="1"/>
  <c r="D10" i="232"/>
  <c r="D11" i="232"/>
  <c r="D12" i="232"/>
  <c r="D14" i="232" l="1"/>
  <c r="E11" i="232" l="1"/>
  <c r="B69" i="260"/>
  <c r="B109" i="260" s="1"/>
  <c r="E94" i="231"/>
  <c r="C11" i="232" s="1"/>
  <c r="B11"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5" i="232"/>
  <c r="E98" i="231"/>
  <c r="C15" i="232" s="1"/>
  <c r="B15" i="232"/>
  <c r="B182" i="260" l="1"/>
  <c r="B142" i="260"/>
  <c r="B203" i="260"/>
  <c r="B163" i="260"/>
  <c r="B193" i="260"/>
  <c r="B153" i="260"/>
  <c r="B173" i="260"/>
  <c r="B133" i="260"/>
  <c r="B183" i="260"/>
  <c r="B143" i="260"/>
  <c r="B172" i="260"/>
  <c r="B132" i="260"/>
  <c r="B20" i="270"/>
  <c r="B16" i="270"/>
  <c r="B19" i="270"/>
  <c r="B15" i="270"/>
  <c r="D24" i="232"/>
  <c r="D23" i="232"/>
  <c r="D21" i="232"/>
  <c r="D20" i="232"/>
  <c r="B68" i="260" l="1"/>
  <c r="B108" i="260" s="1"/>
  <c r="E23" i="232"/>
  <c r="E20" i="232"/>
  <c r="E104" i="231"/>
  <c r="C23" i="232" s="1"/>
  <c r="E103" i="231"/>
  <c r="C20" i="232" s="1"/>
  <c r="B23" i="232"/>
  <c r="B20" i="232"/>
  <c r="B19" i="232"/>
  <c r="B18" i="232"/>
  <c r="E102" i="231"/>
  <c r="C19" i="232" s="1"/>
  <c r="E101" i="231"/>
  <c r="C18" i="232" s="1"/>
  <c r="E97" i="231"/>
  <c r="C14" i="232" s="1"/>
  <c r="E95" i="231"/>
  <c r="C12" i="232" s="1"/>
  <c r="E93" i="231"/>
  <c r="C10" i="232" s="1"/>
  <c r="E91" i="231"/>
  <c r="C8" i="232" s="1"/>
  <c r="B13" i="270"/>
  <c r="B10" i="232"/>
  <c r="B12" i="232"/>
  <c r="B14" i="232"/>
  <c r="E19"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4" i="232"/>
  <c r="E18" i="232"/>
  <c r="E12" i="232"/>
  <c r="E10" i="232"/>
  <c r="E8" i="232"/>
  <c r="E6" i="232"/>
  <c r="D8" i="221"/>
  <c r="D16" i="221" s="1"/>
  <c r="D7" i="221"/>
  <c r="D15" i="221" s="1"/>
  <c r="D6" i="221"/>
  <c r="D14" i="221" s="1"/>
  <c r="D5" i="221"/>
  <c r="D13" i="221" s="1"/>
  <c r="B8" i="221"/>
  <c r="B7" i="221"/>
  <c r="B6" i="221"/>
  <c r="B5" i="221"/>
  <c r="B9" i="221" s="1"/>
  <c r="B197" i="260" l="1"/>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8"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B171" i="260" l="1"/>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AL9" i="264"/>
  <c r="C15" i="221"/>
  <c r="C11" i="221"/>
  <c r="C14" i="221"/>
  <c r="C10" i="221"/>
  <c r="C13" i="221"/>
  <c r="C9" i="221"/>
  <c r="C16" i="221"/>
  <c r="C12" i="221"/>
  <c r="AL16" i="264"/>
  <c r="AN16" i="264"/>
  <c r="AM16" i="264"/>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M66" i="264"/>
  <c r="AS66" i="264"/>
  <c r="AS63" i="264"/>
  <c r="AS62" i="264" s="1"/>
  <c r="AS64" i="264"/>
  <c r="AR63" i="264"/>
  <c r="AR62" i="264" s="1"/>
  <c r="AT66" i="264"/>
  <c r="AR65" i="264"/>
  <c r="AR66" i="264"/>
  <c r="AR64" i="264"/>
  <c r="AS65" i="264"/>
  <c r="AT63" i="264"/>
  <c r="AT62" i="264" s="1"/>
  <c r="AT64" i="264"/>
  <c r="AT65" i="264"/>
  <c r="AT25" i="264"/>
  <c r="AT23" i="264"/>
  <c r="AS11" i="264"/>
  <c r="AS9" i="264"/>
  <c r="AS18" i="264"/>
  <c r="AS16" i="264"/>
  <c r="AO64" i="264"/>
  <c r="AN65" i="264"/>
  <c r="AO63" i="264"/>
  <c r="AO62" i="264" s="1"/>
  <c r="AO65" i="264"/>
  <c r="AP66" i="264"/>
  <c r="AP65" i="264"/>
  <c r="AP64" i="264"/>
  <c r="AN63" i="264"/>
  <c r="AN62" i="264" s="1"/>
  <c r="AN66" i="264"/>
  <c r="AL64" i="264"/>
  <c r="AL66" i="264"/>
  <c r="AO66" i="264"/>
  <c r="AP63" i="264"/>
  <c r="AP62" i="264" s="1"/>
  <c r="AN64" i="264"/>
  <c r="AI18" i="264"/>
  <c r="AQ64" i="264"/>
  <c r="AQ66" i="264"/>
  <c r="AM64"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Q65" i="264" l="1"/>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9"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6"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<sst xmlns="http://schemas.openxmlformats.org/spreadsheetml/2006/main" count="4522" uniqueCount="895">
  <si>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</si>
  <si>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</si>
  <si>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</si>
  <si>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</si>
  <si>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</si>
  <si>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</si>
  <si>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</si>
  <si>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</si>
  <si>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</si>
  <si>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</si>
  <si>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</si>
  <si>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</si>
  <si>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</si>
  <si>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</si>
  <si>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</si>
  <si>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</si>
  <si>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</si>
  <si>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</si>
  <si>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</si>
  <si>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</si>
  <si>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</si>
  <si>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</si>
  <si>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</si>
  <si>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</si>
  <si>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</si>
  <si>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</si>
  <si>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</si>
  <si>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</si>
  <si>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</si>
  <si>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</si>
  <si>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</si>
  <si>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</si>
  <si>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</si>
  <si>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</si>
  <si>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</si>
  <si>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</si>
  <si>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</si>
  <si>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</si>
  <si>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</si>
  <si>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</si>
  <si>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</si>
  <si>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</si>
  <si>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</si>
  <si>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</si>
  <si>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</si>
  <si>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</si>
  <si>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</si>
  <si>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</si>
  <si>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</si>
  <si>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</si>
  <si>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</si>
  <si>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</si>
  <si>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</si>
  <si>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</si>
  <si>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</si>
  <si>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</si>
  <si>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</si>
  <si>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</si>
  <si>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</si>
  <si>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</si>
  <si>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</si>
  <si>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</si>
  <si>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</si>
  <si>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</si>
  <si>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</si>
  <si>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</si>
  <si>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</si>
  <si>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</si>
  <si>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</si>
  <si>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</si>
  <si>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</si>
  <si>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</si>
  <si>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</si>
  <si>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</si>
  <si>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</si>
  <si>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</si>
  <si>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</si>
  <si>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</si>
  <si>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</si>
  <si>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</si>
  <si>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</si>
  <si>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</si>
  <si>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</si>
  <si>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</si>
  <si>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</si>
  <si>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</si>
  <si>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</si>
  <si>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</si>
  <si>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</si>
  <si>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</si>
  <si>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</si>
  <si>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</si>
  <si>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</si>
  <si>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</si>
  <si>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</si>
  <si>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</si>
  <si>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</si>
  <si>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</si>
  <si>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</si>
  <si>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</si>
  <si>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</si>
  <si>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</si>
  <si>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</si>
  <si>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</si>
  <si>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</si>
  <si>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</si>
  <si>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</si>
  <si>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</si>
  <si>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</si>
  <si>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</si>
  <si>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</si>
  <si>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</si>
  <si>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</si>
  <si>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</si>
  <si>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</si>
  <si>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</si>
  <si>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</si>
  <si>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</si>
  <si>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</si>
  <si>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</si>
  <si>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</si>
  <si>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</si>
  <si>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</si>
  <si>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</si>
  <si>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</si>
  <si>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</si>
  <si>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</si>
  <si>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</si>
  <si>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</si>
  <si>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</si>
  <si>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</si>
  <si>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</si>
  <si>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</si>
  <si>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</si>
  <si>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</si>
  <si>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</si>
  <si>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</si>
  <si>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</si>
  <si>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</si>
  <si>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</si>
  <si>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</si>
  <si>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</si>
  <si>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</si>
  <si>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</si>
  <si>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</si>
  <si>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</si>
  <si>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</si>
  <si>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</si>
  <si>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</si>
  <si>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</si>
  <si>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</si>
  <si>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</si>
  <si>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</si>
  <si>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</si>
  <si>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</si>
  <si>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</si>
  <si>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</si>
  <si>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</si>
  <si>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</si>
  <si>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</si>
  <si>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</si>
  <si>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</si>
  <si>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</si>
  <si>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</si>
  <si>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</si>
  <si>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</si>
  <si>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</si>
  <si>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</si>
  <si>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</si>
  <si>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</si>
  <si>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</si>
  <si>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</si>
  <si>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</si>
  <si>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</si>
  <si>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</si>
  <si>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</si>
  <si>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</si>
  <si>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</si>
  <si>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</si>
  <si>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</si>
  <si>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</si>
  <si>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</si>
  <si>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</si>
  <si>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</si>
  <si>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</si>
  <si>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</si>
  <si>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</si>
  <si>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</si>
  <si>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straw</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</si>
  <si>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</si>
  <si>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</si>
  <si>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</si>
  <si>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</si>
  <si>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</si>
  <si>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</si>
  <si>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</si>
  <si>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</si>
  <si>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</si>
  <si>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</si>
  <si>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</si>
  <si>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</si>
  <si>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</si>
  <si>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</si>
  <si>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</si>
  <si>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</si>
  <si>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</si>
  <si>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</si>
  <si>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</si>
  <si>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</si>
  <si>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</si>
  <si>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</si>
  <si>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</si>
  <si>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</si>
  <si>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</si>
  <si>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</si>
  <si>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</si>
  <si>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</si>
  <si>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</si>
  <si>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</si>
  <si>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</si>
  <si>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</si>
  <si>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</si>
  <si>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</si>
  <si>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</si>
  <si>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</si>
  <si>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</si>
  <si>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</si>
  <si>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</si>
  <si>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</si>
  <si>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</si>
  <si>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</si>
  <si>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</si>
  <si>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</si>
  <si>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</si>
  <si>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</si>
  <si>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</si>
  <si>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</si>
  <si>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</si>
  <si>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</si>
  <si>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</si>
  <si>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</si>
  <si>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</si>
  <si>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</si>
  <si>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</si>
  <si>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</si>
  <si>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</si>
  <si>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</si>
  <si>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</si>
  <si>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</si>
  <si>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</si>
  <si>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</si>
  <si>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</si>
  <si>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</si>
  <si>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</si>
  <si>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</si>
  <si>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</si>
  <si>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</si>
  <si>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</si>
  <si>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</si>
  <si>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</si>
  <si>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</si>
  <si>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</si>
  <si>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</si>
  <si>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</si>
  <si>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</si>
  <si>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</si>
  <si>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</si>
  <si>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</si>
  <si>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</si>
  <si>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</si>
  <si>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</si>
  <si>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</si>
  <si>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</si>
  <si>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</si>
  <si>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</si>
  <si>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</si>
  <si>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</si>
  <si>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Energy consumption for appliances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</si>
  <si>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</si>
  <si>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</si>
  <si>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</si>
  <si>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</si>
  <si>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</si>
  <si>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</si>
  <si>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</si>
  <si>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</si>
  <si>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</si>
  <si>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</si>
  <si>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</si>
  <si>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</si>
  <si>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</si>
  <si>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</si>
  <si>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</si>
  <si>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</si>
  <si>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</si>
  <si>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</si>
  <si>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 (thsd persons)</t>
  </si>
  <si>
    <t>Towns and regions</t>
  </si>
  <si>
    <t>including:</t>
  </si>
  <si>
    <t>Urban places</t>
  </si>
  <si>
    <t>Rural places</t>
  </si>
  <si>
    <t>men</t>
  </si>
  <si>
    <t>women</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</si>
  <si>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</si>
  <si>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</si>
  <si>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</si>
  <si>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</si>
  <si>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</si>
  <si>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</si>
  <si>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</si>
  <si>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</si>
  <si>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</si>
  <si>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</si>
  <si>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</si>
  <si>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</si>
  <si>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</si>
  <si>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</si>
  <si>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</si>
  <si>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</si>
  <si>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</si>
  <si>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</si>
  <si>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</si>
  <si>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</si>
  <si>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</si>
  <si>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</si>
  <si>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</si>
  <si>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</si>
  <si>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</si>
  <si>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</si>
  <si>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</si>
  <si>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</si>
  <si>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</si>
  <si>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</si>
  <si>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</si>
  <si>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</si>
  <si>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</si>
  <si>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</si>
  <si>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</si>
  <si>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</si>
  <si>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</si>
  <si>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</si>
  <si>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</si>
  <si>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</si>
  <si>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</si>
  <si>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</si>
  <si>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</si>
  <si>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</si>
  <si>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</si>
  <si>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</si>
  <si>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</si>
  <si>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</si>
  <si>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</si>
  <si>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</si>
  <si>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</si>
  <si>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</si>
  <si>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</si>
  <si>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</si>
  <si>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</si>
  <si>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</si>
  <si>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</si>
  <si>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</si>
  <si>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</si>
  <si>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</si>
  <si>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</si>
  <si>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</si>
  <si>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</si>
  <si>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</si>
  <si>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</si>
  <si>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</si>
  <si>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</si>
  <si>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</si>
  <si>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</si>
  <si>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</si>
  <si>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</si>
  <si>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</si>
  <si>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</si>
  <si>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</si>
  <si>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</si>
  <si>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</si>
  <si>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</si>
  <si>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</si>
  <si>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</si>
  <si>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</si>
  <si>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</si>
  <si>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</si>
  <si>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</si>
  <si>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</si>
  <si>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</si>
  <si>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</si>
  <si>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</si>
  <si>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</si>
  <si>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</si>
  <si>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 town</t>
  </si>
  <si>
    <t xml:space="preserve">           including:</t>
  </si>
  <si>
    <t>Hajikend settlement</t>
  </si>
  <si>
    <t>Goygol settlement</t>
  </si>
  <si>
    <t>Cavadkhan settlement</t>
  </si>
  <si>
    <t>Mahsati settlement</t>
  </si>
  <si>
    <t>Natavan settlement</t>
  </si>
  <si>
    <t>Sadilli settlement</t>
  </si>
  <si>
    <t>Shikhzamanli settlement</t>
  </si>
  <si>
    <t>Agstafa region</t>
  </si>
  <si>
    <t>Agstafa town</t>
  </si>
  <si>
    <t>Soyug Bulag settlement</t>
  </si>
  <si>
    <t>Shekerli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</si>
  <si>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</si>
  <si>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</si>
  <si>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</si>
  <si>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</si>
  <si>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</si>
  <si>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</si>
  <si>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</si>
  <si>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</si>
  <si>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</si>
  <si>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</si>
  <si>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</si>
  <si>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</si>
  <si>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</si>
  <si>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</si>
  <si>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</si>
  <si>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</si>
  <si>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</si>
  <si>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</si>
  <si>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</si>
  <si>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</si>
  <si>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</si>
  <si>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</si>
  <si>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</si>
  <si>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</si>
  <si>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</si>
  <si>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</si>
  <si>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</si>
  <si>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</si>
  <si>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</si>
  <si>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</si>
  <si>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</si>
  <si>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</si>
  <si>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</si>
  <si>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</si>
  <si>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</si>
  <si>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</si>
  <si>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</si>
  <si>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</si>
  <si>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</si>
  <si>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</si>
  <si>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</si>
  <si>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</si>
  <si>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</si>
  <si>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</si>
  <si>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</si>
  <si>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</si>
  <si>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</si>
  <si>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</si>
  <si>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</si>
  <si>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</si>
  <si>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</si>
  <si>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</si>
  <si>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</si>
  <si>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</si>
  <si>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</si>
  <si>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</si>
  <si>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</si>
  <si>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</si>
  <si>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</si>
  <si>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</si>
  <si>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</si>
  <si>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</si>
  <si>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</si>
  <si>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</si>
  <si>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</si>
  <si>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</si>
  <si>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</si>
  <si>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</si>
  <si>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</si>
  <si>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</si>
  <si>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</si>
  <si>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</si>
  <si>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</si>
  <si>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</si>
  <si>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</si>
  <si>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</si>
  <si>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</si>
  <si>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</si>
  <si>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</si>
  <si>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</si>
  <si>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</si>
  <si>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</si>
  <si>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</si>
  <si>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</si>
  <si>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</si>
  <si>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</si>
  <si>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</si>
  <si>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</si>
  <si>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</si>
  <si>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</si>
  <si>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</si>
  <si>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</si>
  <si>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</si>
  <si>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</si>
  <si>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</si>
  <si>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</si>
  <si>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</si>
  <si>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Gusar region</t>
  </si>
  <si>
    <t>Gusar town</t>
  </si>
  <si>
    <t>Samur settlement</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</si>
  <si>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</si>
  <si>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</si>
  <si>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</si>
  <si>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</si>
  <si>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</si>
  <si>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</si>
  <si>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</si>
  <si>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</si>
  <si>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</si>
  <si>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</si>
  <si>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</si>
  <si>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</si>
  <si>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</si>
  <si>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</si>
  <si>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</si>
  <si>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</si>
  <si>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</si>
  <si>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</si>
  <si>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</si>
  <si>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</si>
  <si>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</si>
  <si>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</si>
  <si>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</si>
  <si>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</si>
  <si>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</si>
  <si>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</si>
  <si>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</si>
  <si>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</si>
  <si>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</si>
  <si>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</si>
  <si>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</si>
  <si>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</si>
  <si>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</si>
  <si>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</si>
  <si>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</si>
  <si>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</si>
  <si>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</si>
  <si>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</si>
  <si>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</si>
  <si>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</si>
  <si>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</si>
  <si>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</si>
  <si>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</si>
  <si>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</si>
  <si>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</si>
  <si>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</si>
  <si>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</si>
  <si>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</si>
  <si>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</si>
  <si>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</si>
  <si>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</si>
  <si>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</si>
  <si>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</si>
  <si>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</si>
  <si>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</si>
  <si>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</si>
  <si>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</si>
  <si>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</si>
  <si>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</si>
  <si>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</si>
  <si>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</si>
  <si>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</si>
  <si>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</si>
  <si>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</si>
  <si>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</si>
  <si>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</si>
  <si>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</si>
  <si>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</si>
  <si>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</si>
  <si>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</si>
  <si>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</si>
  <si>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</si>
  <si>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</si>
  <si>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</si>
  <si>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</si>
  <si>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</si>
  <si>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</si>
  <si>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</si>
  <si>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</si>
  <si>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</si>
  <si>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</si>
  <si>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</si>
  <si>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</si>
  <si>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</si>
  <si>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</si>
  <si>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</si>
  <si>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</si>
  <si>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</si>
  <si>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</si>
  <si>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</si>
  <si>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</si>
  <si>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</si>
  <si>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</si>
  <si>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</si>
  <si>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</si>
  <si>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</si>
  <si>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</si>
  <si>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</si>
  <si>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</si>
  <si>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</si>
  <si>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</si>
  <si>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</si>
  <si>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</si>
  <si>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</si>
  <si>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</si>
  <si>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</si>
  <si>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</si>
  <si>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</si>
  <si>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</si>
  <si>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</si>
  <si>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</si>
  <si>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</si>
  <si>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</si>
  <si>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</si>
  <si>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</si>
  <si>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</si>
  <si>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</si>
  <si>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</si>
  <si>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</si>
  <si>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</si>
  <si>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</si>
  <si>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</si>
  <si>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</si>
  <si>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</si>
  <si>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</si>
  <si>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</si>
  <si>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</si>
  <si>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</si>
  <si>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</si>
  <si>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</si>
  <si>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</si>
  <si>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</si>
  <si>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</si>
  <si>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</si>
  <si>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</si>
  <si>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</si>
  <si>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</si>
  <si>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</si>
  <si>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</si>
  <si>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</si>
  <si>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</si>
  <si>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</si>
  <si>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</si>
  <si>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</si>
  <si>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</si>
  <si>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</si>
  <si>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</si>
  <si>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</si>
  <si>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</si>
  <si>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</si>
  <si>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</si>
  <si>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</si>
  <si>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</si>
  <si>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</si>
  <si>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</si>
  <si>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</si>
  <si>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</si>
  <si>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</si>
  <si>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</si>
  <si>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</si>
  <si>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</si>
  <si>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</si>
  <si>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</si>
  <si>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</si>
  <si>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</si>
  <si>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</si>
  <si>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</si>
  <si>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</si>
  <si>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</si>
  <si>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</si>
  <si>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</si>
  <si>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</si>
  <si>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</si>
  <si>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</si>
  <si>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</si>
  <si>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</si>
  <si>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</si>
  <si>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</si>
  <si>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</si>
  <si>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</si>
  <si>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</si>
  <si>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</si>
  <si>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</si>
  <si>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</si>
  <si>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</si>
  <si>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</si>
  <si>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</si>
  <si>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</si>
  <si>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</si>
  <si>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</si>
  <si>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</si>
  <si>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</si>
  <si>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</si>
  <si>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</si>
  <si>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</si>
  <si>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</si>
  <si>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</si>
  <si>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</si>
  <si>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</si>
  <si>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</si>
  <si>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</si>
  <si>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</si>
  <si>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</si>
  <si>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</si>
  <si>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</si>
  <si>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</si>
  <si>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</si>
  <si>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</si>
  <si>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</si>
  <si>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</si>
  <si>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</si>
  <si>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</si>
  <si>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</si>
  <si>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</si>
  <si>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</si>
  <si>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</si>
  <si>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</si>
  <si>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</si>
  <si>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</si>
  <si>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</si>
  <si>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</si>
  <si>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</si>
  <si>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</si>
  <si>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</si>
  <si>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</si>
  <si>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</si>
  <si>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</si>
  <si>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</si>
  <si>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</si>
  <si>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</si>
  <si>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</si>
  <si>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</si>
  <si>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</si>
  <si>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</si>
  <si>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</si>
  <si>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</si>
  <si>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</si>
  <si>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</si>
  <si>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</si>
  <si>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</si>
  <si>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</si>
  <si>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</si>
  <si>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</si>
  <si>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</si>
  <si>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</si>
  <si>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</si>
  <si>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</si>
  <si>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</si>
  <si>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</si>
  <si>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</si>
  <si>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</si>
  <si>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</si>
  <si>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</si>
  <si>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</si>
  <si>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</si>
  <si>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</si>
  <si>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</si>
  <si>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</si>
  <si>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</si>
  <si>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</si>
  <si>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</si>
  <si>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</si>
  <si>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</si>
  <si>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</si>
  <si>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</si>
  <si>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</si>
  <si>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</si>
  <si>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</si>
  <si>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</si>
  <si>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STR</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</si>
  <si>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</si>
  <si>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</si>
  <si>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</si>
  <si>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</si>
  <si>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</si>
  <si>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</si>
  <si>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</si>
  <si>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</si>
  <si>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</si>
  <si>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</si>
  <si>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</si>
  <si>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</si>
  <si>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</si>
  <si>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</si>
  <si>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</si>
  <si>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</si>
  <si>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</si>
  <si>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</si>
  <si>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</si>
  <si>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Straw</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</si>
  <si>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</si>
  <si>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</si>
  <si>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</si>
  <si>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</si>
  <si>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</si>
  <si>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</si>
  <si>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</si>
  <si>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</si>
  <si>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</si>
  <si>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</si>
  <si>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</si>
  <si>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</si>
  <si>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</si>
  <si>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</si>
  <si>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</si>
  <si>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</si>
  <si>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</si>
  <si>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</si>
  <si>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</si>
  <si>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</si>
  <si>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</si>
  <si>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</si>
  <si>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</si>
  <si>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</si>
  <si>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</si>
  <si>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</si>
  <si>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</si>
  <si>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</si>
  <si>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RESHSAV</t>
  </si>
  <si>
    <t>Residenatial spatial heat savings</t>
  </si>
  <si>
    <t>HSE</t>
  </si>
  <si>
    <t>District heating SubUrban</t>
  </si>
  <si>
    <t>Calibration factor</t>
  </si>
  <si>
    <t>*Calibration factor</t>
  </si>
  <si>
    <t>DE1</t>
  </si>
  <si>
    <t>DE2</t>
  </si>
  <si>
    <t>DE3</t>
  </si>
  <si>
    <t>STOCK~DE1</t>
  </si>
  <si>
    <t>STOCK~DE2</t>
  </si>
  <si>
    <t>STOCK~DE3</t>
  </si>
  <si>
    <t>EFF~DE1</t>
  </si>
  <si>
    <t>EFF~DE2</t>
  </si>
  <si>
    <t>EFF~DE3</t>
  </si>
  <si>
    <t>STOCK~2015~DE1</t>
  </si>
  <si>
    <t>STOCK~2015~DE2</t>
  </si>
  <si>
    <t>STOCK~2015~DE3</t>
  </si>
  <si>
    <t>STOCK~2017~DE1</t>
  </si>
  <si>
    <t>STOCK~2017~DE2</t>
  </si>
  <si>
    <t>STOCK~2017~DE3</t>
  </si>
  <si>
    <t>ACTBND~LO~DE1</t>
  </si>
  <si>
    <t>ACTBND~LO~DE2</t>
  </si>
  <si>
    <t>ACTBND~LO~DE3</t>
  </si>
  <si>
    <t>ACTBND~LO~DE1~2015</t>
  </si>
  <si>
    <t>ACTBND~LO~DE2~2015</t>
  </si>
  <si>
    <t>ACTBND~LO~DE3~2015</t>
  </si>
  <si>
    <t>ACTBND~LO~DE1~2017</t>
  </si>
  <si>
    <t>ACTBND~LO~DE2~2017</t>
  </si>
  <si>
    <t>ACTBND~LO~DE3~2017</t>
  </si>
  <si>
    <t>ACTBND~LO~DE1~2100</t>
  </si>
  <si>
    <t>ACTBND~LO~DE2~2100</t>
  </si>
  <si>
    <t>ACTBND~LO~DE3~2100</t>
  </si>
  <si>
    <t>ACTBND~LO~DE1~0</t>
  </si>
  <si>
    <t>ACTBND~LO~DE2~0</t>
  </si>
  <si>
    <t>ACTBND~LO~DE3~0</t>
  </si>
  <si>
    <t>EFF~DE1~2015</t>
  </si>
  <si>
    <t>EFF~DE2~2015</t>
  </si>
  <si>
    <t>EFF~DE3~2015</t>
  </si>
  <si>
    <t>EFF~DE1~2018</t>
  </si>
  <si>
    <t>EFF~DE2~2018</t>
  </si>
  <si>
    <t>EFF~DE3~2018</t>
  </si>
  <si>
    <t>EFF~DE1~2019</t>
  </si>
  <si>
    <t>EFF~DE2~2019</t>
  </si>
  <si>
    <t>EFF~DE3~2019</t>
  </si>
  <si>
    <t>DEMAND~DE1</t>
  </si>
  <si>
    <t>DEMAND~DE2</t>
  </si>
  <si>
    <t>DEMAND~DE3</t>
  </si>
  <si>
    <t>Total residential housing area of DEerbaijan</t>
  </si>
  <si>
    <t>In-depth review of the energy-efficiency of the replublic of DEerbaijan</t>
  </si>
  <si>
    <t>Natural gas is the main source for heating and cooking in the residential sector and only 2.6% of residential buildings in DEerbaijan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</si>
  <si>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In-depth review of the energy-efficiency of the replublic of DEerbaijan, table 15 household bulding stock in DEerbaijan,</t>
  </si>
  <si>
    <t>https://www.DEstat.org/webmap/index.php?geolevel=iqtisadi&amp;v=off&amp;year=2017&amp;indicator=00080&amp;section=01&amp;colorFrom=edf8fb&amp;colorTo=810f7c&amp;cc=5&amp;ms=method_Q&amp;lang=en</t>
  </si>
  <si>
    <t xml:space="preserve">1.22.7. Population by sex, towns and regions, urban settlements of the Republic of DEerbaijan at the beginning of the 2019 </t>
  </si>
  <si>
    <t xml:space="preserve">Republic of DEerbaijan </t>
  </si>
  <si>
    <t>KhDEar region</t>
  </si>
  <si>
    <t>GilDEi settlement</t>
  </si>
  <si>
    <t>Ganja-GDEakh economic region - total</t>
  </si>
  <si>
    <t>KapDE region</t>
  </si>
  <si>
    <t>GDEakh region</t>
  </si>
  <si>
    <t>GDEakh town</t>
  </si>
  <si>
    <t>GarayDEi settlement</t>
  </si>
  <si>
    <t>HDEi Aslanov settlement</t>
  </si>
  <si>
    <t>GDEanbulaq settlement</t>
  </si>
  <si>
    <t>Guba-KhachmDE economic region - total</t>
  </si>
  <si>
    <t>KhachmDE region</t>
  </si>
  <si>
    <t>KhachmDE town</t>
  </si>
  <si>
    <t>SiyDEan region</t>
  </si>
  <si>
    <t>SiyDEan town</t>
  </si>
  <si>
    <t>ArDE settlement</t>
  </si>
  <si>
    <t>Qirmizi BDEar settlement</t>
  </si>
  <si>
    <t>BartDE settlement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</si>
</sst>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s>
  <fonts count="11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s>
  <fills count="8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s>
  <cellStyleXfs count="4350">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cellStyleXfs>
  <cellXfs count="63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2" fontId="86" fillId="0" borderId="0" xfId="0" applyNumberFormat="1" applyFont="1"/>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86" fillId="0" borderId="83" xfId="0"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0" fontId="99" fillId="40" borderId="103" xfId="4348" applyFont="1" applyFill="1" applyBorder="1" applyAlignment="1">
      <alignment horizontal="right"/>
    </xf>
    <xf numFmtId="0" fontId="99" fillId="40" borderId="104" xfId="4348" applyFont="1" applyFill="1" applyBorder="1" applyAlignment="1">
      <alignment horizontal="right"/>
    </xf>
    <xf numFmtId="0" fontId="99" fillId="40" borderId="78" xfId="4348" applyFont="1" applyFill="1" applyBorder="1" applyAlignment="1">
      <alignment horizontal="right"/>
    </xf>
    <xf numFmtId="185" fontId="99" fillId="40" borderId="74" xfId="4348" applyNumberFormat="1" applyFont="1" applyFill="1" applyBorder="1" applyAlignment="1">
      <alignment horizontal="right"/>
    </xf>
    <xf numFmtId="0" fontId="99" fillId="40" borderId="74" xfId="4348"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10" fontId="80" fillId="40" borderId="0" xfId="0" applyNumberFormat="1" applyFont="1" applyFill="1"/>
    <xf numFmtId="10" fontId="80" fillId="40" borderId="0" xfId="0" quotePrefix="1" applyNumberFormat="1" applyFont="1" applyFill="1"/>
    <xf numFmtId="0" fontId="80" fillId="0" borderId="16" xfId="0" applyFont="1" applyBorder="1"/>
    <xf numFmtId="0" fontId="80" fillId="0" borderId="85" xfId="0" applyFont="1" applyBorder="1"/>
    <xf numFmtId="165" fontId="86" fillId="0" borderId="0" xfId="0" applyNumberFormat="1" applyFont="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0">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32</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31</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31</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36</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30</xdr:row>
      <xdr:rowOff>152461</xdr:rowOff>
    </xdr:from>
    <xdr:to>
      <xdr:col>41</xdr:col>
      <xdr:colOff>457159</xdr:colOff>
      <xdr:row>30</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48</xdr:row>
      <xdr:rowOff>0</xdr:rowOff>
    </xdr:from>
    <xdr:to>
      <xdr:col>30</xdr:col>
      <xdr:colOff>581025</xdr:colOff>
      <xdr:row>54</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45</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68</xdr:row>
      <xdr:rowOff>0</xdr:rowOff>
    </xdr:from>
    <xdr:to>
      <xdr:col>30</xdr:col>
      <xdr:colOff>581025</xdr:colOff>
      <xdr:row>74</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782954</xdr:colOff>
      <xdr:row>27</xdr:row>
      <xdr:rowOff>45720</xdr:rowOff>
    </xdr:from>
    <xdr:to>
      <xdr:col>4</xdr:col>
      <xdr:colOff>729614</xdr:colOff>
      <xdr:row>36</xdr:row>
      <xdr:rowOff>146686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0F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1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1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1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1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1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130</v>
      </c>
      <c r="B3" s="91" t="s">
        <v>110</v>
      </c>
      <c r="C3" s="91" t="s">
        <v>131</v>
      </c>
      <c r="D3" s="91" t="s">
        <v>132</v>
      </c>
      <c r="E3" s="91" t="s">
        <v>133</v>
      </c>
    </row>
    <row r="4" spans="1:6">
      <c r="A4" s="292">
        <v>44300</v>
      </c>
      <c r="B4" s="293" t="s">
        <v>202</v>
      </c>
      <c r="C4" s="293"/>
      <c r="D4" s="294"/>
      <c r="E4" s="295" t="s">
        <v>203</v>
      </c>
    </row>
    <row r="5" spans="1:6">
      <c r="A5" s="292"/>
      <c r="B5" s="293"/>
      <c r="C5" s="293"/>
      <c r="D5" s="294"/>
      <c r="E5" s="295"/>
    </row>
    <row r="6" spans="1:6">
      <c r="A6" s="292"/>
      <c r="B6" s="293"/>
      <c r="C6" s="293"/>
      <c r="D6" s="294"/>
      <c r="E6" s="295"/>
    </row>
    <row r="7" spans="1:6">
      <c r="A7" s="90"/>
      <c r="B7" s="91"/>
      <c r="C7" s="293"/>
      <c r="D7" s="294"/>
      <c r="E7" s="295"/>
    </row>
    <row r="8" spans="1:6">
      <c r="A8" s="90"/>
      <c r="B8" s="91"/>
      <c r="C8" s="293"/>
      <c r="D8" s="294"/>
      <c r="E8" s="295"/>
    </row>
    <row r="9" spans="1:6">
      <c r="A9" s="185"/>
      <c r="B9" s="146"/>
      <c r="C9" s="293"/>
      <c r="D9" s="294"/>
      <c r="E9" s="295"/>
    </row>
    <row r="10" spans="1:6">
      <c r="A10" s="185"/>
      <c r="B10" s="146"/>
      <c r="C10" s="293"/>
      <c r="D10" s="294"/>
      <c r="E10" s="295"/>
    </row>
    <row r="11" spans="1:6">
      <c r="A11" s="185"/>
      <c r="B11" s="146"/>
      <c r="C11" s="293"/>
      <c r="D11" s="294"/>
      <c r="E11" s="295"/>
    </row>
    <row r="12" spans="1:6">
      <c r="A12" s="185"/>
      <c r="B12" s="146"/>
      <c r="C12" s="293"/>
      <c r="D12" s="294"/>
      <c r="E12" s="295"/>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8" workbookViewId="0">
      <selection activeCell="C31" sqref="C31"/>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143</v>
      </c>
    </row>
    <row r="3" spans="2:3">
      <c r="B3" s="139" t="s">
        <v>144</v>
      </c>
      <c r="C3" s="138" t="s">
        <v>151</v>
      </c>
    </row>
    <row r="4" spans="2:3">
      <c r="B4" s="139" t="s">
        <v>145</v>
      </c>
      <c r="C4" s="138" t="s">
        <v>152</v>
      </c>
    </row>
    <row r="5" spans="2:3">
      <c r="B5" s="139"/>
    </row>
    <row r="6" spans="2:3">
      <c r="B6" s="139" t="s">
        <v>146</v>
      </c>
      <c r="C6" s="575"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809</v>
      </c>
      <c r="C15" s="575" t="s">
        <v>810</v>
      </c>
    </row>
    <row r="16" spans="2:3">
      <c r="B16" s="142" t="s">
        <v>291</v>
      </c>
      <c r="C16" s="575" t="s">
        <v>811</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78" t="s">
        <v>812</v>
      </c>
      <c r="C22" s="575" t="s">
        <v>816</v>
      </c>
    </row>
    <row r="23" spans="2:3">
      <c r="B23" s="578" t="s">
        <v>813</v>
      </c>
      <c r="C23" s="575" t="s">
        <v>815</v>
      </c>
    </row>
    <row r="24" spans="2:3">
      <c r="B24" s="577" t="s">
        <v>224</v>
      </c>
      <c r="C24" s="575" t="s">
        <v>817</v>
      </c>
    </row>
    <row r="25" spans="2:3">
      <c r="B25" s="577" t="s">
        <v>814</v>
      </c>
      <c r="C25" s="575" t="s">
        <v>818</v>
      </c>
    </row>
    <row r="26" spans="2:3">
      <c r="B26" s="576" t="s">
        <v>153</v>
      </c>
      <c r="C26" s="138" t="s">
        <v>156</v>
      </c>
    </row>
    <row r="27" spans="2:3">
      <c r="B27" s="576" t="s">
        <v>182</v>
      </c>
      <c r="C27" s="186" t="s">
        <v>183</v>
      </c>
    </row>
    <row r="28" spans="2:3">
      <c r="B28" s="576"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0"/>
  <sheetViews>
    <sheetView zoomScale="70" zoomScaleNormal="70" workbookViewId="0">
      <selection activeCell="G14" sqref="G14"/>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54" t="s">
        <v>767</v>
      </c>
      <c r="C2" s="554" t="s">
        <v>153</v>
      </c>
      <c r="D2" s="106" t="s">
        <v>787</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18"/>
      <c r="K5" s="127"/>
      <c r="L5" s="297" t="s">
        <v>742</v>
      </c>
      <c r="M5" s="297" t="s">
        <v>743</v>
      </c>
      <c r="N5" s="297" t="s">
        <v>744</v>
      </c>
      <c r="O5" s="297" t="s">
        <v>745</v>
      </c>
      <c r="P5" s="297" t="s">
        <v>766</v>
      </c>
      <c r="Q5" s="297" t="s">
        <v>782</v>
      </c>
      <c r="R5" s="297" t="s">
        <v>785</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9"/>
      <c r="K7" s="126"/>
      <c r="L7" s="126" t="s">
        <v>738</v>
      </c>
      <c r="M7" s="127" t="s">
        <v>116</v>
      </c>
      <c r="N7" s="127" t="s">
        <v>713</v>
      </c>
      <c r="O7" s="127" t="s">
        <v>743</v>
      </c>
      <c r="P7" s="126"/>
      <c r="Q7" s="126"/>
      <c r="R7" s="126" t="s">
        <v>786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9"/>
      <c r="K8" s="126"/>
      <c r="L8" s="126" t="s">
        <v>738</v>
      </c>
      <c r="M8" s="127" t="s">
        <v>116</v>
      </c>
      <c r="N8" s="127" t="s">
        <v>714</v>
      </c>
      <c r="O8" s="127" t="s">
        <v>743</v>
      </c>
      <c r="P8" s="126"/>
      <c r="Q8" s="126"/>
      <c r="R8" s="126" t="s">
        <v>786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9"/>
      <c r="K9" s="126"/>
      <c r="L9" s="126" t="s">
        <v>738</v>
      </c>
      <c r="M9" s="127" t="s">
        <v>720</v>
      </c>
      <c r="N9" s="127" t="s">
        <v>713</v>
      </c>
      <c r="O9" s="127" t="s">
        <v>743</v>
      </c>
      <c r="P9" s="126"/>
      <c r="Q9" s="126"/>
      <c r="R9" s="126" t="s">
        <v>786</v>
      </c>
      <c r="S9" s="126"/>
      <c r="T9" s="126"/>
      <c r="U9" s="126"/>
      <c r="V9" s="126"/>
      <c r="W9" s="126"/>
      <c r="X9" s="126"/>
      <c r="Y9" s="126"/>
      <c r="Z9" s="126"/>
      <c r="AA9" s="126"/>
    </row>
    <row r="10" spans="2:27">
      <c r="B10" s="503"/>
      <c r="C10" s="504" t="str">
        <f t="shared" si="1"/>
        <v>RHRMB</v>
      </c>
      <c r="D10" s="505" t="str">
        <f t="shared" si="0"/>
        <v>Residential Heating Rural Multi Building  Demand</v>
      </c>
      <c r="E10" s="500" t="s">
        <v>46</v>
      </c>
      <c r="F10" s="497"/>
      <c r="G10" s="503"/>
      <c r="H10" s="503"/>
      <c r="I10" s="503"/>
      <c r="J10" s="520"/>
      <c r="K10" s="127"/>
      <c r="L10" s="126" t="s">
        <v>738</v>
      </c>
      <c r="M10" s="127" t="s">
        <v>720</v>
      </c>
      <c r="N10" s="127" t="s">
        <v>714</v>
      </c>
      <c r="O10" s="127" t="s">
        <v>743</v>
      </c>
      <c r="P10" s="127"/>
      <c r="Q10" s="127"/>
      <c r="R10" s="126" t="s">
        <v>786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21"/>
      <c r="K11" s="127"/>
      <c r="L11" s="127" t="s">
        <v>291</v>
      </c>
      <c r="M11" s="127" t="s">
        <v>116</v>
      </c>
      <c r="N11" s="127" t="s">
        <v>713</v>
      </c>
      <c r="O11" s="127" t="s">
        <v>743</v>
      </c>
      <c r="P11" s="127"/>
      <c r="Q11" s="127"/>
      <c r="R11" s="126" t="s">
        <v>786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21"/>
      <c r="K12" s="127"/>
      <c r="L12" s="127" t="s">
        <v>291</v>
      </c>
      <c r="M12" s="127" t="s">
        <v>116</v>
      </c>
      <c r="N12" s="127" t="s">
        <v>714</v>
      </c>
      <c r="O12" s="127" t="s">
        <v>743</v>
      </c>
      <c r="P12" s="127"/>
      <c r="Q12" s="127"/>
      <c r="R12" s="126" t="s">
        <v>786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21"/>
      <c r="K13" s="127"/>
      <c r="L13" s="127" t="s">
        <v>291</v>
      </c>
      <c r="M13" s="127" t="s">
        <v>720</v>
      </c>
      <c r="N13" s="127" t="s">
        <v>713</v>
      </c>
      <c r="O13" s="127" t="s">
        <v>743</v>
      </c>
      <c r="P13" s="127"/>
      <c r="Q13" s="127"/>
      <c r="R13" s="126" t="s">
        <v>786</v>
      </c>
      <c r="S13" s="127"/>
      <c r="T13" s="127"/>
      <c r="U13" s="127"/>
      <c r="V13" s="127"/>
      <c r="W13" s="127"/>
      <c r="X13" s="127"/>
      <c r="Y13" s="127"/>
      <c r="Z13" s="127"/>
      <c r="AA13" s="127"/>
    </row>
    <row r="14" spans="2:27">
      <c r="B14" s="503"/>
      <c r="C14" s="504" t="str">
        <f t="shared" si="1"/>
        <v>RCRMB</v>
      </c>
      <c r="D14" s="505" t="str">
        <f t="shared" si="0"/>
        <v>Residential Cooling Rural Multi Building  Demand</v>
      </c>
      <c r="E14" s="500" t="s">
        <v>46</v>
      </c>
      <c r="F14" s="497"/>
      <c r="G14" s="503"/>
      <c r="H14" s="503"/>
      <c r="I14" s="503"/>
      <c r="J14" s="520"/>
      <c r="K14" s="127"/>
      <c r="L14" s="127" t="s">
        <v>291</v>
      </c>
      <c r="M14" s="127" t="s">
        <v>720</v>
      </c>
      <c r="N14" s="127" t="s">
        <v>714</v>
      </c>
      <c r="O14" s="127" t="s">
        <v>743</v>
      </c>
      <c r="P14" s="127"/>
      <c r="Q14" s="127"/>
      <c r="R14" s="126" t="s">
        <v>786</v>
      </c>
      <c r="S14" s="127"/>
      <c r="T14" s="127"/>
      <c r="U14" s="127"/>
      <c r="V14" s="127"/>
      <c r="W14" s="127"/>
      <c r="X14" s="127"/>
      <c r="Y14" s="127"/>
      <c r="Z14" s="127"/>
      <c r="AA14" s="127"/>
    </row>
    <row r="15" spans="2:27">
      <c r="B15" s="77"/>
      <c r="C15" s="152" t="str">
        <f t="shared" si="1"/>
        <v>RWDEM</v>
      </c>
      <c r="D15" s="557" t="str">
        <f t="shared" si="0"/>
        <v>Residential Water Hot     Demand</v>
      </c>
      <c r="E15" s="133" t="s">
        <v>44</v>
      </c>
      <c r="F15" s="78"/>
      <c r="G15" s="77"/>
      <c r="H15" s="77"/>
      <c r="I15" s="77"/>
      <c r="J15" s="521"/>
      <c r="K15" s="127"/>
      <c r="L15" s="127" t="s">
        <v>788</v>
      </c>
      <c r="M15" s="127"/>
      <c r="N15" s="127"/>
      <c r="P15" s="127"/>
      <c r="Q15" s="127" t="s">
        <v>17</v>
      </c>
      <c r="R15" s="126" t="s">
        <v>786</v>
      </c>
      <c r="S15" s="127"/>
      <c r="T15" s="127"/>
      <c r="U15" s="127"/>
      <c r="V15" s="127"/>
      <c r="W15" s="127"/>
      <c r="X15" s="127"/>
      <c r="Y15" s="127"/>
      <c r="Z15" s="127"/>
      <c r="AA15" s="127"/>
    </row>
    <row r="16" spans="2:27">
      <c r="B16" s="77"/>
      <c r="C16" s="152" t="str">
        <f t="shared" si="1"/>
        <v>RADEM</v>
      </c>
      <c r="D16" s="557" t="str">
        <f t="shared" si="0"/>
        <v>Residential Appliances     Demand</v>
      </c>
      <c r="E16" s="133" t="s">
        <v>44</v>
      </c>
      <c r="F16" s="78"/>
      <c r="G16" s="77"/>
      <c r="H16" s="77"/>
      <c r="I16" s="77"/>
      <c r="J16" s="521"/>
      <c r="K16" s="127"/>
      <c r="L16" s="127" t="s">
        <v>290</v>
      </c>
      <c r="M16" s="127"/>
      <c r="N16" s="127"/>
      <c r="P16" s="127"/>
      <c r="Q16" s="127" t="s">
        <v>17</v>
      </c>
      <c r="R16" s="126" t="s">
        <v>786</v>
      </c>
      <c r="S16" s="127"/>
      <c r="T16" s="127"/>
      <c r="U16" s="127"/>
      <c r="V16" s="127"/>
      <c r="W16" s="127"/>
      <c r="X16" s="127"/>
      <c r="Y16" s="127"/>
      <c r="Z16" s="127"/>
      <c r="AA16" s="127"/>
    </row>
    <row r="17" spans="2:27">
      <c r="B17" s="503"/>
      <c r="C17" s="504" t="str">
        <f t="shared" si="1"/>
        <v>RFDEM</v>
      </c>
      <c r="D17" s="505" t="str">
        <f t="shared" si="0"/>
        <v>Residential Food (cooking)     Demand</v>
      </c>
      <c r="E17" s="498" t="s">
        <v>44</v>
      </c>
      <c r="F17" s="497"/>
      <c r="G17" s="503"/>
      <c r="H17" s="503"/>
      <c r="I17" s="503"/>
      <c r="J17" s="520"/>
      <c r="K17" s="127"/>
      <c r="L17" s="127" t="s">
        <v>789</v>
      </c>
      <c r="M17" s="127"/>
      <c r="N17" s="127"/>
      <c r="P17" s="127"/>
      <c r="Q17" s="127" t="s">
        <v>17</v>
      </c>
      <c r="R17" s="126" t="s">
        <v>786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78" si="2">$D$2&amp;" "&amp;L18&amp;" "&amp;N18&amp;" "&amp;M18&amp;" "&amp;O18&amp;" "&amp;P18&amp;" "&amp;R18</f>
        <v>Residential      Natural Gas</v>
      </c>
      <c r="E18" s="68" t="s">
        <v>44</v>
      </c>
      <c r="F18" s="77"/>
      <c r="G18" s="77"/>
      <c r="H18" s="77"/>
      <c r="I18" s="77"/>
      <c r="J18" s="522"/>
      <c r="K18" s="3"/>
      <c r="M18" s="3"/>
      <c r="N18" s="3"/>
      <c r="O18" s="3"/>
      <c r="P18" s="3"/>
      <c r="Q18" s="127" t="s">
        <v>768</v>
      </c>
      <c r="R18" s="127" t="s">
        <v>790</v>
      </c>
      <c r="S18" s="3"/>
      <c r="T18" s="3"/>
      <c r="U18" s="3"/>
      <c r="V18" s="3"/>
      <c r="W18" s="3"/>
      <c r="X18" s="3"/>
      <c r="Y18" s="3"/>
      <c r="Z18" s="3"/>
      <c r="AA18" s="3"/>
    </row>
    <row r="19" spans="2:27" ht="15" customHeight="1">
      <c r="B19" s="76"/>
      <c r="C19" s="152" t="str">
        <f t="shared" ref="C19:C34" si="3">$C$2&amp;LEFT(L19,1)&amp;LEFT(N19,1)&amp;LEFT(M19,1)&amp;LEFT(O19,1)&amp;LEFT(P19,1)&amp;Q19</f>
        <v>RESLPG</v>
      </c>
      <c r="D19" s="133" t="str">
        <f t="shared" si="2"/>
        <v>Residential      LPG</v>
      </c>
      <c r="E19" s="133" t="s">
        <v>44</v>
      </c>
      <c r="F19" s="77"/>
      <c r="G19" s="77"/>
      <c r="H19" s="77"/>
      <c r="I19" s="77"/>
      <c r="J19" s="522"/>
      <c r="K19" s="3"/>
      <c r="M19" s="3"/>
      <c r="N19" s="3"/>
      <c r="O19" s="3"/>
      <c r="P19" s="3"/>
      <c r="Q19" s="127" t="s">
        <v>769</v>
      </c>
      <c r="R19" s="127" t="s">
        <v>769</v>
      </c>
      <c r="S19" s="3"/>
      <c r="T19" s="3"/>
      <c r="U19" s="3"/>
      <c r="V19" s="3"/>
      <c r="W19" s="3"/>
      <c r="X19" s="3"/>
      <c r="Y19" s="3"/>
      <c r="Z19" s="3"/>
      <c r="AA19" s="3"/>
    </row>
    <row r="20" spans="2:27" ht="15" customHeight="1">
      <c r="B20" s="77"/>
      <c r="C20" s="152" t="str">
        <f t="shared" si="3"/>
        <v>RESDSL</v>
      </c>
      <c r="D20" s="133" t="str">
        <f t="shared" si="2"/>
        <v>Residential      Diesel</v>
      </c>
      <c r="E20" s="68" t="s">
        <v>44</v>
      </c>
      <c r="F20" s="77"/>
      <c r="G20" s="77"/>
      <c r="H20" s="77"/>
      <c r="I20" s="77"/>
      <c r="J20" s="522"/>
      <c r="K20" s="3"/>
      <c r="M20" s="3"/>
      <c r="N20" s="3"/>
      <c r="O20" s="3"/>
      <c r="P20" s="3"/>
      <c r="Q20" s="127" t="s">
        <v>770</v>
      </c>
      <c r="R20" s="127" t="s">
        <v>125</v>
      </c>
      <c r="S20" s="3"/>
      <c r="T20" s="3"/>
      <c r="U20" s="3"/>
      <c r="V20" s="3"/>
      <c r="W20" s="3"/>
      <c r="X20" s="3"/>
      <c r="Y20" s="3"/>
      <c r="Z20" s="3"/>
      <c r="AA20" s="3"/>
    </row>
    <row r="21" spans="2:27" ht="15" customHeight="1">
      <c r="B21" s="77"/>
      <c r="C21" s="152" t="str">
        <f t="shared" si="3"/>
        <v>RESGSL</v>
      </c>
      <c r="D21" s="133" t="str">
        <f t="shared" si="2"/>
        <v>Residential      Gasoline</v>
      </c>
      <c r="E21" s="68" t="s">
        <v>44</v>
      </c>
      <c r="F21" s="77"/>
      <c r="G21" s="77"/>
      <c r="H21" s="77"/>
      <c r="I21" s="77"/>
      <c r="J21" s="522"/>
      <c r="K21" s="3"/>
      <c r="M21" s="3"/>
      <c r="N21" s="3"/>
      <c r="O21" s="3"/>
      <c r="P21" s="3"/>
      <c r="Q21" s="127" t="s">
        <v>771</v>
      </c>
      <c r="R21" s="127" t="s">
        <v>791</v>
      </c>
      <c r="S21" s="3"/>
      <c r="T21" s="3"/>
      <c r="U21" s="3"/>
      <c r="V21" s="3"/>
      <c r="W21" s="3"/>
      <c r="X21" s="3"/>
      <c r="Y21" s="3"/>
      <c r="Z21" s="3"/>
      <c r="AA21" s="3"/>
    </row>
    <row r="22" spans="2:27" ht="15" customHeight="1">
      <c r="B22" s="77"/>
      <c r="C22" s="152" t="str">
        <f t="shared" si="3"/>
        <v>RESWPE</v>
      </c>
      <c r="D22" s="68" t="str">
        <f t="shared" si="2"/>
        <v>Residential      Wood pellets</v>
      </c>
      <c r="E22" s="68" t="s">
        <v>44</v>
      </c>
      <c r="F22" s="77"/>
      <c r="G22" s="77"/>
      <c r="H22" s="77"/>
      <c r="I22" s="77"/>
      <c r="J22" s="522"/>
      <c r="K22" s="3"/>
      <c r="M22" s="3"/>
      <c r="N22" s="3"/>
      <c r="O22" s="3"/>
      <c r="P22" s="3"/>
      <c r="Q22" s="127" t="s">
        <v>772</v>
      </c>
      <c r="R22" s="127" t="s">
        <v>792</v>
      </c>
      <c r="S22" s="3"/>
      <c r="T22" s="3"/>
      <c r="U22" s="3"/>
      <c r="V22" s="3"/>
      <c r="W22" s="3"/>
      <c r="X22" s="3"/>
      <c r="Y22" s="3"/>
      <c r="Z22" s="3"/>
      <c r="AA22" s="3"/>
    </row>
    <row r="23" spans="2:27" ht="15" customHeight="1">
      <c r="B23" s="77"/>
      <c r="C23" s="152" t="str">
        <f t="shared" si="3"/>
        <v>RESFIW</v>
      </c>
      <c r="D23" s="133" t="str">
        <f t="shared" si="2"/>
        <v>Residential      Fire wood</v>
      </c>
      <c r="E23" s="68" t="s">
        <v>44</v>
      </c>
      <c r="F23" s="77"/>
      <c r="G23" s="77"/>
      <c r="H23" s="77"/>
      <c r="I23" s="77"/>
      <c r="J23" s="521"/>
      <c r="K23" s="127"/>
      <c r="M23" s="127"/>
      <c r="N23" s="127"/>
      <c r="O23" s="127"/>
      <c r="P23" s="127"/>
      <c r="Q23" s="127" t="s">
        <v>773</v>
      </c>
      <c r="R23" s="127" t="s">
        <v>793</v>
      </c>
      <c r="S23" s="127"/>
      <c r="T23" s="127"/>
      <c r="U23" s="127"/>
      <c r="V23" s="127"/>
      <c r="W23" s="127"/>
      <c r="X23" s="127"/>
      <c r="Y23" s="127"/>
      <c r="Z23" s="127"/>
      <c r="AA23" s="127"/>
    </row>
    <row r="24" spans="2:27" ht="15" customHeight="1">
      <c r="B24" s="77"/>
      <c r="C24" s="152" t="str">
        <f t="shared" si="3"/>
        <v>RESSTR</v>
      </c>
      <c r="D24" s="78" t="str">
        <f t="shared" si="2"/>
        <v>Residential      Straw</v>
      </c>
      <c r="E24" s="68" t="s">
        <v>44</v>
      </c>
      <c r="F24" s="77"/>
      <c r="G24" s="77"/>
      <c r="H24" s="77"/>
      <c r="I24" s="77"/>
      <c r="J24" s="522"/>
      <c r="K24" s="3"/>
      <c r="M24" s="3"/>
      <c r="N24" s="3"/>
      <c r="O24" s="3"/>
      <c r="P24" s="3"/>
      <c r="Q24" s="127" t="s">
        <v>774</v>
      </c>
      <c r="R24" s="127" t="s">
        <v>794</v>
      </c>
      <c r="S24" s="3"/>
      <c r="T24" s="3"/>
      <c r="U24" s="3"/>
      <c r="V24" s="3"/>
      <c r="W24" s="3"/>
      <c r="X24" s="3"/>
      <c r="Y24" s="3"/>
      <c r="Z24" s="3"/>
      <c r="AA24" s="3"/>
    </row>
    <row r="25" spans="2:27" ht="15" customHeight="1">
      <c r="B25" s="77"/>
      <c r="C25" s="152" t="str">
        <f t="shared" si="3"/>
        <v>RESH2</v>
      </c>
      <c r="D25" s="78" t="str">
        <f t="shared" si="2"/>
        <v>Residential      Hydrogen</v>
      </c>
      <c r="E25" s="135" t="s">
        <v>44</v>
      </c>
      <c r="F25" s="77"/>
      <c r="G25" s="77"/>
      <c r="H25" s="77"/>
      <c r="I25" s="77"/>
      <c r="J25" s="523"/>
      <c r="K25" s="1"/>
      <c r="M25" s="1"/>
      <c r="N25" s="1"/>
      <c r="O25" s="1"/>
      <c r="P25" s="1"/>
      <c r="Q25" s="127" t="s">
        <v>186</v>
      </c>
      <c r="R25" s="127" t="s">
        <v>795</v>
      </c>
      <c r="S25" s="1"/>
      <c r="T25" s="1"/>
      <c r="U25" s="1"/>
      <c r="V25" s="1"/>
      <c r="W25" s="1"/>
      <c r="X25" s="1"/>
      <c r="Y25" s="1"/>
      <c r="Z25" s="1"/>
      <c r="AA25" s="1"/>
    </row>
    <row r="26" spans="2:27" ht="15" customHeight="1">
      <c r="B26" s="77"/>
      <c r="C26" s="152" t="str">
        <f t="shared" si="3"/>
        <v>RESSOL</v>
      </c>
      <c r="D26" s="78" t="str">
        <f t="shared" si="2"/>
        <v>Residential      Solar</v>
      </c>
      <c r="E26" s="68" t="s">
        <v>44</v>
      </c>
      <c r="F26" s="77"/>
      <c r="G26" s="77"/>
      <c r="H26" s="77"/>
      <c r="I26" s="77"/>
      <c r="J26" s="522"/>
      <c r="K26" s="3"/>
      <c r="M26" s="3"/>
      <c r="N26" s="3"/>
      <c r="O26" s="3"/>
      <c r="P26" s="3"/>
      <c r="Q26" s="127" t="s">
        <v>775</v>
      </c>
      <c r="R26" s="127" t="s">
        <v>796</v>
      </c>
      <c r="S26" s="3"/>
      <c r="T26" s="3"/>
      <c r="U26" s="3"/>
      <c r="V26" s="3"/>
      <c r="W26" s="3"/>
      <c r="X26" s="3"/>
      <c r="Y26" s="3"/>
      <c r="Z26" s="3"/>
      <c r="AA26" s="3"/>
    </row>
    <row r="27" spans="2:27" ht="15" customHeight="1">
      <c r="B27" s="77"/>
      <c r="C27" s="152" t="str">
        <f t="shared" si="3"/>
        <v>RESELCH</v>
      </c>
      <c r="D27" s="135" t="str">
        <f t="shared" si="2"/>
        <v>Residential      Electricity Heating</v>
      </c>
      <c r="E27" s="68" t="s">
        <v>44</v>
      </c>
      <c r="F27" s="77"/>
      <c r="G27" s="77" t="s">
        <v>112</v>
      </c>
      <c r="H27" s="77"/>
      <c r="I27" s="77" t="s">
        <v>113</v>
      </c>
      <c r="J27" s="522"/>
      <c r="K27" s="3"/>
      <c r="M27" s="3"/>
      <c r="N27" s="3"/>
      <c r="O27" s="3"/>
      <c r="P27" s="3"/>
      <c r="Q27" s="127" t="s">
        <v>776</v>
      </c>
      <c r="R27" s="127" t="s">
        <v>797</v>
      </c>
      <c r="S27" s="3"/>
      <c r="T27" s="3"/>
      <c r="U27" s="3"/>
      <c r="V27" s="3"/>
      <c r="W27" s="3"/>
      <c r="X27" s="3"/>
      <c r="Y27" s="3"/>
      <c r="Z27" s="3"/>
      <c r="AA27" s="3"/>
    </row>
    <row r="28" spans="2:27" ht="15" customHeight="1">
      <c r="B28" s="77"/>
      <c r="C28" s="152" t="str">
        <f t="shared" si="3"/>
        <v>RESELCC</v>
      </c>
      <c r="D28" s="135" t="str">
        <f t="shared" si="2"/>
        <v>Residential      Electricity Cooling</v>
      </c>
      <c r="E28" s="68" t="s">
        <v>44</v>
      </c>
      <c r="F28" s="77"/>
      <c r="G28" s="77" t="s">
        <v>112</v>
      </c>
      <c r="H28" s="77"/>
      <c r="I28" s="77" t="s">
        <v>113</v>
      </c>
      <c r="J28" s="522"/>
      <c r="K28" s="3"/>
      <c r="M28" s="3"/>
      <c r="N28" s="3"/>
      <c r="O28" s="3"/>
      <c r="P28" s="3"/>
      <c r="Q28" s="127" t="s">
        <v>109</v>
      </c>
      <c r="R28" s="127" t="s">
        <v>798</v>
      </c>
      <c r="S28" s="3"/>
      <c r="T28" s="3"/>
      <c r="U28" s="3"/>
      <c r="V28" s="3"/>
      <c r="W28" s="3"/>
      <c r="X28" s="3"/>
      <c r="Y28" s="3"/>
      <c r="Z28" s="3"/>
      <c r="AA28" s="3"/>
    </row>
    <row r="29" spans="2:27" ht="15" customHeight="1">
      <c r="B29" s="77"/>
      <c r="C29" s="152" t="str">
        <f t="shared" si="3"/>
        <v>RESELCA</v>
      </c>
      <c r="D29" s="135" t="str">
        <f t="shared" si="2"/>
        <v>Residential      Electricity Appliances</v>
      </c>
      <c r="E29" s="68" t="s">
        <v>44</v>
      </c>
      <c r="F29" s="77"/>
      <c r="G29" s="77" t="s">
        <v>112</v>
      </c>
      <c r="H29" s="77"/>
      <c r="I29" s="77" t="s">
        <v>113</v>
      </c>
      <c r="J29" s="522"/>
      <c r="K29" s="3"/>
      <c r="M29" s="3"/>
      <c r="N29" s="3"/>
      <c r="O29" s="3"/>
      <c r="P29" s="3"/>
      <c r="Q29" s="127" t="s">
        <v>777</v>
      </c>
      <c r="R29" s="127" t="s">
        <v>799</v>
      </c>
      <c r="S29" s="3"/>
      <c r="T29" s="3"/>
      <c r="U29" s="3"/>
      <c r="V29" s="3"/>
      <c r="W29" s="3"/>
      <c r="X29" s="3"/>
      <c r="Y29" s="3"/>
      <c r="Z29" s="3"/>
      <c r="AA29" s="3"/>
    </row>
    <row r="30" spans="2:27" ht="15" customHeight="1">
      <c r="B30" s="77"/>
      <c r="C30" s="152" t="str">
        <f t="shared" si="3"/>
        <v>RESHCE</v>
      </c>
      <c r="D30" s="76" t="str">
        <f t="shared" si="2"/>
        <v>Residential      District heating Central</v>
      </c>
      <c r="E30" s="68" t="s">
        <v>44</v>
      </c>
      <c r="F30" s="77"/>
      <c r="G30" s="135" t="s">
        <v>112</v>
      </c>
      <c r="H30" s="77"/>
      <c r="I30" s="77"/>
      <c r="J30" s="521"/>
      <c r="K30" s="127"/>
      <c r="M30" s="127"/>
      <c r="N30" s="127"/>
      <c r="O30" s="127"/>
      <c r="P30" s="127"/>
      <c r="Q30" s="127" t="s">
        <v>778</v>
      </c>
      <c r="R30" s="127" t="s">
        <v>800</v>
      </c>
      <c r="S30" s="127"/>
      <c r="T30" s="127"/>
      <c r="U30" s="127"/>
      <c r="V30" s="127"/>
      <c r="W30" s="127"/>
      <c r="X30" s="127"/>
      <c r="Y30" s="127"/>
      <c r="Z30" s="127"/>
      <c r="AA30" s="127"/>
    </row>
    <row r="31" spans="2:27" ht="15" customHeight="1">
      <c r="B31" s="77"/>
      <c r="C31" s="152" t="str">
        <f>$C$2&amp;LEFT(L31,1)&amp;LEFT(N31,1)&amp;LEFT(M31,1)&amp;LEFT(O31,1)&amp;LEFT(P31,1)&amp;Q31</f>
        <v>RESHSE</v>
      </c>
      <c r="D31" s="76" t="str">
        <f t="shared" ref="D31" si="4">$D$2&amp;" "&amp;L31&amp;" "&amp;N31&amp;" "&amp;M31&amp;" "&amp;O31&amp;" "&amp;P31&amp;" "&amp;R31</f>
        <v>Residential      District heating SubUrban</v>
      </c>
      <c r="E31" s="68" t="s">
        <v>44</v>
      </c>
      <c r="F31" s="77"/>
      <c r="G31" s="135" t="s">
        <v>112</v>
      </c>
      <c r="H31" s="77"/>
      <c r="I31" s="77"/>
      <c r="J31" s="521"/>
      <c r="K31" s="127"/>
      <c r="M31" s="127"/>
      <c r="N31" s="127"/>
      <c r="O31" s="127"/>
      <c r="P31" s="127"/>
      <c r="Q31" s="127" t="s">
        <v>825</v>
      </c>
      <c r="R31" s="127" t="s">
        <v>826</v>
      </c>
      <c r="S31" s="127"/>
      <c r="T31" s="127"/>
      <c r="U31" s="127"/>
      <c r="V31" s="127"/>
      <c r="W31" s="127"/>
      <c r="X31" s="127"/>
      <c r="Y31" s="127"/>
      <c r="Z31" s="127"/>
      <c r="AA31" s="127"/>
    </row>
    <row r="32" spans="2:27" ht="15" customHeight="1">
      <c r="B32" s="77"/>
      <c r="C32" s="152" t="str">
        <f t="shared" si="3"/>
        <v>RESHDE</v>
      </c>
      <c r="D32" s="76" t="str">
        <f t="shared" si="2"/>
        <v>Residential      District heating Decentral</v>
      </c>
      <c r="E32" s="68" t="s">
        <v>44</v>
      </c>
      <c r="F32" s="78"/>
      <c r="G32" s="135" t="s">
        <v>112</v>
      </c>
      <c r="H32" s="77"/>
      <c r="I32" s="77"/>
      <c r="J32" s="521"/>
      <c r="K32" s="127"/>
      <c r="M32" s="127"/>
      <c r="N32" s="127"/>
      <c r="O32" s="127"/>
      <c r="P32" s="127"/>
      <c r="Q32" s="127" t="s">
        <v>779</v>
      </c>
      <c r="R32" s="127" t="s">
        <v>801</v>
      </c>
      <c r="S32" s="127"/>
      <c r="T32" s="127"/>
      <c r="U32" s="127"/>
      <c r="V32" s="127"/>
      <c r="W32" s="127"/>
      <c r="X32" s="127"/>
      <c r="Y32" s="127"/>
      <c r="Z32" s="127"/>
      <c r="AA32" s="127"/>
    </row>
    <row r="33" spans="1:30" ht="15" customHeight="1">
      <c r="B33" s="77"/>
      <c r="C33" s="152" t="str">
        <f t="shared" si="3"/>
        <v>RESSNG</v>
      </c>
      <c r="D33" s="76" t="str">
        <f t="shared" si="2"/>
        <v>Residential      Synthetic Natural Gas</v>
      </c>
      <c r="E33" s="68" t="s">
        <v>44</v>
      </c>
      <c r="F33" s="78"/>
      <c r="G33" s="77"/>
      <c r="H33" s="77"/>
      <c r="I33" s="77"/>
      <c r="J33" s="521"/>
      <c r="K33" s="127"/>
      <c r="M33" s="127"/>
      <c r="N33" s="127"/>
      <c r="O33" s="127"/>
      <c r="P33" s="127"/>
      <c r="Q33" s="127" t="s">
        <v>780</v>
      </c>
      <c r="R33" s="127" t="s">
        <v>802</v>
      </c>
      <c r="S33" s="127"/>
      <c r="T33" s="127"/>
      <c r="U33" s="127"/>
      <c r="V33" s="127"/>
      <c r="W33" s="127"/>
      <c r="X33" s="127"/>
      <c r="Y33" s="127"/>
      <c r="Z33" s="127"/>
      <c r="AA33" s="127"/>
      <c r="AD33" t="s">
        <v>139</v>
      </c>
    </row>
    <row r="34" spans="1:30" ht="15" customHeight="1">
      <c r="B34" s="77"/>
      <c r="C34" s="152" t="str">
        <f t="shared" si="3"/>
        <v>RESDSB</v>
      </c>
      <c r="D34" s="76" t="str">
        <f t="shared" si="2"/>
        <v>Residential      Renewable Diesel</v>
      </c>
      <c r="E34" s="68" t="s">
        <v>44</v>
      </c>
      <c r="F34" s="78"/>
      <c r="G34" s="77"/>
      <c r="H34" s="77"/>
      <c r="I34" s="77"/>
      <c r="J34" s="521"/>
      <c r="K34" s="127"/>
      <c r="M34" s="127"/>
      <c r="N34" s="127"/>
      <c r="O34" s="127"/>
      <c r="P34" s="127"/>
      <c r="Q34" s="127" t="s">
        <v>781</v>
      </c>
      <c r="R34" s="127" t="s">
        <v>803</v>
      </c>
      <c r="S34" s="127"/>
      <c r="T34" s="127"/>
      <c r="U34" s="127"/>
      <c r="V34" s="127"/>
      <c r="W34" s="127"/>
      <c r="X34" s="127"/>
      <c r="Y34" s="127"/>
      <c r="Z34" s="127"/>
      <c r="AA34" s="127"/>
      <c r="AD34" t="s">
        <v>140</v>
      </c>
    </row>
    <row r="35" spans="1:30" ht="15" customHeight="1">
      <c r="B35" s="77"/>
      <c r="C35" s="152" t="str">
        <f t="shared" ref="C35:C55" si="5">$C$2&amp;LEFT(L35,1)&amp;LEFT(N35,1)&amp;LEFT(M35,1)&amp;LEFT(O35,1)&amp;LEFT(P35,1)&amp;Q35</f>
        <v>RESHUDX</v>
      </c>
      <c r="D35" s="76" t="str">
        <f t="shared" si="2"/>
        <v xml:space="preserve">Residential Heating Urban Detached Xhanger DH  </v>
      </c>
      <c r="E35" s="68" t="s">
        <v>44</v>
      </c>
      <c r="F35" s="77"/>
      <c r="G35" s="74" t="s">
        <v>112</v>
      </c>
      <c r="H35" s="77"/>
      <c r="I35" s="77"/>
      <c r="J35" s="522"/>
      <c r="K35" s="3"/>
      <c r="L35" s="127" t="s">
        <v>738</v>
      </c>
      <c r="M35" s="127" t="s">
        <v>116</v>
      </c>
      <c r="N35" s="127" t="s">
        <v>713</v>
      </c>
      <c r="O35" s="127" t="s">
        <v>783</v>
      </c>
      <c r="P35" s="3"/>
      <c r="Q35" s="3"/>
      <c r="R35" s="3"/>
      <c r="S35" s="3"/>
      <c r="T35" s="3"/>
      <c r="U35" s="3"/>
      <c r="V35" s="3"/>
      <c r="W35" s="3"/>
      <c r="X35" s="3"/>
      <c r="Y35" s="3"/>
      <c r="Z35" s="3"/>
      <c r="AA35" s="3"/>
      <c r="AC35" s="11"/>
      <c r="AD35" t="s">
        <v>141</v>
      </c>
    </row>
    <row r="36" spans="1:30" ht="15" customHeight="1">
      <c r="B36" s="77"/>
      <c r="C36" s="152" t="str">
        <f t="shared" si="5"/>
        <v>RESHRDX</v>
      </c>
      <c r="D36" s="76" t="str">
        <f t="shared" si="2"/>
        <v xml:space="preserve">Residential Heating Rural Detached Xhanger DH  </v>
      </c>
      <c r="E36" s="68" t="s">
        <v>44</v>
      </c>
      <c r="F36" s="77"/>
      <c r="G36" s="74" t="s">
        <v>112</v>
      </c>
      <c r="H36" s="77"/>
      <c r="I36" s="77"/>
      <c r="J36" s="521"/>
      <c r="K36" s="127"/>
      <c r="L36" s="127" t="s">
        <v>738</v>
      </c>
      <c r="M36" s="127" t="s">
        <v>116</v>
      </c>
      <c r="N36" s="127" t="s">
        <v>714</v>
      </c>
      <c r="O36" s="127" t="s">
        <v>783</v>
      </c>
      <c r="P36" s="127"/>
      <c r="Q36" s="127"/>
      <c r="R36" s="127"/>
      <c r="S36" s="127"/>
      <c r="T36" s="127"/>
      <c r="U36" s="127"/>
      <c r="V36" s="127"/>
      <c r="W36" s="127"/>
      <c r="X36" s="127"/>
      <c r="Y36" s="127"/>
      <c r="Z36" s="127"/>
      <c r="AA36" s="127"/>
    </row>
    <row r="37" spans="1:30" ht="15" customHeight="1">
      <c r="B37" s="77"/>
      <c r="C37" s="152" t="str">
        <f t="shared" si="5"/>
        <v>RESHUMX</v>
      </c>
      <c r="D37" s="76" t="str">
        <f t="shared" si="2"/>
        <v xml:space="preserve">Residential Heating Urban Multi Xhanger DH  </v>
      </c>
      <c r="E37" s="68" t="s">
        <v>44</v>
      </c>
      <c r="F37" s="78"/>
      <c r="G37" s="74" t="s">
        <v>112</v>
      </c>
      <c r="H37" s="77"/>
      <c r="I37" s="77"/>
      <c r="J37" s="521"/>
      <c r="K37" s="127"/>
      <c r="L37" s="127" t="s">
        <v>738</v>
      </c>
      <c r="M37" s="127" t="s">
        <v>720</v>
      </c>
      <c r="N37" s="127" t="s">
        <v>713</v>
      </c>
      <c r="O37" s="127" t="s">
        <v>783</v>
      </c>
      <c r="P37" s="127"/>
      <c r="Q37" s="127"/>
      <c r="R37" s="127"/>
      <c r="S37" s="127"/>
      <c r="T37" s="127"/>
      <c r="U37" s="127"/>
      <c r="V37" s="127"/>
      <c r="W37" s="127"/>
      <c r="X37" s="127"/>
      <c r="Y37" s="127"/>
      <c r="Z37" s="127"/>
      <c r="AA37" s="127"/>
    </row>
    <row r="38" spans="1:30" ht="15" customHeight="1">
      <c r="B38" s="77"/>
      <c r="C38" s="152" t="str">
        <f t="shared" si="5"/>
        <v>RESHRMX</v>
      </c>
      <c r="D38" s="76" t="str">
        <f t="shared" si="2"/>
        <v xml:space="preserve">Residential Heating Rural Multi Xhanger DH  </v>
      </c>
      <c r="E38" s="68" t="s">
        <v>44</v>
      </c>
      <c r="F38" s="78"/>
      <c r="G38" s="74" t="s">
        <v>112</v>
      </c>
      <c r="H38" s="77"/>
      <c r="I38" s="77"/>
      <c r="J38" s="521"/>
      <c r="K38" s="127"/>
      <c r="L38" s="127" t="s">
        <v>738</v>
      </c>
      <c r="M38" s="127" t="s">
        <v>720</v>
      </c>
      <c r="N38" s="127" t="s">
        <v>714</v>
      </c>
      <c r="O38" s="127" t="s">
        <v>783</v>
      </c>
      <c r="P38" s="127"/>
      <c r="Q38" s="127"/>
      <c r="R38" s="127"/>
      <c r="S38" s="127"/>
      <c r="T38" s="127"/>
      <c r="U38" s="127"/>
      <c r="V38" s="127"/>
      <c r="W38" s="127"/>
      <c r="X38" s="127"/>
      <c r="Y38" s="127"/>
      <c r="Z38" s="127"/>
      <c r="AA38" s="127"/>
      <c r="AC38" s="27"/>
    </row>
    <row r="39" spans="1:30" s="1" customFormat="1" ht="15" customHeight="1">
      <c r="B39" s="77"/>
      <c r="C39" s="152" t="str">
        <f t="shared" si="5"/>
        <v>RESHUDB</v>
      </c>
      <c r="D39" s="76" t="str">
        <f t="shared" si="2"/>
        <v xml:space="preserve">Residential Heating Urban Detached Boilers  </v>
      </c>
      <c r="E39" s="68" t="s">
        <v>44</v>
      </c>
      <c r="F39" s="78"/>
      <c r="G39" s="74" t="s">
        <v>112</v>
      </c>
      <c r="H39" s="77"/>
      <c r="I39" s="77"/>
      <c r="J39" s="521"/>
      <c r="K39" s="127"/>
      <c r="L39" s="127" t="s">
        <v>738</v>
      </c>
      <c r="M39" s="127" t="s">
        <v>116</v>
      </c>
      <c r="N39" s="127" t="s">
        <v>713</v>
      </c>
      <c r="O39" s="127" t="s">
        <v>135</v>
      </c>
      <c r="P39" s="127"/>
      <c r="Q39" s="127"/>
      <c r="R39" s="127"/>
      <c r="S39" s="127"/>
      <c r="T39" s="127"/>
      <c r="U39" s="127"/>
      <c r="V39" s="127"/>
      <c r="W39" s="127"/>
      <c r="X39" s="127"/>
      <c r="Y39" s="127"/>
      <c r="Z39" s="127"/>
      <c r="AA39" s="127"/>
      <c r="AD39"/>
    </row>
    <row r="40" spans="1:30" s="1" customFormat="1" ht="15" customHeight="1">
      <c r="B40" s="77"/>
      <c r="C40" s="152" t="str">
        <f t="shared" si="5"/>
        <v>RESHRDB</v>
      </c>
      <c r="D40" s="76" t="str">
        <f>$D$2&amp;" "&amp;L40&amp;" "&amp;N40&amp;" "&amp;M40&amp;" "&amp;O40&amp;" "&amp;P40&amp;" "&amp;Buildings_DR!D9</f>
        <v>Residential Heating Rural Detached Boilers  RESHUDX,RESHUDB,RESHUDBE,RESHSAV,RESHUDSL</v>
      </c>
      <c r="E40" s="68" t="s">
        <v>44</v>
      </c>
      <c r="F40" s="78"/>
      <c r="G40" s="74" t="s">
        <v>112</v>
      </c>
      <c r="H40" s="77"/>
      <c r="I40" s="77"/>
      <c r="J40" s="521"/>
      <c r="K40" s="127"/>
      <c r="L40" s="127" t="s">
        <v>738</v>
      </c>
      <c r="M40" s="127" t="s">
        <v>116</v>
      </c>
      <c r="N40" s="127" t="s">
        <v>714</v>
      </c>
      <c r="O40" s="127" t="s">
        <v>135</v>
      </c>
      <c r="P40" s="127"/>
      <c r="Q40" s="127"/>
      <c r="S40" s="127"/>
      <c r="T40" s="127"/>
      <c r="V40" s="127"/>
      <c r="W40" s="127"/>
      <c r="X40" s="127"/>
      <c r="Y40" s="127"/>
      <c r="Z40" s="127"/>
      <c r="AA40" s="127"/>
      <c r="AD40"/>
    </row>
    <row r="41" spans="1:30" ht="15" customHeight="1">
      <c r="B41" s="77"/>
      <c r="C41" s="152" t="str">
        <f t="shared" si="5"/>
        <v>RESHUMB</v>
      </c>
      <c r="D41" s="135" t="str">
        <f>$D$2&amp;" "&amp;L41&amp;" "&amp;N41&amp;" "&amp;M41&amp;" "&amp;O41&amp;" "&amp;P41&amp;" "&amp;Buildings_DR!D10</f>
        <v>Residential Heating Urban Multi Boilers  RESHUDX,RESHUDB,RESHUDBE,RESHSAV,RESHUDSM</v>
      </c>
      <c r="E41" s="68" t="s">
        <v>44</v>
      </c>
      <c r="F41" s="77"/>
      <c r="G41" s="74" t="s">
        <v>112</v>
      </c>
      <c r="H41" s="77"/>
      <c r="I41" s="77"/>
      <c r="J41" s="521"/>
      <c r="K41" s="127"/>
      <c r="L41" s="127" t="s">
        <v>738</v>
      </c>
      <c r="M41" s="127" t="s">
        <v>720</v>
      </c>
      <c r="N41" s="127" t="s">
        <v>713</v>
      </c>
      <c r="O41" s="127" t="s">
        <v>135</v>
      </c>
      <c r="P41" s="127"/>
      <c r="Q41" s="127"/>
      <c r="S41" s="127"/>
      <c r="T41" s="127"/>
      <c r="V41" s="127"/>
      <c r="W41" s="127"/>
      <c r="X41" s="127"/>
      <c r="Y41" s="127"/>
      <c r="Z41" s="127"/>
      <c r="AA41" s="127"/>
    </row>
    <row r="42" spans="1:30" ht="15" customHeight="1">
      <c r="B42" s="77"/>
      <c r="C42" s="152" t="str">
        <f t="shared" si="5"/>
        <v>RESHRMB</v>
      </c>
      <c r="D42" s="135" t="str">
        <f>$D$2&amp;" "&amp;L42&amp;" "&amp;N42&amp;" "&amp;M42&amp;" "&amp;O42&amp;" "&amp;P42&amp;" "&amp;Buildings_DR!D11</f>
        <v>Residential Heating Rural Multi Boilers  RESHUDX,RESHUDB,RESHUDBE,RESHSAV,RESHUDSH</v>
      </c>
      <c r="E42" s="68" t="s">
        <v>44</v>
      </c>
      <c r="F42" s="77"/>
      <c r="G42" s="74" t="s">
        <v>112</v>
      </c>
      <c r="H42" s="77"/>
      <c r="I42" s="77"/>
      <c r="J42" s="521"/>
      <c r="K42" s="127"/>
      <c r="L42" s="127" t="s">
        <v>738</v>
      </c>
      <c r="M42" s="127" t="s">
        <v>720</v>
      </c>
      <c r="N42" s="127" t="s">
        <v>714</v>
      </c>
      <c r="O42" s="127" t="s">
        <v>135</v>
      </c>
      <c r="P42" s="127"/>
      <c r="Q42" s="127"/>
      <c r="S42" s="127"/>
      <c r="T42" s="127"/>
      <c r="V42" s="127"/>
      <c r="W42" s="127"/>
      <c r="X42" s="127"/>
      <c r="Y42" s="127"/>
      <c r="Z42" s="127"/>
      <c r="AA42" s="127"/>
    </row>
    <row r="43" spans="1:30" ht="15" customHeight="1">
      <c r="A43" s="106"/>
      <c r="B43" s="77"/>
      <c r="C43" s="152" t="str">
        <f t="shared" si="5"/>
        <v>RESHUDBE</v>
      </c>
      <c r="D43" s="133" t="str">
        <f>$D$2&amp;" "&amp;L43&amp;" "&amp;N43&amp;" "&amp;M43&amp;" "&amp;O43&amp;" "&amp;P43&amp;" "&amp;Buildings_DR!D16</f>
        <v>Residential Heating Urban Detached Boilers Existing buildings RESHRDX,RESHRDB,RESHRDBE,RESHSAV,RESHRDSL</v>
      </c>
      <c r="E43" s="133" t="s">
        <v>44</v>
      </c>
      <c r="F43" s="80"/>
      <c r="G43" s="189" t="s">
        <v>112</v>
      </c>
      <c r="H43" s="80"/>
      <c r="I43" s="80"/>
      <c r="J43" s="521"/>
      <c r="K43" s="127"/>
      <c r="L43" s="127" t="s">
        <v>738</v>
      </c>
      <c r="M43" s="127" t="s">
        <v>116</v>
      </c>
      <c r="N43" s="127" t="s">
        <v>713</v>
      </c>
      <c r="O43" s="127" t="s">
        <v>135</v>
      </c>
      <c r="P43" s="127" t="s">
        <v>746</v>
      </c>
      <c r="Q43" s="127"/>
      <c r="S43" s="127"/>
      <c r="T43" s="127"/>
      <c r="V43" s="127"/>
      <c r="W43" s="127"/>
      <c r="X43" s="127"/>
      <c r="Y43" s="127"/>
      <c r="Z43" s="127"/>
      <c r="AA43" s="127"/>
    </row>
    <row r="44" spans="1:30" ht="15" customHeight="1">
      <c r="A44" s="106"/>
      <c r="B44" s="77"/>
      <c r="C44" s="152" t="str">
        <f t="shared" si="5"/>
        <v>RESHRDBE</v>
      </c>
      <c r="D44" s="133" t="str">
        <f t="shared" si="2"/>
        <v xml:space="preserve">Residential Heating Rural Detached Boilers Existing buildings </v>
      </c>
      <c r="E44" s="133" t="s">
        <v>44</v>
      </c>
      <c r="F44" s="80"/>
      <c r="G44" s="189" t="s">
        <v>112</v>
      </c>
      <c r="H44" s="80"/>
      <c r="I44" s="80"/>
      <c r="J44" s="521"/>
      <c r="K44" s="127"/>
      <c r="L44" s="127" t="s">
        <v>738</v>
      </c>
      <c r="M44" s="127" t="s">
        <v>116</v>
      </c>
      <c r="N44" s="127" t="s">
        <v>714</v>
      </c>
      <c r="O44" s="127" t="s">
        <v>135</v>
      </c>
      <c r="P44" s="127" t="s">
        <v>746</v>
      </c>
      <c r="Q44" s="127"/>
      <c r="R44" s="127"/>
      <c r="S44" s="127"/>
      <c r="T44" s="127"/>
      <c r="U44" s="127"/>
      <c r="V44" s="127"/>
      <c r="W44" s="127"/>
      <c r="X44" s="127"/>
      <c r="Y44" s="127"/>
      <c r="Z44" s="127"/>
      <c r="AA44" s="127"/>
    </row>
    <row r="45" spans="1:30" ht="15" customHeight="1">
      <c r="B45" s="77"/>
      <c r="C45" s="152" t="str">
        <f t="shared" si="5"/>
        <v>RESHUMBE</v>
      </c>
      <c r="D45" s="133" t="str">
        <f t="shared" si="2"/>
        <v xml:space="preserve">Residential Heating Urban Multi Boilers Existing buildings </v>
      </c>
      <c r="E45" s="133" t="s">
        <v>44</v>
      </c>
      <c r="F45" s="80"/>
      <c r="G45" s="189" t="s">
        <v>112</v>
      </c>
      <c r="H45" s="80"/>
      <c r="I45" s="80"/>
      <c r="J45" s="521"/>
      <c r="K45" s="127"/>
      <c r="L45" s="127" t="s">
        <v>738</v>
      </c>
      <c r="M45" s="127" t="s">
        <v>720</v>
      </c>
      <c r="N45" s="127" t="s">
        <v>713</v>
      </c>
      <c r="O45" s="127" t="s">
        <v>135</v>
      </c>
      <c r="P45" s="127" t="s">
        <v>746</v>
      </c>
      <c r="Q45" s="127"/>
      <c r="R45" s="127"/>
      <c r="S45" s="127"/>
      <c r="T45" s="127"/>
      <c r="U45" s="127"/>
      <c r="V45" s="127"/>
      <c r="W45" s="127"/>
      <c r="X45" s="127"/>
      <c r="Y45" s="127"/>
      <c r="Z45" s="127"/>
      <c r="AA45" s="127"/>
    </row>
    <row r="46" spans="1:30" ht="15" customHeight="1">
      <c r="B46" s="77"/>
      <c r="C46" s="152" t="str">
        <f t="shared" si="5"/>
        <v>RESHRMBE</v>
      </c>
      <c r="D46" s="133" t="str">
        <f t="shared" si="2"/>
        <v xml:space="preserve">Residential Heating Rural Multi Boilers Existing buildings </v>
      </c>
      <c r="E46" s="133" t="s">
        <v>44</v>
      </c>
      <c r="F46" s="80"/>
      <c r="G46" s="189" t="s">
        <v>112</v>
      </c>
      <c r="H46" s="80"/>
      <c r="I46" s="80"/>
      <c r="J46" s="521"/>
      <c r="K46" s="127"/>
      <c r="L46" s="127" t="s">
        <v>738</v>
      </c>
      <c r="M46" s="127" t="s">
        <v>720</v>
      </c>
      <c r="N46" s="127" t="s">
        <v>714</v>
      </c>
      <c r="O46" s="127" t="s">
        <v>135</v>
      </c>
      <c r="P46" s="127" t="s">
        <v>746</v>
      </c>
      <c r="Q46" s="127"/>
      <c r="R46" s="127"/>
      <c r="S46" s="127"/>
      <c r="T46" s="127"/>
      <c r="U46" s="127"/>
      <c r="V46" s="127"/>
      <c r="W46" s="127"/>
      <c r="X46" s="127"/>
      <c r="Y46" s="127"/>
      <c r="Z46" s="127"/>
      <c r="AA46" s="127"/>
    </row>
    <row r="47" spans="1:30" ht="15" customHeight="1">
      <c r="B47" s="77"/>
      <c r="C47" s="152" t="str">
        <f t="shared" si="5"/>
        <v>RESHUDBN</v>
      </c>
      <c r="D47" s="133" t="str">
        <f t="shared" si="2"/>
        <v xml:space="preserve">Residential Heating Urban Detached Boilers New buildings </v>
      </c>
      <c r="E47" s="133" t="s">
        <v>44</v>
      </c>
      <c r="F47" s="80"/>
      <c r="G47" s="189" t="s">
        <v>112</v>
      </c>
      <c r="H47" s="80"/>
      <c r="I47" s="80"/>
      <c r="J47" s="521"/>
      <c r="K47" s="127"/>
      <c r="L47" s="127" t="s">
        <v>738</v>
      </c>
      <c r="M47" s="127" t="s">
        <v>116</v>
      </c>
      <c r="N47" s="127" t="s">
        <v>713</v>
      </c>
      <c r="O47" s="127" t="s">
        <v>135</v>
      </c>
      <c r="P47" s="127" t="s">
        <v>747</v>
      </c>
      <c r="Q47" s="127"/>
      <c r="R47" s="127"/>
      <c r="S47" s="127"/>
      <c r="T47" s="127"/>
      <c r="U47" s="127"/>
      <c r="V47" s="127"/>
      <c r="W47" s="127"/>
      <c r="X47" s="127"/>
      <c r="Y47" s="127"/>
      <c r="Z47" s="127"/>
      <c r="AA47" s="127"/>
    </row>
    <row r="48" spans="1:30" ht="15" customHeight="1">
      <c r="B48" s="77"/>
      <c r="C48" s="152" t="str">
        <f t="shared" si="5"/>
        <v>RESHRDBN</v>
      </c>
      <c r="D48" s="133" t="str">
        <f t="shared" si="2"/>
        <v xml:space="preserve">Residential Heating Rural Detached Boilers New buildings </v>
      </c>
      <c r="E48" s="133" t="s">
        <v>44</v>
      </c>
      <c r="F48" s="80"/>
      <c r="G48" s="189" t="s">
        <v>112</v>
      </c>
      <c r="H48" s="80"/>
      <c r="I48" s="80"/>
      <c r="J48" s="521"/>
      <c r="K48" s="127"/>
      <c r="L48" s="127" t="s">
        <v>738</v>
      </c>
      <c r="M48" s="127" t="s">
        <v>116</v>
      </c>
      <c r="N48" s="127" t="s">
        <v>714</v>
      </c>
      <c r="O48" s="127" t="s">
        <v>135</v>
      </c>
      <c r="P48" s="127" t="s">
        <v>747</v>
      </c>
      <c r="Q48" s="127"/>
      <c r="R48" s="127"/>
      <c r="S48" s="127"/>
      <c r="T48" s="127"/>
      <c r="U48" s="127"/>
      <c r="V48" s="127"/>
      <c r="W48" s="127"/>
      <c r="X48" s="127"/>
      <c r="Y48" s="127"/>
      <c r="Z48" s="127"/>
      <c r="AA48" s="127"/>
    </row>
    <row r="49" spans="1:30" ht="15" customHeight="1">
      <c r="B49" s="133"/>
      <c r="C49" s="152" t="str">
        <f t="shared" si="5"/>
        <v>RESHUMBN</v>
      </c>
      <c r="D49" s="133" t="str">
        <f t="shared" si="2"/>
        <v xml:space="preserve">Residential Heating Urban Multi Boilers New buildings </v>
      </c>
      <c r="E49" s="133" t="s">
        <v>44</v>
      </c>
      <c r="F49" s="80"/>
      <c r="G49" s="189" t="s">
        <v>112</v>
      </c>
      <c r="H49" s="80"/>
      <c r="I49" s="80"/>
      <c r="J49" s="521"/>
      <c r="K49" s="127"/>
      <c r="L49" s="127" t="s">
        <v>738</v>
      </c>
      <c r="M49" s="127" t="s">
        <v>720</v>
      </c>
      <c r="N49" s="127" t="s">
        <v>713</v>
      </c>
      <c r="O49" s="127" t="s">
        <v>135</v>
      </c>
      <c r="P49" s="127" t="s">
        <v>747</v>
      </c>
      <c r="Q49" s="127"/>
      <c r="R49" s="127"/>
      <c r="S49" s="127"/>
      <c r="T49" s="127"/>
      <c r="U49" s="127"/>
      <c r="V49" s="127"/>
      <c r="W49" s="127"/>
      <c r="X49" s="127"/>
      <c r="Y49" s="127"/>
      <c r="Z49" s="127"/>
      <c r="AA49" s="127"/>
    </row>
    <row r="50" spans="1:30" ht="15" customHeight="1">
      <c r="B50" s="498"/>
      <c r="C50" s="504" t="str">
        <f t="shared" si="5"/>
        <v>RESHRMBN</v>
      </c>
      <c r="D50" s="498" t="str">
        <f t="shared" si="2"/>
        <v xml:space="preserve">Residential Heating Rural Multi Boilers New buildings </v>
      </c>
      <c r="E50" s="498" t="s">
        <v>44</v>
      </c>
      <c r="F50" s="552"/>
      <c r="G50" s="553" t="s">
        <v>112</v>
      </c>
      <c r="H50" s="552"/>
      <c r="I50" s="552"/>
      <c r="J50" s="520"/>
      <c r="K50" s="127"/>
      <c r="L50" s="127" t="s">
        <v>738</v>
      </c>
      <c r="M50" s="127" t="s">
        <v>720</v>
      </c>
      <c r="N50" s="127" t="s">
        <v>714</v>
      </c>
      <c r="O50" s="127" t="s">
        <v>135</v>
      </c>
      <c r="P50" s="127" t="s">
        <v>747</v>
      </c>
      <c r="Q50" s="127"/>
      <c r="R50" s="127"/>
      <c r="S50" s="127"/>
      <c r="T50" s="127"/>
      <c r="U50" s="127"/>
      <c r="V50" s="127"/>
      <c r="W50" s="127"/>
      <c r="X50" s="127"/>
      <c r="Y50" s="127"/>
      <c r="Z50" s="127"/>
      <c r="AA50" s="127"/>
    </row>
    <row r="51" spans="1:30" s="1" customFormat="1" ht="15" customHeight="1">
      <c r="B51" s="77"/>
      <c r="C51" s="152" t="str">
        <f t="shared" si="5"/>
        <v>RESCUDB</v>
      </c>
      <c r="D51" s="135" t="str">
        <f t="shared" si="2"/>
        <v xml:space="preserve">Residential Cooling Urban Detached Boilers  </v>
      </c>
      <c r="E51" s="68" t="s">
        <v>44</v>
      </c>
      <c r="F51" s="78"/>
      <c r="G51" s="74" t="s">
        <v>112</v>
      </c>
      <c r="H51" s="77"/>
      <c r="I51" s="77"/>
      <c r="J51" s="521"/>
      <c r="K51" s="127"/>
      <c r="L51" s="127" t="s">
        <v>291</v>
      </c>
      <c r="M51" s="127" t="s">
        <v>116</v>
      </c>
      <c r="N51" s="127" t="s">
        <v>713</v>
      </c>
      <c r="O51" s="127" t="s">
        <v>135</v>
      </c>
      <c r="P51" s="127"/>
      <c r="Q51" s="127"/>
      <c r="R51" s="127"/>
      <c r="S51" s="127"/>
      <c r="T51" s="127"/>
      <c r="U51" s="127"/>
      <c r="V51" s="127"/>
      <c r="W51" s="127"/>
      <c r="X51" s="127"/>
      <c r="Y51" s="127"/>
      <c r="Z51" s="127"/>
      <c r="AA51" s="127"/>
      <c r="AD51"/>
    </row>
    <row r="52" spans="1:30" s="1" customFormat="1" ht="15" customHeight="1">
      <c r="B52" s="77"/>
      <c r="C52" s="152" t="str">
        <f t="shared" si="5"/>
        <v>RESCRDB</v>
      </c>
      <c r="D52" s="135" t="str">
        <f t="shared" si="2"/>
        <v xml:space="preserve">Residential Cooling Rural Detached Boilers  </v>
      </c>
      <c r="E52" s="68" t="s">
        <v>44</v>
      </c>
      <c r="F52" s="78"/>
      <c r="G52" s="74" t="s">
        <v>112</v>
      </c>
      <c r="H52" s="77"/>
      <c r="I52" s="77"/>
      <c r="J52" s="521"/>
      <c r="K52" s="127"/>
      <c r="L52" s="127" t="s">
        <v>291</v>
      </c>
      <c r="M52" s="127" t="s">
        <v>116</v>
      </c>
      <c r="N52" s="127" t="s">
        <v>714</v>
      </c>
      <c r="O52" s="127" t="s">
        <v>135</v>
      </c>
      <c r="P52" s="127"/>
      <c r="Q52" s="127"/>
      <c r="R52" s="127"/>
      <c r="S52" s="127"/>
      <c r="T52" s="127"/>
      <c r="U52" s="127"/>
      <c r="V52" s="127"/>
      <c r="W52" s="127"/>
      <c r="X52" s="127"/>
      <c r="Y52" s="127"/>
      <c r="Z52" s="127"/>
      <c r="AA52" s="127"/>
      <c r="AD52"/>
    </row>
    <row r="53" spans="1:30" ht="15" customHeight="1">
      <c r="B53" s="77"/>
      <c r="C53" s="152" t="str">
        <f t="shared" si="5"/>
        <v>RESCUMB</v>
      </c>
      <c r="D53" s="135" t="str">
        <f t="shared" si="2"/>
        <v xml:space="preserve">Residential Cooling Urban Multi Boilers  </v>
      </c>
      <c r="E53" s="68" t="s">
        <v>44</v>
      </c>
      <c r="F53" s="77"/>
      <c r="G53" s="74" t="s">
        <v>112</v>
      </c>
      <c r="H53" s="77"/>
      <c r="I53" s="77"/>
      <c r="J53" s="521"/>
      <c r="K53" s="127"/>
      <c r="L53" s="127" t="s">
        <v>291</v>
      </c>
      <c r="M53" s="127" t="s">
        <v>720</v>
      </c>
      <c r="N53" s="127" t="s">
        <v>713</v>
      </c>
      <c r="O53" s="127" t="s">
        <v>135</v>
      </c>
      <c r="P53" s="127"/>
      <c r="Q53" s="127"/>
      <c r="R53" s="127"/>
      <c r="S53" s="127"/>
      <c r="T53" s="127"/>
      <c r="U53" s="127"/>
      <c r="V53" s="127"/>
      <c r="W53" s="127"/>
      <c r="X53" s="127"/>
      <c r="Y53" s="127"/>
      <c r="Z53" s="127"/>
      <c r="AA53" s="127"/>
    </row>
    <row r="54" spans="1:30" ht="15" customHeight="1" thickBot="1">
      <c r="B54" s="77"/>
      <c r="C54" s="152" t="str">
        <f t="shared" si="5"/>
        <v>RESCRMB</v>
      </c>
      <c r="D54" s="135" t="str">
        <f t="shared" si="2"/>
        <v xml:space="preserve">Residential Cooling Rural Multi Boilers  </v>
      </c>
      <c r="E54" s="68" t="s">
        <v>44</v>
      </c>
      <c r="F54" s="77"/>
      <c r="G54" s="74" t="s">
        <v>112</v>
      </c>
      <c r="H54" s="77"/>
      <c r="I54" s="77"/>
      <c r="J54" s="521"/>
      <c r="K54" s="127"/>
      <c r="L54" s="127" t="s">
        <v>291</v>
      </c>
      <c r="M54" s="127" t="s">
        <v>720</v>
      </c>
      <c r="N54" s="127" t="s">
        <v>714</v>
      </c>
      <c r="O54" s="127" t="s">
        <v>135</v>
      </c>
      <c r="P54" s="127"/>
      <c r="Q54" s="127"/>
      <c r="R54" s="127"/>
      <c r="S54" s="127"/>
      <c r="T54" s="127"/>
      <c r="U54" s="127"/>
      <c r="V54" s="127"/>
      <c r="W54" s="127"/>
      <c r="X54" s="127"/>
      <c r="Y54" s="127"/>
      <c r="Z54" s="127"/>
      <c r="AA54" s="127"/>
    </row>
    <row r="55" spans="1:30" ht="15" customHeight="1">
      <c r="A55" s="106"/>
      <c r="B55" s="128"/>
      <c r="C55" s="152" t="str">
        <f t="shared" si="5"/>
        <v>RESHUDSL</v>
      </c>
      <c r="D55" s="555" t="str">
        <f t="shared" si="2"/>
        <v xml:space="preserve">Residential Heating Urban Detached Savings Low </v>
      </c>
      <c r="E55" s="555" t="s">
        <v>44</v>
      </c>
      <c r="F55" s="555" t="s">
        <v>115</v>
      </c>
      <c r="G55" s="128" t="s">
        <v>112</v>
      </c>
      <c r="H55" s="128"/>
      <c r="I55" s="128"/>
      <c r="J55" s="556"/>
      <c r="K55" s="517"/>
      <c r="L55" s="127" t="s">
        <v>738</v>
      </c>
      <c r="M55" s="127" t="s">
        <v>116</v>
      </c>
      <c r="N55" s="127" t="s">
        <v>713</v>
      </c>
      <c r="O55" s="127" t="s">
        <v>784</v>
      </c>
      <c r="P55" s="127" t="s">
        <v>725</v>
      </c>
      <c r="Q55" s="517"/>
      <c r="R55" s="517"/>
      <c r="S55" s="517"/>
      <c r="T55" s="517"/>
      <c r="V55" s="517"/>
      <c r="W55" s="517"/>
      <c r="X55" s="517"/>
      <c r="Y55" s="517"/>
      <c r="Z55" s="517"/>
      <c r="AA55" s="517"/>
      <c r="AB55" s="106"/>
    </row>
    <row r="56" spans="1:30" ht="15" customHeight="1">
      <c r="B56" s="77"/>
      <c r="C56" s="152" t="str">
        <f t="shared" ref="C56:C78" si="6">$C$2&amp;LEFT(L56,1)&amp;LEFT(N56,1)&amp;LEFT(M56,1)&amp;LEFT(O56,1)&amp;LEFT(P56,1)&amp;Q56</f>
        <v>RESHUDSM</v>
      </c>
      <c r="D56" s="133" t="str">
        <f t="shared" si="2"/>
        <v xml:space="preserve">Residential Heating Urban Detached Savings Medium </v>
      </c>
      <c r="E56" s="133" t="s">
        <v>44</v>
      </c>
      <c r="F56" s="133" t="s">
        <v>115</v>
      </c>
      <c r="G56" s="135" t="s">
        <v>112</v>
      </c>
      <c r="H56" s="135"/>
      <c r="I56" s="135"/>
      <c r="J56" s="521"/>
      <c r="K56" s="517"/>
      <c r="L56" s="127" t="s">
        <v>738</v>
      </c>
      <c r="M56" s="127" t="s">
        <v>116</v>
      </c>
      <c r="N56" s="127" t="s">
        <v>713</v>
      </c>
      <c r="O56" s="127" t="s">
        <v>784</v>
      </c>
      <c r="P56" s="127" t="s">
        <v>726</v>
      </c>
      <c r="Q56" s="517"/>
      <c r="R56" s="517"/>
      <c r="S56" s="517"/>
      <c r="T56" s="517"/>
      <c r="V56" s="517"/>
      <c r="W56" s="517"/>
      <c r="X56" s="517"/>
      <c r="Y56" s="517"/>
      <c r="Z56" s="517"/>
      <c r="AA56" s="517"/>
    </row>
    <row r="57" spans="1:30" ht="15" customHeight="1">
      <c r="B57" s="77"/>
      <c r="C57" s="152" t="str">
        <f t="shared" si="6"/>
        <v>RESHUDSH</v>
      </c>
      <c r="D57" s="133" t="str">
        <f t="shared" si="2"/>
        <v xml:space="preserve">Residential Heating Urban Detached Savings High </v>
      </c>
      <c r="E57" s="133" t="s">
        <v>44</v>
      </c>
      <c r="F57" s="133" t="s">
        <v>115</v>
      </c>
      <c r="G57" s="135" t="s">
        <v>112</v>
      </c>
      <c r="H57" s="135"/>
      <c r="I57" s="135"/>
      <c r="J57" s="521"/>
      <c r="K57" s="517"/>
      <c r="L57" s="127" t="s">
        <v>738</v>
      </c>
      <c r="M57" s="127" t="s">
        <v>116</v>
      </c>
      <c r="N57" s="127" t="s">
        <v>713</v>
      </c>
      <c r="O57" s="127" t="s">
        <v>784</v>
      </c>
      <c r="P57" s="127" t="s">
        <v>727</v>
      </c>
      <c r="Q57" s="517"/>
      <c r="R57" s="517"/>
      <c r="S57" s="517"/>
      <c r="T57" s="517"/>
      <c r="V57" s="517"/>
      <c r="W57" s="517"/>
      <c r="X57" s="517"/>
      <c r="Y57" s="517"/>
      <c r="Z57" s="517"/>
      <c r="AA57" s="517"/>
    </row>
    <row r="58" spans="1:30" ht="15" customHeight="1">
      <c r="B58" s="77"/>
      <c r="C58" s="152" t="str">
        <f t="shared" si="6"/>
        <v>RESHRDSL</v>
      </c>
      <c r="D58" s="133" t="str">
        <f t="shared" si="2"/>
        <v xml:space="preserve">Residential Heating Rural Detached Savings Low </v>
      </c>
      <c r="E58" s="133" t="s">
        <v>44</v>
      </c>
      <c r="F58" s="133" t="s">
        <v>115</v>
      </c>
      <c r="G58" s="135" t="s">
        <v>112</v>
      </c>
      <c r="H58" s="135"/>
      <c r="I58" s="135"/>
      <c r="J58" s="521"/>
      <c r="K58" s="517"/>
      <c r="L58" s="127" t="s">
        <v>738</v>
      </c>
      <c r="M58" s="127" t="s">
        <v>116</v>
      </c>
      <c r="N58" s="127" t="s">
        <v>714</v>
      </c>
      <c r="O58" s="127" t="s">
        <v>784</v>
      </c>
      <c r="P58" s="127" t="s">
        <v>725</v>
      </c>
      <c r="Q58" s="517"/>
      <c r="R58" s="517"/>
      <c r="S58" s="517"/>
      <c r="T58" s="517"/>
      <c r="V58" s="517"/>
      <c r="W58" s="517"/>
      <c r="X58" s="517"/>
      <c r="Y58" s="517"/>
      <c r="Z58" s="517"/>
      <c r="AA58" s="517"/>
    </row>
    <row r="59" spans="1:30" ht="15" customHeight="1">
      <c r="B59" s="77"/>
      <c r="C59" s="152" t="str">
        <f t="shared" si="6"/>
        <v>RESHRDSM</v>
      </c>
      <c r="D59" s="133" t="str">
        <f t="shared" si="2"/>
        <v xml:space="preserve">Residential Heating Rural Detached Savings Medium </v>
      </c>
      <c r="E59" s="133" t="s">
        <v>44</v>
      </c>
      <c r="F59" s="133" t="s">
        <v>115</v>
      </c>
      <c r="G59" s="135" t="s">
        <v>112</v>
      </c>
      <c r="H59" s="135"/>
      <c r="I59" s="135"/>
      <c r="J59" s="521"/>
      <c r="K59" s="517"/>
      <c r="L59" s="127" t="s">
        <v>738</v>
      </c>
      <c r="M59" s="127" t="s">
        <v>116</v>
      </c>
      <c r="N59" s="127" t="s">
        <v>714</v>
      </c>
      <c r="O59" s="127" t="s">
        <v>784</v>
      </c>
      <c r="P59" s="127" t="s">
        <v>726</v>
      </c>
      <c r="Q59" s="517"/>
      <c r="R59" s="517"/>
      <c r="S59" s="517"/>
      <c r="T59" s="517"/>
      <c r="V59" s="517"/>
      <c r="W59" s="517"/>
      <c r="X59" s="517"/>
      <c r="Y59" s="517"/>
      <c r="Z59" s="517"/>
      <c r="AA59" s="517"/>
    </row>
    <row r="60" spans="1:30" ht="15" customHeight="1">
      <c r="B60" s="77"/>
      <c r="C60" s="152" t="str">
        <f t="shared" si="6"/>
        <v>RESHRDSH</v>
      </c>
      <c r="D60" s="133" t="str">
        <f t="shared" si="2"/>
        <v xml:space="preserve">Residential Heating Rural Detached Savings High </v>
      </c>
      <c r="E60" s="133" t="s">
        <v>44</v>
      </c>
      <c r="F60" s="133" t="s">
        <v>115</v>
      </c>
      <c r="G60" s="135" t="s">
        <v>112</v>
      </c>
      <c r="H60" s="135"/>
      <c r="I60" s="135"/>
      <c r="J60" s="521"/>
      <c r="K60" s="517"/>
      <c r="L60" s="127" t="s">
        <v>738</v>
      </c>
      <c r="M60" s="127" t="s">
        <v>116</v>
      </c>
      <c r="N60" s="127" t="s">
        <v>714</v>
      </c>
      <c r="O60" s="127" t="s">
        <v>784</v>
      </c>
      <c r="P60" s="127" t="s">
        <v>727</v>
      </c>
      <c r="Q60" s="517"/>
      <c r="R60" s="517"/>
      <c r="S60" s="517"/>
      <c r="T60" s="517"/>
      <c r="V60" s="517"/>
      <c r="W60" s="517"/>
      <c r="X60" s="517"/>
      <c r="Y60" s="517"/>
      <c r="Z60" s="517"/>
      <c r="AA60" s="517"/>
    </row>
    <row r="61" spans="1:30" ht="15" customHeight="1">
      <c r="B61" s="77"/>
      <c r="C61" s="152" t="str">
        <f>$C$2&amp;LEFT(L61,1)&amp;LEFT(N61,1)&amp;LEFT(M61,1)&amp;LEFT(O61,1)&amp;LEFT(P61,1)&amp;Q61</f>
        <v>RESHUMSL</v>
      </c>
      <c r="D61" s="133" t="str">
        <f t="shared" si="2"/>
        <v xml:space="preserve">Residential Heating Urban Multi Savings Low </v>
      </c>
      <c r="E61" s="133" t="s">
        <v>44</v>
      </c>
      <c r="F61" s="133" t="s">
        <v>115</v>
      </c>
      <c r="G61" s="135" t="s">
        <v>112</v>
      </c>
      <c r="H61" s="135"/>
      <c r="I61" s="135"/>
      <c r="J61" s="521"/>
      <c r="L61" s="127" t="s">
        <v>738</v>
      </c>
      <c r="M61" s="127" t="s">
        <v>720</v>
      </c>
      <c r="N61" s="127" t="s">
        <v>713</v>
      </c>
      <c r="O61" s="127" t="s">
        <v>784</v>
      </c>
      <c r="P61" s="127" t="s">
        <v>725</v>
      </c>
      <c r="Q61" s="517"/>
      <c r="R61" s="517"/>
      <c r="S61" s="517"/>
      <c r="T61" s="517"/>
      <c r="V61" s="517"/>
      <c r="W61" s="517"/>
      <c r="X61" s="517"/>
      <c r="Y61" s="517"/>
      <c r="Z61" s="517"/>
      <c r="AA61" s="517"/>
    </row>
    <row r="62" spans="1:30" ht="15" customHeight="1">
      <c r="B62" s="77"/>
      <c r="C62" s="152" t="str">
        <f t="shared" si="6"/>
        <v>RESHUMSM</v>
      </c>
      <c r="D62" s="133" t="str">
        <f t="shared" si="2"/>
        <v xml:space="preserve">Residential Heating Urban Multi Savings Medium </v>
      </c>
      <c r="E62" s="133" t="s">
        <v>44</v>
      </c>
      <c r="F62" s="133" t="s">
        <v>115</v>
      </c>
      <c r="G62" s="135" t="s">
        <v>112</v>
      </c>
      <c r="H62" s="135"/>
      <c r="I62" s="135"/>
      <c r="J62" s="521"/>
      <c r="K62" s="517"/>
      <c r="L62" s="127" t="s">
        <v>738</v>
      </c>
      <c r="M62" s="127" t="s">
        <v>720</v>
      </c>
      <c r="N62" s="127" t="s">
        <v>713</v>
      </c>
      <c r="O62" s="127" t="s">
        <v>784</v>
      </c>
      <c r="P62" s="127" t="s">
        <v>726</v>
      </c>
      <c r="Q62" s="517"/>
      <c r="R62" s="517"/>
      <c r="S62" s="517"/>
      <c r="T62" s="517"/>
      <c r="V62" s="517"/>
      <c r="W62" s="517"/>
      <c r="X62" s="517"/>
      <c r="Y62" s="517"/>
      <c r="Z62" s="517"/>
      <c r="AA62" s="517"/>
    </row>
    <row r="63" spans="1:30" ht="15" customHeight="1">
      <c r="B63" s="77"/>
      <c r="C63" s="152" t="str">
        <f t="shared" si="6"/>
        <v>RESHUMSH</v>
      </c>
      <c r="D63" s="133" t="str">
        <f t="shared" si="2"/>
        <v xml:space="preserve">Residential Heating Urban Multi Savings High </v>
      </c>
      <c r="E63" s="133" t="s">
        <v>44</v>
      </c>
      <c r="F63" s="133" t="s">
        <v>115</v>
      </c>
      <c r="G63" s="135" t="s">
        <v>112</v>
      </c>
      <c r="H63" s="135"/>
      <c r="I63" s="135"/>
      <c r="J63" s="521"/>
      <c r="K63" s="517"/>
      <c r="L63" s="127" t="s">
        <v>738</v>
      </c>
      <c r="M63" s="127" t="s">
        <v>720</v>
      </c>
      <c r="N63" s="127" t="s">
        <v>713</v>
      </c>
      <c r="O63" s="127" t="s">
        <v>784</v>
      </c>
      <c r="P63" s="127" t="s">
        <v>727</v>
      </c>
      <c r="Q63" s="517"/>
      <c r="R63" s="517"/>
      <c r="S63" s="517"/>
      <c r="T63" s="517"/>
      <c r="V63" s="517"/>
      <c r="W63" s="517"/>
      <c r="X63" s="517"/>
      <c r="Y63" s="517"/>
      <c r="Z63" s="517"/>
      <c r="AA63" s="517"/>
    </row>
    <row r="64" spans="1:30" ht="15" customHeight="1">
      <c r="B64" s="77"/>
      <c r="C64" s="152" t="str">
        <f t="shared" si="6"/>
        <v>RESHRMSL</v>
      </c>
      <c r="D64" s="133" t="str">
        <f t="shared" si="2"/>
        <v xml:space="preserve">Residential Heating Rural Multi Savings Low </v>
      </c>
      <c r="E64" s="133" t="s">
        <v>44</v>
      </c>
      <c r="F64" s="133" t="s">
        <v>115</v>
      </c>
      <c r="G64" s="135" t="s">
        <v>112</v>
      </c>
      <c r="H64" s="135"/>
      <c r="I64" s="135"/>
      <c r="J64" s="521"/>
      <c r="K64" s="517"/>
      <c r="L64" s="127" t="s">
        <v>738</v>
      </c>
      <c r="M64" s="127" t="s">
        <v>720</v>
      </c>
      <c r="N64" s="127" t="s">
        <v>714</v>
      </c>
      <c r="O64" s="127" t="s">
        <v>784</v>
      </c>
      <c r="P64" s="127" t="s">
        <v>725</v>
      </c>
      <c r="Q64" s="517"/>
      <c r="R64" s="517"/>
      <c r="S64" s="517"/>
      <c r="T64" s="517"/>
      <c r="V64" s="517"/>
      <c r="W64" s="517"/>
      <c r="X64" s="517"/>
      <c r="Y64" s="517"/>
      <c r="Z64" s="517"/>
      <c r="AA64" s="517"/>
    </row>
    <row r="65" spans="2:27" ht="15" customHeight="1">
      <c r="B65" s="77"/>
      <c r="C65" s="152" t="str">
        <f t="shared" si="6"/>
        <v>RESHRMSM</v>
      </c>
      <c r="D65" s="133" t="str">
        <f t="shared" si="2"/>
        <v xml:space="preserve">Residential Heating Rural Multi Savings Medium </v>
      </c>
      <c r="E65" s="133" t="s">
        <v>44</v>
      </c>
      <c r="F65" s="133" t="s">
        <v>115</v>
      </c>
      <c r="G65" s="135" t="s">
        <v>112</v>
      </c>
      <c r="H65" s="135"/>
      <c r="I65" s="135"/>
      <c r="J65" s="521"/>
      <c r="K65" s="517"/>
      <c r="L65" s="127" t="s">
        <v>738</v>
      </c>
      <c r="M65" s="127" t="s">
        <v>720</v>
      </c>
      <c r="N65" s="127" t="s">
        <v>714</v>
      </c>
      <c r="O65" s="127" t="s">
        <v>784</v>
      </c>
      <c r="P65" s="127" t="s">
        <v>726</v>
      </c>
      <c r="Q65" s="517"/>
      <c r="R65" s="517"/>
      <c r="S65" s="517"/>
      <c r="T65" s="517"/>
      <c r="V65" s="517"/>
      <c r="W65" s="517"/>
      <c r="X65" s="517"/>
      <c r="Y65" s="517"/>
      <c r="Z65" s="517"/>
      <c r="AA65" s="517"/>
    </row>
    <row r="66" spans="2:27" ht="15" customHeight="1" thickBot="1">
      <c r="B66" s="129"/>
      <c r="C66" s="152" t="str">
        <f t="shared" si="6"/>
        <v>RESHRMSH</v>
      </c>
      <c r="D66" s="558" t="str">
        <f t="shared" si="2"/>
        <v xml:space="preserve">Residential Heating Rural Multi Savings High </v>
      </c>
      <c r="E66" s="558" t="s">
        <v>44</v>
      </c>
      <c r="F66" s="558" t="s">
        <v>115</v>
      </c>
      <c r="G66" s="559" t="s">
        <v>112</v>
      </c>
      <c r="H66" s="559"/>
      <c r="I66" s="559"/>
      <c r="J66" s="560"/>
      <c r="K66" s="517"/>
      <c r="L66" s="127" t="s">
        <v>738</v>
      </c>
      <c r="M66" s="127" t="s">
        <v>720</v>
      </c>
      <c r="N66" s="127" t="s">
        <v>714</v>
      </c>
      <c r="O66" s="127" t="s">
        <v>784</v>
      </c>
      <c r="P66" s="127" t="s">
        <v>727</v>
      </c>
      <c r="Q66" s="517"/>
      <c r="R66" s="517"/>
      <c r="S66" s="517"/>
      <c r="T66" s="517"/>
      <c r="V66" s="517"/>
      <c r="W66" s="517"/>
      <c r="X66" s="517"/>
      <c r="Y66" s="517"/>
      <c r="Z66" s="517"/>
      <c r="AA66" s="517"/>
    </row>
    <row r="67" spans="2:27" ht="16.25" customHeight="1" thickBot="1">
      <c r="C67" s="152" t="str">
        <f t="shared" si="6"/>
        <v>RESCUDSL</v>
      </c>
      <c r="D67" s="106" t="str">
        <f t="shared" si="2"/>
        <v xml:space="preserve">Residential Cooling Urban Detached Savings Low </v>
      </c>
      <c r="E67" s="558" t="s">
        <v>44</v>
      </c>
      <c r="F67" s="558" t="s">
        <v>115</v>
      </c>
      <c r="G67" s="559" t="s">
        <v>112</v>
      </c>
      <c r="H67" s="559"/>
      <c r="I67" s="559"/>
      <c r="J67" s="560"/>
      <c r="K67" s="127"/>
      <c r="L67" s="127" t="s">
        <v>291</v>
      </c>
      <c r="M67" s="127" t="s">
        <v>116</v>
      </c>
      <c r="N67" s="127" t="s">
        <v>713</v>
      </c>
      <c r="O67" s="127" t="s">
        <v>784</v>
      </c>
      <c r="P67" s="127" t="s">
        <v>725</v>
      </c>
      <c r="Q67" s="127"/>
      <c r="R67" s="127"/>
      <c r="S67" s="127"/>
      <c r="T67" s="127"/>
      <c r="V67" s="127"/>
      <c r="W67" s="127"/>
      <c r="X67" s="127"/>
      <c r="Y67" s="127"/>
      <c r="Z67" s="127"/>
      <c r="AA67" s="127"/>
    </row>
    <row r="68" spans="2:27" ht="16.25" customHeight="1" thickBot="1">
      <c r="C68" s="152" t="str">
        <f t="shared" si="6"/>
        <v>RESCUDSM</v>
      </c>
      <c r="D68" s="106" t="str">
        <f t="shared" si="2"/>
        <v xml:space="preserve">Residential Cooling Urban Detached Savings Medium </v>
      </c>
      <c r="E68" s="558" t="s">
        <v>44</v>
      </c>
      <c r="F68" s="558" t="s">
        <v>115</v>
      </c>
      <c r="G68" s="559" t="s">
        <v>112</v>
      </c>
      <c r="H68" s="559"/>
      <c r="I68" s="559"/>
      <c r="J68" s="560"/>
      <c r="L68" s="127" t="s">
        <v>291</v>
      </c>
      <c r="M68" s="127" t="s">
        <v>116</v>
      </c>
      <c r="N68" s="127" t="s">
        <v>713</v>
      </c>
      <c r="O68" s="127" t="s">
        <v>784</v>
      </c>
      <c r="P68" s="127" t="s">
        <v>726</v>
      </c>
    </row>
    <row r="69" spans="2:27" ht="16.25" customHeight="1" thickBot="1">
      <c r="B69" s="73"/>
      <c r="C69" s="152" t="str">
        <f t="shared" si="6"/>
        <v>RESCUDSH</v>
      </c>
      <c r="D69" s="106" t="str">
        <f t="shared" si="2"/>
        <v xml:space="preserve">Residential Cooling Urban Detached Savings High </v>
      </c>
      <c r="E69" s="558" t="s">
        <v>44</v>
      </c>
      <c r="F69" s="558" t="s">
        <v>115</v>
      </c>
      <c r="G69" s="559" t="s">
        <v>112</v>
      </c>
      <c r="H69" s="559"/>
      <c r="I69" s="559"/>
      <c r="J69" s="560"/>
      <c r="L69" s="127" t="s">
        <v>291</v>
      </c>
      <c r="M69" s="127" t="s">
        <v>116</v>
      </c>
      <c r="N69" s="127" t="s">
        <v>713</v>
      </c>
      <c r="O69" s="127" t="s">
        <v>784</v>
      </c>
      <c r="P69" s="127" t="s">
        <v>727</v>
      </c>
    </row>
    <row r="70" spans="2:27" ht="16.25" customHeight="1" thickBot="1">
      <c r="B70" s="64"/>
      <c r="C70" s="152" t="str">
        <f t="shared" si="6"/>
        <v>RESCRDSL</v>
      </c>
      <c r="D70" s="106" t="str">
        <f t="shared" si="2"/>
        <v xml:space="preserve">Residential Cooling Rural Detached Savings Low </v>
      </c>
      <c r="E70" s="558" t="s">
        <v>44</v>
      </c>
      <c r="F70" s="558" t="s">
        <v>115</v>
      </c>
      <c r="G70" s="559" t="s">
        <v>112</v>
      </c>
      <c r="H70" s="559"/>
      <c r="I70" s="559"/>
      <c r="J70" s="560"/>
      <c r="L70" s="127" t="s">
        <v>291</v>
      </c>
      <c r="M70" s="127" t="s">
        <v>116</v>
      </c>
      <c r="N70" s="127" t="s">
        <v>714</v>
      </c>
      <c r="O70" s="127" t="s">
        <v>784</v>
      </c>
      <c r="P70" s="127" t="s">
        <v>725</v>
      </c>
    </row>
    <row r="71" spans="2:27" ht="16.25" customHeight="1" thickBot="1">
      <c r="C71" s="152" t="str">
        <f t="shared" si="6"/>
        <v>RESCRDSM</v>
      </c>
      <c r="D71" s="106" t="str">
        <f t="shared" si="2"/>
        <v xml:space="preserve">Residential Cooling Rural Detached Savings Medium </v>
      </c>
      <c r="E71" s="558" t="s">
        <v>44</v>
      </c>
      <c r="F71" s="558" t="s">
        <v>115</v>
      </c>
      <c r="G71" s="559" t="s">
        <v>112</v>
      </c>
      <c r="H71" s="559"/>
      <c r="I71" s="559"/>
      <c r="J71" s="560"/>
      <c r="L71" s="127" t="s">
        <v>291</v>
      </c>
      <c r="M71" s="127" t="s">
        <v>116</v>
      </c>
      <c r="N71" s="127" t="s">
        <v>714</v>
      </c>
      <c r="O71" s="127" t="s">
        <v>784</v>
      </c>
      <c r="P71" s="127" t="s">
        <v>726</v>
      </c>
    </row>
    <row r="72" spans="2:27" ht="16.25" customHeight="1" thickBot="1">
      <c r="C72" s="152" t="str">
        <f t="shared" si="6"/>
        <v>RESCRDSH</v>
      </c>
      <c r="D72" s="106" t="str">
        <f t="shared" si="2"/>
        <v xml:space="preserve">Residential Cooling Rural Detached Savings High </v>
      </c>
      <c r="E72" s="558" t="s">
        <v>44</v>
      </c>
      <c r="F72" s="558" t="s">
        <v>115</v>
      </c>
      <c r="G72" s="559" t="s">
        <v>112</v>
      </c>
      <c r="H72" s="559"/>
      <c r="I72" s="559"/>
      <c r="J72" s="560"/>
      <c r="L72" s="127" t="s">
        <v>291</v>
      </c>
      <c r="M72" s="127" t="s">
        <v>116</v>
      </c>
      <c r="N72" s="127" t="s">
        <v>714</v>
      </c>
      <c r="O72" s="127" t="s">
        <v>784</v>
      </c>
      <c r="P72" s="127" t="s">
        <v>727</v>
      </c>
    </row>
    <row r="73" spans="2:27" ht="16.25" customHeight="1" thickBot="1">
      <c r="C73" s="152" t="str">
        <f t="shared" si="6"/>
        <v>RESCUMSL</v>
      </c>
      <c r="D73" s="106" t="str">
        <f t="shared" si="2"/>
        <v xml:space="preserve">Residential Cooling Urban Multi Savings Low </v>
      </c>
      <c r="E73" s="558" t="s">
        <v>44</v>
      </c>
      <c r="F73" s="558" t="s">
        <v>115</v>
      </c>
      <c r="G73" s="559" t="s">
        <v>112</v>
      </c>
      <c r="H73" s="559"/>
      <c r="I73" s="559"/>
      <c r="J73" s="560"/>
      <c r="L73" s="127" t="s">
        <v>291</v>
      </c>
      <c r="M73" s="127" t="s">
        <v>720</v>
      </c>
      <c r="N73" s="127" t="s">
        <v>713</v>
      </c>
      <c r="O73" s="127" t="s">
        <v>784</v>
      </c>
      <c r="P73" s="127" t="s">
        <v>725</v>
      </c>
    </row>
    <row r="74" spans="2:27" ht="16.25" customHeight="1" thickBot="1">
      <c r="C74" s="152" t="str">
        <f t="shared" si="6"/>
        <v>RESCUMSM</v>
      </c>
      <c r="D74" s="106" t="str">
        <f t="shared" si="2"/>
        <v xml:space="preserve">Residential Cooling Urban Multi Savings Medium </v>
      </c>
      <c r="E74" s="558" t="s">
        <v>44</v>
      </c>
      <c r="F74" s="558" t="s">
        <v>115</v>
      </c>
      <c r="G74" s="559" t="s">
        <v>112</v>
      </c>
      <c r="H74" s="559"/>
      <c r="I74" s="559"/>
      <c r="J74" s="560"/>
      <c r="L74" s="127" t="s">
        <v>291</v>
      </c>
      <c r="M74" s="127" t="s">
        <v>720</v>
      </c>
      <c r="N74" s="127" t="s">
        <v>713</v>
      </c>
      <c r="O74" s="127" t="s">
        <v>784</v>
      </c>
      <c r="P74" s="127" t="s">
        <v>726</v>
      </c>
    </row>
    <row r="75" spans="2:27" ht="16.25" customHeight="1" thickBot="1">
      <c r="C75" s="152" t="str">
        <f t="shared" si="6"/>
        <v>RESCUMSH</v>
      </c>
      <c r="D75" s="106" t="str">
        <f t="shared" si="2"/>
        <v xml:space="preserve">Residential Cooling Urban Multi Savings High </v>
      </c>
      <c r="E75" s="558" t="s">
        <v>44</v>
      </c>
      <c r="F75" s="558" t="s">
        <v>115</v>
      </c>
      <c r="G75" s="559" t="s">
        <v>112</v>
      </c>
      <c r="H75" s="559"/>
      <c r="I75" s="559"/>
      <c r="J75" s="560"/>
      <c r="L75" s="127" t="s">
        <v>291</v>
      </c>
      <c r="M75" s="127" t="s">
        <v>720</v>
      </c>
      <c r="N75" s="127" t="s">
        <v>713</v>
      </c>
      <c r="O75" s="127" t="s">
        <v>784</v>
      </c>
      <c r="P75" s="127" t="s">
        <v>727</v>
      </c>
    </row>
    <row r="76" spans="2:27" ht="16.25" customHeight="1" thickBot="1">
      <c r="C76" s="152" t="str">
        <f t="shared" si="6"/>
        <v>RESCRMSL</v>
      </c>
      <c r="D76" s="106" t="str">
        <f t="shared" si="2"/>
        <v xml:space="preserve">Residential Cooling Rural Multi Savings Low </v>
      </c>
      <c r="E76" s="558" t="s">
        <v>44</v>
      </c>
      <c r="F76" s="558" t="s">
        <v>115</v>
      </c>
      <c r="G76" s="559" t="s">
        <v>112</v>
      </c>
      <c r="H76" s="559"/>
      <c r="I76" s="559"/>
      <c r="J76" s="560"/>
      <c r="L76" s="127" t="s">
        <v>291</v>
      </c>
      <c r="M76" s="127" t="s">
        <v>720</v>
      </c>
      <c r="N76" s="127" t="s">
        <v>714</v>
      </c>
      <c r="O76" s="127" t="s">
        <v>784</v>
      </c>
      <c r="P76" s="127" t="s">
        <v>725</v>
      </c>
    </row>
    <row r="77" spans="2:27" ht="16.25" customHeight="1" thickBot="1">
      <c r="C77" s="152" t="str">
        <f t="shared" si="6"/>
        <v>RESCRMSM</v>
      </c>
      <c r="D77" s="106" t="str">
        <f t="shared" si="2"/>
        <v xml:space="preserve">Residential Cooling Rural Multi Savings Medium </v>
      </c>
      <c r="E77" s="558" t="s">
        <v>44</v>
      </c>
      <c r="F77" s="558" t="s">
        <v>115</v>
      </c>
      <c r="G77" s="559" t="s">
        <v>112</v>
      </c>
      <c r="H77" s="559"/>
      <c r="I77" s="559"/>
      <c r="J77" s="560"/>
      <c r="L77" s="127" t="s">
        <v>291</v>
      </c>
      <c r="M77" s="127" t="s">
        <v>720</v>
      </c>
      <c r="N77" s="127" t="s">
        <v>714</v>
      </c>
      <c r="O77" s="127" t="s">
        <v>784</v>
      </c>
      <c r="P77" s="127" t="s">
        <v>726</v>
      </c>
    </row>
    <row r="78" spans="2:27" ht="16.25" customHeight="1" thickBot="1">
      <c r="C78" s="152" t="str">
        <f t="shared" si="6"/>
        <v>RESCRMSH</v>
      </c>
      <c r="D78" s="106" t="str">
        <f t="shared" si="2"/>
        <v xml:space="preserve">Residential Cooling Rural Multi Savings High </v>
      </c>
      <c r="E78" s="558" t="s">
        <v>44</v>
      </c>
      <c r="F78" s="558" t="s">
        <v>115</v>
      </c>
      <c r="G78" s="559" t="s">
        <v>112</v>
      </c>
      <c r="H78" s="559"/>
      <c r="I78" s="559"/>
      <c r="J78" s="560"/>
      <c r="L78" s="127" t="s">
        <v>291</v>
      </c>
      <c r="M78" s="127" t="s">
        <v>720</v>
      </c>
      <c r="N78" s="127" t="s">
        <v>714</v>
      </c>
      <c r="O78" s="127" t="s">
        <v>784</v>
      </c>
      <c r="P78" s="127" t="s">
        <v>727</v>
      </c>
    </row>
    <row r="79" spans="2:27" ht="16.25" customHeight="1">
      <c r="B79" s="70" t="s">
        <v>118</v>
      </c>
      <c r="C79" s="105" t="s">
        <v>119</v>
      </c>
      <c r="D79" s="561" t="s">
        <v>121</v>
      </c>
      <c r="E79" s="561" t="s">
        <v>120</v>
      </c>
      <c r="F79" s="562"/>
      <c r="G79" s="562"/>
      <c r="H79" s="562"/>
      <c r="I79" s="562"/>
      <c r="J79" s="524"/>
    </row>
    <row r="80" spans="2:27">
      <c r="B80" t="s">
        <v>47</v>
      </c>
      <c r="C80" t="s">
        <v>823</v>
      </c>
      <c r="D80" t="s">
        <v>824</v>
      </c>
      <c r="E80" s="133" t="s">
        <v>44</v>
      </c>
      <c r="G80"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07"/>
  <sheetViews>
    <sheetView topLeftCell="A5" zoomScale="80" zoomScaleNormal="80" workbookViewId="0">
      <selection activeCell="E9" sqref="E9"/>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54" t="s">
        <v>767</v>
      </c>
      <c r="D2" s="554" t="s">
        <v>153</v>
      </c>
      <c r="E2" s="106" t="s">
        <v>787</v>
      </c>
    </row>
    <row r="3" spans="2:19" ht="18">
      <c r="C3" s="554"/>
      <c r="D3" s="554"/>
      <c r="E3" s="106"/>
    </row>
    <row r="4" spans="2:19">
      <c r="B4" s="63" t="s">
        <v>18</v>
      </c>
      <c r="C4" s="63"/>
      <c r="D4" s="64"/>
      <c r="E4" s="64"/>
      <c r="F4" s="64"/>
      <c r="G4" s="64"/>
      <c r="H4" s="64"/>
      <c r="I4" s="64"/>
      <c r="J4" s="64"/>
      <c r="K4" s="64"/>
      <c r="L4" s="594"/>
      <c r="M4" s="595"/>
      <c r="N4" s="595"/>
      <c r="O4" s="595"/>
      <c r="P4" s="595"/>
      <c r="Q4" s="595"/>
      <c r="R4" s="595"/>
      <c r="S4" s="595"/>
    </row>
    <row r="5" spans="2:19" ht="45">
      <c r="B5" s="65" t="s">
        <v>19</v>
      </c>
      <c r="C5" s="65" t="s">
        <v>1</v>
      </c>
      <c r="D5" s="65" t="s">
        <v>2</v>
      </c>
      <c r="E5" s="65" t="s">
        <v>3</v>
      </c>
      <c r="F5" s="65" t="s">
        <v>20</v>
      </c>
      <c r="G5" s="65" t="s">
        <v>21</v>
      </c>
      <c r="H5" s="65" t="s">
        <v>22</v>
      </c>
      <c r="I5" s="65" t="s">
        <v>23</v>
      </c>
      <c r="J5" s="65" t="s">
        <v>24</v>
      </c>
      <c r="K5" s="564"/>
      <c r="L5" s="297" t="s">
        <v>804</v>
      </c>
      <c r="M5" s="297" t="s">
        <v>745</v>
      </c>
      <c r="N5" s="297" t="s">
        <v>743</v>
      </c>
      <c r="O5" s="297" t="s">
        <v>744</v>
      </c>
      <c r="P5" s="297" t="s">
        <v>81</v>
      </c>
      <c r="Q5" s="297" t="s">
        <v>766</v>
      </c>
      <c r="R5" s="297" t="s">
        <v>782</v>
      </c>
      <c r="S5" s="297" t="s">
        <v>785</v>
      </c>
    </row>
    <row r="6" spans="2:19" ht="25" thickBot="1">
      <c r="B6" s="66" t="s">
        <v>28</v>
      </c>
      <c r="C6" s="66" t="s">
        <v>29</v>
      </c>
      <c r="D6" s="66" t="s">
        <v>30</v>
      </c>
      <c r="E6" s="66" t="s">
        <v>31</v>
      </c>
      <c r="F6" s="66" t="s">
        <v>32</v>
      </c>
      <c r="G6" s="66" t="s">
        <v>33</v>
      </c>
      <c r="H6" s="66" t="s">
        <v>34</v>
      </c>
      <c r="I6" s="66" t="s">
        <v>35</v>
      </c>
      <c r="J6" s="66" t="s">
        <v>36</v>
      </c>
      <c r="K6" s="565"/>
      <c r="L6" s="563" t="s">
        <v>807</v>
      </c>
      <c r="M6" s="563" t="s">
        <v>807</v>
      </c>
      <c r="N6" s="563" t="s">
        <v>807</v>
      </c>
      <c r="O6" s="563" t="s">
        <v>807</v>
      </c>
      <c r="P6" s="563" t="s">
        <v>807</v>
      </c>
      <c r="Q6" s="563" t="s">
        <v>807</v>
      </c>
      <c r="R6" s="563" t="s">
        <v>807</v>
      </c>
      <c r="S6" s="563" t="s">
        <v>807</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786</v>
      </c>
      <c r="M7" s="127" t="s">
        <v>738</v>
      </c>
      <c r="N7" s="127" t="s">
        <v>116</v>
      </c>
      <c r="O7" s="127" t="s">
        <v>713</v>
      </c>
      <c r="Q7" s="106" t="s">
        <v>725</v>
      </c>
      <c r="R7" s="106"/>
    </row>
    <row r="8" spans="2:19">
      <c r="B8" s="77"/>
      <c r="C8" s="77"/>
      <c r="D8" s="133" t="str">
        <f>LEFT($D$2,1)&amp;LEFT(L8,1)&amp;LEFT(M8,1)&amp;LEFT(O8,1)&amp;LEFT(N8,1)&amp;P8&amp;LEFT(Q8,1)&amp;R8</f>
        <v>RDHUDM</v>
      </c>
      <c r="E8" s="133" t="str">
        <f t="shared" ref="E8:E71" si="0">$E$2&amp;" "&amp;L8&amp;" "&amp;M8&amp;" "&amp;O8&amp;" "&amp;N8&amp;" - "&amp;T8&amp;" - "&amp;Q8&amp;" "&amp;R8</f>
        <v xml:space="preserve">Residential Demand Heating Urban Detached -  - Medium </v>
      </c>
      <c r="F8" s="78" t="s">
        <v>46</v>
      </c>
      <c r="G8" s="78" t="s">
        <v>46</v>
      </c>
      <c r="H8" s="77"/>
      <c r="I8" s="83"/>
      <c r="J8" s="77"/>
      <c r="K8" s="77"/>
      <c r="L8" s="106" t="s">
        <v>786</v>
      </c>
      <c r="M8" s="127" t="s">
        <v>738</v>
      </c>
      <c r="N8" s="127" t="s">
        <v>116</v>
      </c>
      <c r="O8" s="127" t="s">
        <v>713</v>
      </c>
      <c r="Q8" s="106" t="s">
        <v>726</v>
      </c>
    </row>
    <row r="9" spans="2:19">
      <c r="B9" s="77"/>
      <c r="C9" s="77"/>
      <c r="D9" s="133" t="str">
        <f t="shared" ref="D9:D72"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786</v>
      </c>
      <c r="M9" s="127" t="s">
        <v>738</v>
      </c>
      <c r="N9" s="127" t="s">
        <v>116</v>
      </c>
      <c r="O9" s="127" t="s">
        <v>713</v>
      </c>
      <c r="Q9" s="106" t="s">
        <v>727</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786</v>
      </c>
      <c r="M10" s="127" t="s">
        <v>738</v>
      </c>
      <c r="N10" s="127" t="s">
        <v>116</v>
      </c>
      <c r="O10" s="127" t="s">
        <v>713</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786</v>
      </c>
      <c r="M11" s="127" t="s">
        <v>738</v>
      </c>
      <c r="N11" s="127" t="s">
        <v>116</v>
      </c>
      <c r="O11" s="127" t="s">
        <v>714</v>
      </c>
      <c r="Q11" s="106" t="s">
        <v>725</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786</v>
      </c>
      <c r="M12" s="127" t="s">
        <v>738</v>
      </c>
      <c r="N12" s="127" t="s">
        <v>116</v>
      </c>
      <c r="O12" s="127" t="s">
        <v>714</v>
      </c>
      <c r="Q12" s="106" t="s">
        <v>726</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786</v>
      </c>
      <c r="M13" s="127" t="s">
        <v>738</v>
      </c>
      <c r="N13" s="127" t="s">
        <v>116</v>
      </c>
      <c r="O13" s="127" t="s">
        <v>714</v>
      </c>
      <c r="Q13" s="106" t="s">
        <v>727</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786</v>
      </c>
      <c r="M14" s="127" t="s">
        <v>738</v>
      </c>
      <c r="N14" s="127" t="s">
        <v>116</v>
      </c>
      <c r="O14" s="127" t="s">
        <v>714</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786</v>
      </c>
      <c r="M15" s="127" t="s">
        <v>738</v>
      </c>
      <c r="N15" s="127" t="s">
        <v>720</v>
      </c>
      <c r="O15" s="127" t="s">
        <v>713</v>
      </c>
      <c r="Q15" s="106" t="s">
        <v>725</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786</v>
      </c>
      <c r="M16" s="127" t="s">
        <v>738</v>
      </c>
      <c r="N16" s="127" t="s">
        <v>720</v>
      </c>
      <c r="O16" s="127" t="s">
        <v>713</v>
      </c>
      <c r="Q16" s="106" t="s">
        <v>726</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786</v>
      </c>
      <c r="M17" s="127" t="s">
        <v>738</v>
      </c>
      <c r="N17" s="127" t="s">
        <v>720</v>
      </c>
      <c r="O17" s="127" t="s">
        <v>713</v>
      </c>
      <c r="Q17" s="106" t="s">
        <v>727</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786</v>
      </c>
      <c r="M18" s="127" t="s">
        <v>738</v>
      </c>
      <c r="N18" s="127" t="s">
        <v>720</v>
      </c>
      <c r="O18" s="127" t="s">
        <v>713</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786</v>
      </c>
      <c r="M19" s="127" t="s">
        <v>738</v>
      </c>
      <c r="N19" s="127" t="s">
        <v>720</v>
      </c>
      <c r="O19" s="127" t="s">
        <v>714</v>
      </c>
      <c r="Q19" s="106" t="s">
        <v>725</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786</v>
      </c>
      <c r="M20" s="127" t="s">
        <v>738</v>
      </c>
      <c r="N20" s="127" t="s">
        <v>720</v>
      </c>
      <c r="O20" s="127" t="s">
        <v>714</v>
      </c>
      <c r="Q20" s="106" t="s">
        <v>726</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786</v>
      </c>
      <c r="M21" s="127" t="s">
        <v>738</v>
      </c>
      <c r="N21" s="127" t="s">
        <v>720</v>
      </c>
      <c r="O21" s="127" t="s">
        <v>714</v>
      </c>
      <c r="Q21" s="106" t="s">
        <v>727</v>
      </c>
    </row>
    <row r="22" spans="2:17">
      <c r="B22" s="503"/>
      <c r="C22" s="503"/>
      <c r="D22" s="498" t="str">
        <f t="shared" si="1"/>
        <v>RDHRMN</v>
      </c>
      <c r="E22" s="133" t="str">
        <f t="shared" si="0"/>
        <v xml:space="preserve">Residential Demand Heating Rural Multi -  - New </v>
      </c>
      <c r="F22" s="497" t="s">
        <v>46</v>
      </c>
      <c r="G22" s="497" t="s">
        <v>46</v>
      </c>
      <c r="H22" s="503"/>
      <c r="I22" s="506"/>
      <c r="J22" s="503"/>
      <c r="K22" s="77"/>
      <c r="L22" s="106" t="s">
        <v>786</v>
      </c>
      <c r="M22" s="127" t="s">
        <v>738</v>
      </c>
      <c r="N22" s="127" t="s">
        <v>720</v>
      </c>
      <c r="O22" s="127" t="s">
        <v>714</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786</v>
      </c>
      <c r="M23" s="127" t="s">
        <v>291</v>
      </c>
      <c r="N23" s="127" t="s">
        <v>116</v>
      </c>
      <c r="O23" s="127" t="s">
        <v>713</v>
      </c>
      <c r="Q23" s="106" t="s">
        <v>725</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786</v>
      </c>
      <c r="M24" s="127" t="s">
        <v>291</v>
      </c>
      <c r="N24" s="127" t="s">
        <v>116</v>
      </c>
      <c r="O24" s="127" t="s">
        <v>713</v>
      </c>
      <c r="Q24" s="106" t="s">
        <v>726</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786</v>
      </c>
      <c r="M25" s="127" t="s">
        <v>291</v>
      </c>
      <c r="N25" s="127" t="s">
        <v>116</v>
      </c>
      <c r="O25" s="127" t="s">
        <v>713</v>
      </c>
      <c r="Q25" s="106" t="s">
        <v>727</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786</v>
      </c>
      <c r="M26" s="127" t="s">
        <v>291</v>
      </c>
      <c r="N26" s="127" t="s">
        <v>116</v>
      </c>
      <c r="O26" s="127" t="s">
        <v>713</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786</v>
      </c>
      <c r="M27" s="127" t="s">
        <v>291</v>
      </c>
      <c r="N27" s="127" t="s">
        <v>116</v>
      </c>
      <c r="O27" s="127" t="s">
        <v>714</v>
      </c>
      <c r="Q27" s="106" t="s">
        <v>725</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786</v>
      </c>
      <c r="M28" s="127" t="s">
        <v>291</v>
      </c>
      <c r="N28" s="127" t="s">
        <v>116</v>
      </c>
      <c r="O28" s="127" t="s">
        <v>714</v>
      </c>
      <c r="Q28" s="106" t="s">
        <v>726</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786</v>
      </c>
      <c r="M29" s="127" t="s">
        <v>291</v>
      </c>
      <c r="N29" s="127" t="s">
        <v>116</v>
      </c>
      <c r="O29" s="127" t="s">
        <v>714</v>
      </c>
      <c r="Q29" s="106" t="s">
        <v>727</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786</v>
      </c>
      <c r="M30" s="127" t="s">
        <v>291</v>
      </c>
      <c r="N30" s="127" t="s">
        <v>116</v>
      </c>
      <c r="O30" s="127" t="s">
        <v>714</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786</v>
      </c>
      <c r="M31" s="127" t="s">
        <v>291</v>
      </c>
      <c r="N31" s="127" t="s">
        <v>720</v>
      </c>
      <c r="O31" s="127" t="s">
        <v>713</v>
      </c>
      <c r="Q31" s="106" t="s">
        <v>725</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786</v>
      </c>
      <c r="M32" s="127" t="s">
        <v>291</v>
      </c>
      <c r="N32" s="127" t="s">
        <v>720</v>
      </c>
      <c r="O32" s="127" t="s">
        <v>713</v>
      </c>
      <c r="Q32" s="106" t="s">
        <v>726</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786</v>
      </c>
      <c r="M33" s="127" t="s">
        <v>291</v>
      </c>
      <c r="N33" s="127" t="s">
        <v>720</v>
      </c>
      <c r="O33" s="127" t="s">
        <v>713</v>
      </c>
      <c r="Q33" s="106" t="s">
        <v>727</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786</v>
      </c>
      <c r="M34" s="127" t="s">
        <v>291</v>
      </c>
      <c r="N34" s="127" t="s">
        <v>720</v>
      </c>
      <c r="O34" s="127" t="s">
        <v>713</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786</v>
      </c>
      <c r="M35" s="127" t="s">
        <v>291</v>
      </c>
      <c r="N35" s="127" t="s">
        <v>720</v>
      </c>
      <c r="O35" s="127" t="s">
        <v>714</v>
      </c>
      <c r="Q35" s="106" t="s">
        <v>725</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786</v>
      </c>
      <c r="M36" s="127" t="s">
        <v>291</v>
      </c>
      <c r="N36" s="127" t="s">
        <v>720</v>
      </c>
      <c r="O36" s="127" t="s">
        <v>714</v>
      </c>
      <c r="Q36" s="106" t="s">
        <v>726</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786</v>
      </c>
      <c r="M37" s="127" t="s">
        <v>291</v>
      </c>
      <c r="N37" s="127" t="s">
        <v>720</v>
      </c>
      <c r="O37" s="127" t="s">
        <v>714</v>
      </c>
      <c r="Q37" s="106" t="s">
        <v>727</v>
      </c>
    </row>
    <row r="38" spans="2:20">
      <c r="B38" s="503"/>
      <c r="C38" s="503"/>
      <c r="D38" s="498" t="str">
        <f t="shared" si="1"/>
        <v>RDCRMN</v>
      </c>
      <c r="E38" s="498" t="str">
        <f t="shared" si="0"/>
        <v xml:space="preserve">Residential Demand Cooling Rural Multi -  - New </v>
      </c>
      <c r="F38" s="497" t="s">
        <v>46</v>
      </c>
      <c r="G38" s="497" t="s">
        <v>46</v>
      </c>
      <c r="H38" s="503"/>
      <c r="I38" s="506"/>
      <c r="J38" s="503"/>
      <c r="K38" s="77"/>
      <c r="L38" s="106" t="s">
        <v>786</v>
      </c>
      <c r="M38" s="127" t="s">
        <v>291</v>
      </c>
      <c r="N38" s="127" t="s">
        <v>720</v>
      </c>
      <c r="O38" s="127" t="s">
        <v>714</v>
      </c>
      <c r="Q38" s="106" t="s">
        <v>51</v>
      </c>
    </row>
    <row r="39" spans="2:20" ht="14">
      <c r="B39" s="77"/>
      <c r="C39" s="77"/>
      <c r="D39" s="133" t="str">
        <f t="shared" si="1"/>
        <v>RFTLPGE1</v>
      </c>
      <c r="E39" s="133" t="str">
        <f t="shared" si="0"/>
        <v>Residential Food (Cooking) Technology   - LPG - Existing 1</v>
      </c>
      <c r="F39" s="133" t="s">
        <v>44</v>
      </c>
      <c r="G39" s="133" t="s">
        <v>65</v>
      </c>
      <c r="H39" s="79" t="s">
        <v>112</v>
      </c>
      <c r="I39" s="83"/>
      <c r="J39" s="77"/>
      <c r="K39" s="77"/>
      <c r="L39" s="133" t="s">
        <v>805</v>
      </c>
      <c r="M39" s="127" t="s">
        <v>745</v>
      </c>
      <c r="O39" s="127"/>
      <c r="P39" t="str">
        <f t="shared" ref="P39:P44" si="2">RIGHT(S39,LEN(S39)-3)</f>
        <v>LPG</v>
      </c>
      <c r="Q39" s="106" t="s">
        <v>806</v>
      </c>
      <c r="R39">
        <v>1</v>
      </c>
      <c r="S39" s="260" t="str">
        <f>Commodities!$C$19</f>
        <v>RESLPG</v>
      </c>
      <c r="T39" t="str">
        <f>VLOOKUP(S39,Commodities!$C$18:$R$34,16,FALSE)</f>
        <v>LPG</v>
      </c>
    </row>
    <row r="40" spans="2:20" ht="14">
      <c r="B40" s="77"/>
      <c r="C40" s="77"/>
      <c r="D40" s="133" t="str">
        <f t="shared" si="1"/>
        <v>RFTNGAE1</v>
      </c>
      <c r="E40" s="133" t="str">
        <f t="shared" si="0"/>
        <v>Residential Food (Cooking) Technology   - Natural Gas - Existing 1</v>
      </c>
      <c r="F40" s="133" t="s">
        <v>44</v>
      </c>
      <c r="G40" s="133" t="s">
        <v>65</v>
      </c>
      <c r="H40" s="79" t="s">
        <v>112</v>
      </c>
      <c r="I40" s="83"/>
      <c r="J40" s="77"/>
      <c r="K40" s="77"/>
      <c r="L40" s="133" t="s">
        <v>805</v>
      </c>
      <c r="M40" s="127" t="s">
        <v>745</v>
      </c>
      <c r="O40" s="127"/>
      <c r="P40" t="str">
        <f t="shared" si="2"/>
        <v>NGA</v>
      </c>
      <c r="Q40" s="106" t="s">
        <v>806</v>
      </c>
      <c r="R40">
        <v>1</v>
      </c>
      <c r="S40" s="260" t="str">
        <f>Commodities!$C$18</f>
        <v>RESNGA</v>
      </c>
      <c r="T40" t="str">
        <f>VLOOKUP(S40,Commodities!$C$18:$R$34,16,FALSE)</f>
        <v>Natural Gas</v>
      </c>
    </row>
    <row r="41" spans="2:20" ht="14">
      <c r="B41" s="77"/>
      <c r="C41" s="77"/>
      <c r="D41" s="133" t="str">
        <f t="shared" si="1"/>
        <v>RATELCAE1</v>
      </c>
      <c r="E41" s="133" t="str">
        <f t="shared" si="0"/>
        <v>Residential Appliances Technology   - Electricity Appliances - Existing 1</v>
      </c>
      <c r="F41" s="133" t="s">
        <v>44</v>
      </c>
      <c r="G41" s="133" t="s">
        <v>65</v>
      </c>
      <c r="H41" s="79" t="s">
        <v>112</v>
      </c>
      <c r="I41" s="83"/>
      <c r="J41" s="77"/>
      <c r="K41" s="77"/>
      <c r="L41" s="133" t="s">
        <v>290</v>
      </c>
      <c r="M41" s="127" t="s">
        <v>745</v>
      </c>
      <c r="O41" s="127"/>
      <c r="P41" t="str">
        <f t="shared" si="2"/>
        <v>ELCA</v>
      </c>
      <c r="Q41" s="106" t="s">
        <v>806</v>
      </c>
      <c r="R41">
        <v>1</v>
      </c>
      <c r="S41" s="260" t="str">
        <f>Commodities!$C$29</f>
        <v>RESELCA</v>
      </c>
      <c r="T41" t="str">
        <f>VLOOKUP(S41,Commodities!$C$18:$R$34,16,FALSE)</f>
        <v>Electricity Appliances</v>
      </c>
    </row>
    <row r="42" spans="2:20">
      <c r="B42" s="77"/>
      <c r="C42" s="77"/>
      <c r="D42" s="133" t="str">
        <f t="shared" si="1"/>
        <v>RATGSLE1</v>
      </c>
      <c r="E42" s="133" t="str">
        <f t="shared" si="0"/>
        <v>Residential Appliances Technology   - Gasoline - Existing 1</v>
      </c>
      <c r="F42" s="133" t="s">
        <v>44</v>
      </c>
      <c r="G42" s="133" t="s">
        <v>65</v>
      </c>
      <c r="H42" s="79" t="s">
        <v>112</v>
      </c>
      <c r="I42" s="83"/>
      <c r="J42" s="77"/>
      <c r="K42" s="77"/>
      <c r="L42" s="133" t="s">
        <v>290</v>
      </c>
      <c r="M42" s="127" t="s">
        <v>745</v>
      </c>
      <c r="O42" s="127"/>
      <c r="P42" t="str">
        <f t="shared" si="2"/>
        <v>GSL</v>
      </c>
      <c r="Q42" s="106" t="s">
        <v>806</v>
      </c>
      <c r="R42">
        <v>1</v>
      </c>
      <c r="S42" s="1" t="str">
        <f>Commodities!$C$21</f>
        <v>RESGSL</v>
      </c>
      <c r="T42" t="str">
        <f>VLOOKUP(S42,Commodities!$C$18:$R$34,16,FALSE)</f>
        <v>Gasoline</v>
      </c>
    </row>
    <row r="43" spans="2:20" ht="14">
      <c r="B43" s="77"/>
      <c r="C43" s="77"/>
      <c r="D43" s="133" t="str">
        <f t="shared" si="1"/>
        <v>RWTLPGE1</v>
      </c>
      <c r="E43" s="133" t="str">
        <f t="shared" si="0"/>
        <v>Residential Water Hot Technology   - LPG - Existing 1</v>
      </c>
      <c r="F43" s="133" t="s">
        <v>44</v>
      </c>
      <c r="G43" s="133" t="s">
        <v>65</v>
      </c>
      <c r="H43" s="79" t="s">
        <v>112</v>
      </c>
      <c r="I43" s="83"/>
      <c r="J43" s="77"/>
      <c r="K43" s="77"/>
      <c r="L43" s="133" t="s">
        <v>788</v>
      </c>
      <c r="M43" s="127" t="s">
        <v>745</v>
      </c>
      <c r="O43" s="127"/>
      <c r="P43" t="str">
        <f t="shared" si="2"/>
        <v>LPG</v>
      </c>
      <c r="Q43" s="106" t="s">
        <v>806</v>
      </c>
      <c r="R43">
        <v>1</v>
      </c>
      <c r="S43" s="260" t="str">
        <f>Commodities!$C$19</f>
        <v>RESLPG</v>
      </c>
      <c r="T43" t="str">
        <f>VLOOKUP(S43,Commodities!$C$18:$R$34,16,FALSE)</f>
        <v>LPG</v>
      </c>
    </row>
    <row r="44" spans="2:20" ht="14">
      <c r="B44" s="503"/>
      <c r="C44" s="503"/>
      <c r="D44" s="498" t="str">
        <f t="shared" si="1"/>
        <v>RWTNGAE1</v>
      </c>
      <c r="E44" s="498" t="str">
        <f t="shared" si="0"/>
        <v>Residential Water Hot Technology   - Natural Gas - Existing 1</v>
      </c>
      <c r="F44" s="498" t="s">
        <v>44</v>
      </c>
      <c r="G44" s="498" t="s">
        <v>65</v>
      </c>
      <c r="H44" s="501" t="s">
        <v>112</v>
      </c>
      <c r="I44" s="506"/>
      <c r="J44" s="503"/>
      <c r="K44" s="503"/>
      <c r="L44" s="498" t="s">
        <v>788</v>
      </c>
      <c r="M44" s="566" t="s">
        <v>745</v>
      </c>
      <c r="N44" s="187"/>
      <c r="O44" s="566"/>
      <c r="P44" s="187" t="str">
        <f t="shared" si="2"/>
        <v>NGA</v>
      </c>
      <c r="Q44" s="478" t="s">
        <v>806</v>
      </c>
      <c r="R44" s="187">
        <v>1</v>
      </c>
      <c r="S44" s="424" t="str">
        <f>Commodities!$C$18</f>
        <v>RESNGA</v>
      </c>
      <c r="T44" t="str">
        <f>VLOOKUP(S44,Commodities!$C$18:$R$34,16,FALSE)</f>
        <v>Natural Gas</v>
      </c>
    </row>
    <row r="45" spans="2:20" ht="14">
      <c r="B45" s="85" t="s">
        <v>64</v>
      </c>
      <c r="C45" s="69"/>
      <c r="D45" s="133" t="str">
        <f t="shared" si="1"/>
        <v>RHTUDNGAE1</v>
      </c>
      <c r="E45" s="86" t="str">
        <f t="shared" si="0"/>
        <v>Residential Heating Technology Urban Detached - Natural Gas - Existing 1</v>
      </c>
      <c r="F45" s="68" t="s">
        <v>44</v>
      </c>
      <c r="G45" s="68" t="s">
        <v>65</v>
      </c>
      <c r="H45" s="79" t="s">
        <v>112</v>
      </c>
      <c r="I45" s="64"/>
      <c r="J45" s="64"/>
      <c r="K45" s="64"/>
      <c r="L45" s="133" t="s">
        <v>738</v>
      </c>
      <c r="M45" s="127" t="s">
        <v>745</v>
      </c>
      <c r="N45" s="127" t="s">
        <v>116</v>
      </c>
      <c r="O45" s="127" t="s">
        <v>713</v>
      </c>
      <c r="P45" t="str">
        <f>RIGHT(S45,LEN(S45)-3)</f>
        <v>NGA</v>
      </c>
      <c r="Q45" s="106" t="s">
        <v>806</v>
      </c>
      <c r="R45">
        <v>1</v>
      </c>
      <c r="S45" s="230" t="str">
        <f>Commodities!$C$18</f>
        <v>RESNGA</v>
      </c>
      <c r="T45" t="str">
        <f>VLOOKUP(S45,Commodities!$C$18:$R$34,16,FALSE)</f>
        <v>Natural Gas</v>
      </c>
    </row>
    <row r="46" spans="2:20" ht="14">
      <c r="B46" s="69"/>
      <c r="C46" s="69"/>
      <c r="D46" s="68" t="str">
        <f t="shared" si="1"/>
        <v>RHTUDDSLE1</v>
      </c>
      <c r="E46" s="86" t="str">
        <f t="shared" si="0"/>
        <v>Residential Heating Technology Urban Detached - Diesel - Existing 1</v>
      </c>
      <c r="F46" s="68" t="s">
        <v>44</v>
      </c>
      <c r="G46" s="68" t="s">
        <v>65</v>
      </c>
      <c r="H46" s="79" t="s">
        <v>112</v>
      </c>
      <c r="I46" s="64"/>
      <c r="J46" s="64"/>
      <c r="K46" s="64"/>
      <c r="L46" s="133" t="s">
        <v>738</v>
      </c>
      <c r="M46" s="127" t="s">
        <v>745</v>
      </c>
      <c r="N46" s="127" t="s">
        <v>116</v>
      </c>
      <c r="O46" s="127" t="s">
        <v>713</v>
      </c>
      <c r="P46" t="str">
        <f t="shared" ref="P46:P64" si="3">RIGHT(S46,LEN(S46)-3)</f>
        <v>DSL</v>
      </c>
      <c r="Q46" s="106" t="s">
        <v>806</v>
      </c>
      <c r="R46">
        <v>1</v>
      </c>
      <c r="S46" s="230" t="str">
        <f>Commodities!$C$20</f>
        <v>RESDSL</v>
      </c>
      <c r="T46" t="str">
        <f>VLOOKUP(S46,Commodities!$C$18:$R$34,16,FALSE)</f>
        <v>Diesel</v>
      </c>
    </row>
    <row r="47" spans="2:20" ht="14">
      <c r="B47" s="69"/>
      <c r="C47" s="69"/>
      <c r="D47" s="68" t="str">
        <f t="shared" si="1"/>
        <v>RHTUDWPEE1</v>
      </c>
      <c r="E47" s="148" t="str">
        <f t="shared" si="0"/>
        <v>Residential Heating Technology Urban Detached - Wood pellets - Existing 1</v>
      </c>
      <c r="F47" s="68" t="s">
        <v>44</v>
      </c>
      <c r="G47" s="68" t="s">
        <v>65</v>
      </c>
      <c r="H47" s="79" t="s">
        <v>112</v>
      </c>
      <c r="I47" s="64"/>
      <c r="J47" s="64"/>
      <c r="K47" s="64"/>
      <c r="L47" s="133" t="s">
        <v>738</v>
      </c>
      <c r="M47" s="127" t="s">
        <v>745</v>
      </c>
      <c r="N47" s="127" t="s">
        <v>116</v>
      </c>
      <c r="O47" s="127" t="s">
        <v>713</v>
      </c>
      <c r="P47" t="str">
        <f t="shared" si="3"/>
        <v>WPE</v>
      </c>
      <c r="Q47" s="106" t="s">
        <v>806</v>
      </c>
      <c r="R47">
        <v>1</v>
      </c>
      <c r="S47" s="230" t="str">
        <f>Commodities!$C$22</f>
        <v>RESWPE</v>
      </c>
      <c r="T47" t="str">
        <f>VLOOKUP(S47,Commodities!$C$18:$R$34,16,FALSE)</f>
        <v>Wood pellets</v>
      </c>
    </row>
    <row r="48" spans="2:20" ht="14">
      <c r="B48" s="69"/>
      <c r="C48" s="69"/>
      <c r="D48" s="68" t="str">
        <f t="shared" si="1"/>
        <v>RHTUDFIWE1</v>
      </c>
      <c r="E48" s="148" t="str">
        <f t="shared" si="0"/>
        <v>Residential Heating Technology Urban Detached - Fire wood - Existing 1</v>
      </c>
      <c r="F48" s="68" t="s">
        <v>44</v>
      </c>
      <c r="G48" s="68" t="s">
        <v>65</v>
      </c>
      <c r="H48" s="79" t="s">
        <v>112</v>
      </c>
      <c r="I48" s="64"/>
      <c r="J48" s="64"/>
      <c r="K48" s="64"/>
      <c r="L48" s="133" t="s">
        <v>738</v>
      </c>
      <c r="M48" s="127" t="s">
        <v>745</v>
      </c>
      <c r="N48" s="127" t="s">
        <v>116</v>
      </c>
      <c r="O48" s="127" t="s">
        <v>713</v>
      </c>
      <c r="P48" t="str">
        <f t="shared" si="3"/>
        <v>FIW</v>
      </c>
      <c r="Q48" s="106" t="s">
        <v>806</v>
      </c>
      <c r="R48">
        <v>1</v>
      </c>
      <c r="S48" s="230" t="str">
        <f>Commodities!$C$23</f>
        <v>RESFIW</v>
      </c>
      <c r="T48" t="str">
        <f>VLOOKUP(S48,Commodities!$C$18:$R$34,16,FALSE)</f>
        <v>Fire wood</v>
      </c>
    </row>
    <row r="49" spans="2:20" ht="14">
      <c r="B49" s="69"/>
      <c r="C49" s="69"/>
      <c r="D49" s="68" t="str">
        <f t="shared" si="1"/>
        <v>RHTUDSTRE1</v>
      </c>
      <c r="E49" s="86" t="str">
        <f t="shared" si="0"/>
        <v>Residential Heating Technology Urban Detached - Straw - Existing 1</v>
      </c>
      <c r="F49" s="68" t="s">
        <v>44</v>
      </c>
      <c r="G49" s="68" t="s">
        <v>65</v>
      </c>
      <c r="H49" s="79" t="s">
        <v>112</v>
      </c>
      <c r="I49" s="64"/>
      <c r="J49" s="64"/>
      <c r="K49" s="64"/>
      <c r="L49" s="133" t="s">
        <v>738</v>
      </c>
      <c r="M49" s="127" t="s">
        <v>745</v>
      </c>
      <c r="N49" s="127" t="s">
        <v>116</v>
      </c>
      <c r="O49" s="127" t="s">
        <v>713</v>
      </c>
      <c r="P49" t="str">
        <f t="shared" si="3"/>
        <v>STR</v>
      </c>
      <c r="Q49" s="106" t="s">
        <v>806</v>
      </c>
      <c r="R49">
        <v>1</v>
      </c>
      <c r="S49" s="230" t="str">
        <f>Commodities!$C$24</f>
        <v>RESSTR</v>
      </c>
      <c r="T49" t="str">
        <f>VLOOKUP(S49,Commodities!$C$18:$R$34,16,FALSE)</f>
        <v>Straw</v>
      </c>
    </row>
    <row r="50" spans="2:20" ht="14">
      <c r="B50" s="69"/>
      <c r="C50" s="69"/>
      <c r="D50" s="68" t="str">
        <f t="shared" si="1"/>
        <v>RHTUDSOLE1</v>
      </c>
      <c r="E50" s="87" t="str">
        <f t="shared" si="0"/>
        <v>Residential Heating Technology Urban Detached - Solar - Existing 1</v>
      </c>
      <c r="F50" s="68" t="s">
        <v>44</v>
      </c>
      <c r="G50" s="68" t="s">
        <v>65</v>
      </c>
      <c r="H50" s="79" t="s">
        <v>112</v>
      </c>
      <c r="I50" s="64"/>
      <c r="J50" s="64"/>
      <c r="K50" s="64"/>
      <c r="L50" s="133" t="s">
        <v>738</v>
      </c>
      <c r="M50" s="127" t="s">
        <v>745</v>
      </c>
      <c r="N50" s="127" t="s">
        <v>116</v>
      </c>
      <c r="O50" s="127" t="s">
        <v>713</v>
      </c>
      <c r="P50" t="str">
        <f t="shared" si="3"/>
        <v>SOL</v>
      </c>
      <c r="Q50" s="106" t="s">
        <v>806</v>
      </c>
      <c r="R50">
        <v>1</v>
      </c>
      <c r="S50" s="230" t="str">
        <f>Commodities!$C$26</f>
        <v>RESSOL</v>
      </c>
      <c r="T50" t="str">
        <f>VLOOKUP(S50,Commodities!$C$18:$R$34,16,FALSE)</f>
        <v>Solar</v>
      </c>
    </row>
    <row r="51" spans="2:20" ht="14">
      <c r="B51" s="69"/>
      <c r="C51" s="69"/>
      <c r="D51" s="68" t="str">
        <f t="shared" si="1"/>
        <v>RHTUDELCHE1</v>
      </c>
      <c r="E51" s="87" t="str">
        <f t="shared" si="0"/>
        <v>Residential Heating Technology Urban Detached - Electricity Heating - Existing 1</v>
      </c>
      <c r="F51" s="68" t="s">
        <v>44</v>
      </c>
      <c r="G51" s="68" t="s">
        <v>65</v>
      </c>
      <c r="H51" s="79" t="s">
        <v>112</v>
      </c>
      <c r="I51" s="64"/>
      <c r="J51" s="64"/>
      <c r="K51" s="64"/>
      <c r="L51" s="133" t="s">
        <v>738</v>
      </c>
      <c r="M51" s="127" t="s">
        <v>745</v>
      </c>
      <c r="N51" s="127" t="s">
        <v>116</v>
      </c>
      <c r="O51" s="127" t="s">
        <v>713</v>
      </c>
      <c r="P51" t="str">
        <f t="shared" si="3"/>
        <v>ELCH</v>
      </c>
      <c r="Q51" s="106" t="s">
        <v>806</v>
      </c>
      <c r="R51">
        <v>1</v>
      </c>
      <c r="S51" s="230" t="str">
        <f>Commodities!$C$27</f>
        <v>RESELCH</v>
      </c>
      <c r="T51" t="str">
        <f>VLOOKUP(S51,Commodities!$C$18:$R$34,16,FALSE)</f>
        <v>Electricity Heating</v>
      </c>
    </row>
    <row r="52" spans="2:20" ht="14">
      <c r="B52" s="69"/>
      <c r="C52" s="69"/>
      <c r="D52" s="68" t="str">
        <f t="shared" si="1"/>
        <v>RHTUDELCHE2</v>
      </c>
      <c r="E52" s="87" t="str">
        <f t="shared" si="0"/>
        <v>Residential Heating Technology Urban Detached - Electricity Heating - Existing 2</v>
      </c>
      <c r="F52" s="68" t="s">
        <v>44</v>
      </c>
      <c r="G52" s="68" t="s">
        <v>65</v>
      </c>
      <c r="H52" s="79" t="s">
        <v>112</v>
      </c>
      <c r="I52" s="64"/>
      <c r="J52" s="64"/>
      <c r="K52" s="64"/>
      <c r="L52" s="133" t="s">
        <v>738</v>
      </c>
      <c r="M52" s="127" t="s">
        <v>745</v>
      </c>
      <c r="N52" s="127" t="s">
        <v>116</v>
      </c>
      <c r="O52" s="127" t="s">
        <v>713</v>
      </c>
      <c r="P52" t="str">
        <f t="shared" si="3"/>
        <v>ELCH</v>
      </c>
      <c r="Q52" s="106" t="s">
        <v>806</v>
      </c>
      <c r="R52">
        <v>2</v>
      </c>
      <c r="S52" s="230" t="s">
        <v>142</v>
      </c>
      <c r="T52" t="str">
        <f>VLOOKUP(S52,Commodities!$C$18:$R$34,16,FALSE)</f>
        <v>Electricity Heating</v>
      </c>
    </row>
    <row r="53" spans="2:20" ht="14">
      <c r="B53" s="78"/>
      <c r="C53" s="78"/>
      <c r="D53" s="68" t="str">
        <f t="shared" si="1"/>
        <v>RHTUDHCEE1</v>
      </c>
      <c r="E53" s="86" t="str">
        <f t="shared" si="0"/>
        <v>Residential Heating Technology Urban Detached - District heating Central - Existing 1</v>
      </c>
      <c r="F53" s="68" t="s">
        <v>44</v>
      </c>
      <c r="G53" s="68" t="s">
        <v>65</v>
      </c>
      <c r="H53" s="79" t="s">
        <v>112</v>
      </c>
      <c r="I53" s="82"/>
      <c r="J53" s="77"/>
      <c r="K53" s="77"/>
      <c r="L53" s="133" t="s">
        <v>738</v>
      </c>
      <c r="M53" s="127" t="s">
        <v>745</v>
      </c>
      <c r="N53" s="127" t="s">
        <v>116</v>
      </c>
      <c r="O53" s="127" t="s">
        <v>713</v>
      </c>
      <c r="P53" t="str">
        <f t="shared" si="3"/>
        <v>HCE</v>
      </c>
      <c r="Q53" s="106" t="s">
        <v>806</v>
      </c>
      <c r="R53">
        <v>1</v>
      </c>
      <c r="S53" s="230" t="str">
        <f>Commodities!$C$30</f>
        <v>RESHCE</v>
      </c>
      <c r="T53" t="str">
        <f>VLOOKUP(S53,Commodities!$C$18:$R$34,16,FALSE)</f>
        <v>District heating Central</v>
      </c>
    </row>
    <row r="54" spans="2:20" ht="14">
      <c r="B54" s="72"/>
      <c r="C54" s="72"/>
      <c r="D54" s="71" t="str">
        <f t="shared" si="1"/>
        <v>RHTUDLPGE1</v>
      </c>
      <c r="E54" s="88" t="str">
        <f t="shared" si="0"/>
        <v>Residential Heating Technology Urban Detached - LPG - Existing 1</v>
      </c>
      <c r="F54" s="71" t="s">
        <v>44</v>
      </c>
      <c r="G54" s="71" t="s">
        <v>65</v>
      </c>
      <c r="H54" s="75" t="s">
        <v>112</v>
      </c>
      <c r="I54" s="84"/>
      <c r="J54" s="70"/>
      <c r="K54" s="77"/>
      <c r="L54" s="133" t="s">
        <v>738</v>
      </c>
      <c r="M54" s="127" t="s">
        <v>745</v>
      </c>
      <c r="N54" s="127" t="s">
        <v>116</v>
      </c>
      <c r="O54" s="127" t="s">
        <v>713</v>
      </c>
      <c r="P54" t="str">
        <f t="shared" si="3"/>
        <v>LPG</v>
      </c>
      <c r="Q54" s="106" t="s">
        <v>806</v>
      </c>
      <c r="R54">
        <v>1</v>
      </c>
      <c r="S54" s="257" t="str">
        <f>Commodities!$C$19</f>
        <v>RESLPG</v>
      </c>
      <c r="T54" t="str">
        <f>VLOOKUP(S54,Commodities!$C$18:$R$34,16,FALSE)</f>
        <v>LPG</v>
      </c>
    </row>
    <row r="55" spans="2:20" ht="14">
      <c r="B55" s="69"/>
      <c r="C55" s="69"/>
      <c r="D55" s="68" t="str">
        <f t="shared" si="1"/>
        <v>RHTRDNGAE1</v>
      </c>
      <c r="E55" s="86" t="str">
        <f t="shared" si="0"/>
        <v>Residential Heating Technology Rural Detached - Natural Gas - Existing 1</v>
      </c>
      <c r="F55" s="68" t="s">
        <v>44</v>
      </c>
      <c r="G55" s="68" t="s">
        <v>65</v>
      </c>
      <c r="H55" s="79" t="s">
        <v>112</v>
      </c>
      <c r="I55" s="64"/>
      <c r="J55" s="64"/>
      <c r="K55" s="64"/>
      <c r="L55" s="133" t="s">
        <v>738</v>
      </c>
      <c r="M55" s="127" t="s">
        <v>745</v>
      </c>
      <c r="N55" s="127" t="s">
        <v>116</v>
      </c>
      <c r="O55" s="127" t="s">
        <v>714</v>
      </c>
      <c r="P55" t="str">
        <f t="shared" si="3"/>
        <v>NGA</v>
      </c>
      <c r="Q55" s="106" t="s">
        <v>806</v>
      </c>
      <c r="R55">
        <v>1</v>
      </c>
      <c r="S55" s="230" t="str">
        <f>Commodities!$C$18</f>
        <v>RESNGA</v>
      </c>
      <c r="T55" t="str">
        <f>VLOOKUP(S55,Commodities!$C$18:$R$34,16,FALSE)</f>
        <v>Natural Gas</v>
      </c>
    </row>
    <row r="56" spans="2:20" ht="14">
      <c r="B56" s="69"/>
      <c r="C56" s="69"/>
      <c r="D56" s="68" t="str">
        <f t="shared" si="1"/>
        <v>RHTRDDSLE1</v>
      </c>
      <c r="E56" s="86" t="str">
        <f t="shared" si="0"/>
        <v>Residential Heating Technology Rural Detached - Diesel - Existing 1</v>
      </c>
      <c r="F56" s="68" t="s">
        <v>44</v>
      </c>
      <c r="G56" s="68" t="s">
        <v>65</v>
      </c>
      <c r="H56" s="79" t="s">
        <v>112</v>
      </c>
      <c r="I56" s="64"/>
      <c r="J56" s="64"/>
      <c r="K56" s="64"/>
      <c r="L56" s="133" t="s">
        <v>738</v>
      </c>
      <c r="M56" s="127" t="s">
        <v>745</v>
      </c>
      <c r="N56" s="127" t="s">
        <v>116</v>
      </c>
      <c r="O56" s="127" t="s">
        <v>714</v>
      </c>
      <c r="P56" t="str">
        <f t="shared" si="3"/>
        <v>DSL</v>
      </c>
      <c r="Q56" s="106" t="s">
        <v>806</v>
      </c>
      <c r="R56">
        <v>1</v>
      </c>
      <c r="S56" s="230" t="str">
        <f>Commodities!$C$20</f>
        <v>RESDSL</v>
      </c>
      <c r="T56" t="str">
        <f>VLOOKUP(S56,Commodities!$C$18:$R$34,16,FALSE)</f>
        <v>Diesel</v>
      </c>
    </row>
    <row r="57" spans="2:20" ht="14">
      <c r="B57" s="69"/>
      <c r="C57" s="69"/>
      <c r="D57" s="68" t="str">
        <f t="shared" si="1"/>
        <v>RHTRDWPEE1</v>
      </c>
      <c r="E57" s="148" t="str">
        <f t="shared" si="0"/>
        <v>Residential Heating Technology Rural Detached - Wood pellets - Existing 1</v>
      </c>
      <c r="F57" s="68" t="s">
        <v>44</v>
      </c>
      <c r="G57" s="68" t="s">
        <v>65</v>
      </c>
      <c r="H57" s="79" t="s">
        <v>112</v>
      </c>
      <c r="I57" s="64"/>
      <c r="J57" s="64"/>
      <c r="K57" s="64"/>
      <c r="L57" s="133" t="s">
        <v>738</v>
      </c>
      <c r="M57" s="127" t="s">
        <v>745</v>
      </c>
      <c r="N57" s="127" t="s">
        <v>116</v>
      </c>
      <c r="O57" s="127" t="s">
        <v>714</v>
      </c>
      <c r="P57" t="str">
        <f t="shared" si="3"/>
        <v>WPE</v>
      </c>
      <c r="Q57" s="106" t="s">
        <v>806</v>
      </c>
      <c r="R57">
        <v>1</v>
      </c>
      <c r="S57" s="230" t="str">
        <f>Commodities!$C$22</f>
        <v>RESWPE</v>
      </c>
      <c r="T57" t="str">
        <f>VLOOKUP(S57,Commodities!$C$18:$R$34,16,FALSE)</f>
        <v>Wood pellets</v>
      </c>
    </row>
    <row r="58" spans="2:20" ht="14">
      <c r="B58" s="69"/>
      <c r="C58" s="69"/>
      <c r="D58" s="68" t="str">
        <f t="shared" si="1"/>
        <v>RHTRDFIWE1</v>
      </c>
      <c r="E58" s="148" t="str">
        <f t="shared" si="0"/>
        <v>Residential Heating Technology Rural Detached - Fire wood - Existing 1</v>
      </c>
      <c r="F58" s="68" t="s">
        <v>44</v>
      </c>
      <c r="G58" s="68" t="s">
        <v>65</v>
      </c>
      <c r="H58" s="79" t="s">
        <v>112</v>
      </c>
      <c r="I58" s="64"/>
      <c r="J58" s="64"/>
      <c r="K58" s="64"/>
      <c r="L58" s="133" t="s">
        <v>738</v>
      </c>
      <c r="M58" s="127" t="s">
        <v>745</v>
      </c>
      <c r="N58" s="127" t="s">
        <v>116</v>
      </c>
      <c r="O58" s="127" t="s">
        <v>714</v>
      </c>
      <c r="P58" t="str">
        <f t="shared" si="3"/>
        <v>FIW</v>
      </c>
      <c r="Q58" s="106" t="s">
        <v>806</v>
      </c>
      <c r="R58">
        <v>1</v>
      </c>
      <c r="S58" s="230" t="str">
        <f>Commodities!$C$23</f>
        <v>RESFIW</v>
      </c>
      <c r="T58" t="str">
        <f>VLOOKUP(S58,Commodities!$C$18:$R$34,16,FALSE)</f>
        <v>Fire wood</v>
      </c>
    </row>
    <row r="59" spans="2:20" ht="14">
      <c r="B59" s="69"/>
      <c r="C59" s="69"/>
      <c r="D59" s="68" t="str">
        <f t="shared" si="1"/>
        <v>RHTRDSTRE1</v>
      </c>
      <c r="E59" s="86" t="str">
        <f t="shared" si="0"/>
        <v>Residential Heating Technology Rural Detached - Straw - Existing 1</v>
      </c>
      <c r="F59" s="68" t="s">
        <v>44</v>
      </c>
      <c r="G59" s="68" t="s">
        <v>65</v>
      </c>
      <c r="H59" s="79" t="s">
        <v>112</v>
      </c>
      <c r="I59" s="64"/>
      <c r="J59" s="64"/>
      <c r="K59" s="64"/>
      <c r="L59" s="133" t="s">
        <v>738</v>
      </c>
      <c r="M59" s="127" t="s">
        <v>745</v>
      </c>
      <c r="N59" s="127" t="s">
        <v>116</v>
      </c>
      <c r="O59" s="127" t="s">
        <v>714</v>
      </c>
      <c r="P59" t="str">
        <f t="shared" si="3"/>
        <v>STR</v>
      </c>
      <c r="Q59" s="106" t="s">
        <v>806</v>
      </c>
      <c r="R59">
        <v>1</v>
      </c>
      <c r="S59" s="230" t="str">
        <f>Commodities!$C$24</f>
        <v>RESSTR</v>
      </c>
      <c r="T59" t="str">
        <f>VLOOKUP(S59,Commodities!$C$18:$R$34,16,FALSE)</f>
        <v>Straw</v>
      </c>
    </row>
    <row r="60" spans="2:20" ht="14">
      <c r="B60" s="69"/>
      <c r="C60" s="69"/>
      <c r="D60" s="68" t="str">
        <f t="shared" si="1"/>
        <v>RHTRDSOLE1</v>
      </c>
      <c r="E60" s="86" t="str">
        <f t="shared" si="0"/>
        <v>Residential Heating Technology Rural Detached - Solar - Existing 1</v>
      </c>
      <c r="F60" s="68" t="s">
        <v>44</v>
      </c>
      <c r="G60" s="68" t="s">
        <v>65</v>
      </c>
      <c r="H60" s="79" t="s">
        <v>112</v>
      </c>
      <c r="I60" s="64"/>
      <c r="J60" s="64"/>
      <c r="K60" s="64"/>
      <c r="L60" s="133" t="s">
        <v>738</v>
      </c>
      <c r="M60" s="127" t="s">
        <v>745</v>
      </c>
      <c r="N60" s="127" t="s">
        <v>116</v>
      </c>
      <c r="O60" s="127" t="s">
        <v>714</v>
      </c>
      <c r="P60" t="str">
        <f t="shared" si="3"/>
        <v>SOL</v>
      </c>
      <c r="Q60" s="106" t="s">
        <v>806</v>
      </c>
      <c r="R60">
        <v>1</v>
      </c>
      <c r="S60" s="230" t="str">
        <f>Commodities!$C$26</f>
        <v>RESSOL</v>
      </c>
      <c r="T60" t="str">
        <f>VLOOKUP(S60,Commodities!$C$18:$R$34,16,FALSE)</f>
        <v>Solar</v>
      </c>
    </row>
    <row r="61" spans="2:20" ht="14">
      <c r="B61" s="69"/>
      <c r="C61" s="69"/>
      <c r="D61" s="68" t="str">
        <f t="shared" si="1"/>
        <v>RHTRDELCHE1</v>
      </c>
      <c r="E61" s="136" t="str">
        <f t="shared" si="0"/>
        <v>Residential Heating Technology Rural Detached - Electricity Heating - Existing 1</v>
      </c>
      <c r="F61" s="68" t="s">
        <v>44</v>
      </c>
      <c r="G61" s="68" t="s">
        <v>65</v>
      </c>
      <c r="H61" s="79" t="s">
        <v>112</v>
      </c>
      <c r="I61" s="64"/>
      <c r="J61" s="64"/>
      <c r="K61" s="64"/>
      <c r="L61" s="133" t="s">
        <v>738</v>
      </c>
      <c r="M61" s="127" t="s">
        <v>745</v>
      </c>
      <c r="N61" s="127" t="s">
        <v>116</v>
      </c>
      <c r="O61" s="127" t="s">
        <v>714</v>
      </c>
      <c r="P61" t="str">
        <f t="shared" si="3"/>
        <v>ELCH</v>
      </c>
      <c r="Q61" s="106" t="s">
        <v>806</v>
      </c>
      <c r="R61">
        <v>1</v>
      </c>
      <c r="S61" s="230" t="str">
        <f>Commodities!$C$27</f>
        <v>RESELCH</v>
      </c>
      <c r="T61" t="str">
        <f>VLOOKUP(S61,Commodities!$C$18:$R$34,16,FALSE)</f>
        <v>Electricity Heating</v>
      </c>
    </row>
    <row r="62" spans="2:20" ht="14">
      <c r="B62" s="69"/>
      <c r="C62" s="69"/>
      <c r="D62" s="68" t="str">
        <f t="shared" si="1"/>
        <v>RHTRDELCHE2</v>
      </c>
      <c r="E62" s="87" t="str">
        <f t="shared" si="0"/>
        <v>Residential Heating Technology Rural Detached - Electricity Heating - Existing 2</v>
      </c>
      <c r="F62" s="68" t="s">
        <v>44</v>
      </c>
      <c r="G62" s="68" t="s">
        <v>65</v>
      </c>
      <c r="H62" s="79" t="s">
        <v>112</v>
      </c>
      <c r="I62" s="64"/>
      <c r="J62" s="64"/>
      <c r="K62" s="64"/>
      <c r="L62" s="133" t="s">
        <v>738</v>
      </c>
      <c r="M62" s="127" t="s">
        <v>745</v>
      </c>
      <c r="N62" s="127" t="s">
        <v>116</v>
      </c>
      <c r="O62" s="127" t="s">
        <v>714</v>
      </c>
      <c r="P62" t="str">
        <f t="shared" si="3"/>
        <v>ELCH</v>
      </c>
      <c r="Q62" s="106" t="s">
        <v>806</v>
      </c>
      <c r="R62">
        <v>2</v>
      </c>
      <c r="S62" s="230" t="s">
        <v>142</v>
      </c>
      <c r="T62" t="str">
        <f>VLOOKUP(S62,Commodities!$C$18:$R$34,16,FALSE)</f>
        <v>Electricity Heating</v>
      </c>
    </row>
    <row r="63" spans="2:20" ht="14">
      <c r="B63" s="69"/>
      <c r="C63" s="69"/>
      <c r="D63" s="68" t="str">
        <f t="shared" si="1"/>
        <v>RHTRDHCEE1</v>
      </c>
      <c r="E63" s="86" t="str">
        <f t="shared" si="0"/>
        <v>Residential Heating Technology Rural Detached - District heating Central - Existing 1</v>
      </c>
      <c r="F63" s="68" t="s">
        <v>44</v>
      </c>
      <c r="G63" s="68" t="s">
        <v>65</v>
      </c>
      <c r="H63" s="79" t="s">
        <v>112</v>
      </c>
      <c r="I63" s="81"/>
      <c r="J63" s="64"/>
      <c r="K63" s="64"/>
      <c r="L63" s="133" t="s">
        <v>738</v>
      </c>
      <c r="M63" s="127" t="s">
        <v>745</v>
      </c>
      <c r="N63" s="127" t="s">
        <v>116</v>
      </c>
      <c r="O63" s="127" t="s">
        <v>714</v>
      </c>
      <c r="P63" t="str">
        <f t="shared" si="3"/>
        <v>HCE</v>
      </c>
      <c r="Q63" s="106" t="s">
        <v>806</v>
      </c>
      <c r="R63">
        <v>1</v>
      </c>
      <c r="S63" s="230" t="str">
        <f>Commodities!$C$30</f>
        <v>RESHCE</v>
      </c>
      <c r="T63" t="str">
        <f>VLOOKUP(S63,Commodities!$C$18:$R$34,16,FALSE)</f>
        <v>District heating Central</v>
      </c>
    </row>
    <row r="64" spans="2:20" ht="14">
      <c r="B64" s="72"/>
      <c r="C64" s="72"/>
      <c r="D64" s="71" t="str">
        <f t="shared" si="1"/>
        <v>RHTRDLPGE1</v>
      </c>
      <c r="E64" s="88" t="str">
        <f t="shared" si="0"/>
        <v>Residential Heating Technology Rural Detached - LPG - Existing 1</v>
      </c>
      <c r="F64" s="71" t="s">
        <v>44</v>
      </c>
      <c r="G64" s="71" t="s">
        <v>65</v>
      </c>
      <c r="H64" s="75" t="s">
        <v>112</v>
      </c>
      <c r="I64" s="84"/>
      <c r="J64" s="70"/>
      <c r="K64" s="77"/>
      <c r="L64" s="133" t="s">
        <v>738</v>
      </c>
      <c r="M64" s="127" t="s">
        <v>745</v>
      </c>
      <c r="N64" s="127" t="s">
        <v>116</v>
      </c>
      <c r="O64" s="127" t="s">
        <v>714</v>
      </c>
      <c r="P64" t="str">
        <f t="shared" si="3"/>
        <v>LPG</v>
      </c>
      <c r="Q64" s="106" t="s">
        <v>806</v>
      </c>
      <c r="R64">
        <v>1</v>
      </c>
      <c r="S64" s="257" t="str">
        <f>Commodities!$C$19</f>
        <v>RESLPG</v>
      </c>
      <c r="T64" t="str">
        <f>VLOOKUP(S64,Commodities!$C$18:$R$34,16,FALSE)</f>
        <v>LPG</v>
      </c>
    </row>
    <row r="65" spans="2:20" ht="14">
      <c r="B65" s="85"/>
      <c r="C65" s="69"/>
      <c r="D65" s="133" t="str">
        <f t="shared" si="1"/>
        <v>RHTUMNGAE1</v>
      </c>
      <c r="E65" s="86" t="str">
        <f t="shared" si="0"/>
        <v>Residential Heating Technology Urban Multi - Natural Gas - Existing 1</v>
      </c>
      <c r="F65" s="68" t="s">
        <v>44</v>
      </c>
      <c r="G65" s="68" t="s">
        <v>65</v>
      </c>
      <c r="H65" s="79" t="s">
        <v>112</v>
      </c>
      <c r="I65" s="64"/>
      <c r="J65" s="64"/>
      <c r="K65" s="64"/>
      <c r="L65" s="133" t="s">
        <v>738</v>
      </c>
      <c r="M65" s="127" t="s">
        <v>745</v>
      </c>
      <c r="N65" s="127" t="s">
        <v>720</v>
      </c>
      <c r="O65" s="127" t="s">
        <v>713</v>
      </c>
      <c r="P65" t="str">
        <f>RIGHT(S65,LEN(S65)-3)</f>
        <v>NGA</v>
      </c>
      <c r="Q65" s="106" t="s">
        <v>806</v>
      </c>
      <c r="R65">
        <v>1</v>
      </c>
      <c r="S65" s="230" t="str">
        <f>Commodities!$C$18</f>
        <v>RESNGA</v>
      </c>
      <c r="T65" t="str">
        <f>VLOOKUP(S65,Commodities!$C$18:$R$34,16,FALSE)</f>
        <v>Natural Gas</v>
      </c>
    </row>
    <row r="66" spans="2:20" ht="14">
      <c r="B66" s="69"/>
      <c r="C66" s="69"/>
      <c r="D66" s="68" t="str">
        <f t="shared" si="1"/>
        <v>RHTUMDSLE1</v>
      </c>
      <c r="E66" s="86" t="str">
        <f t="shared" si="0"/>
        <v>Residential Heating Technology Urban Multi - Diesel - Existing 1</v>
      </c>
      <c r="F66" s="68" t="s">
        <v>44</v>
      </c>
      <c r="G66" s="68" t="s">
        <v>65</v>
      </c>
      <c r="H66" s="79" t="s">
        <v>112</v>
      </c>
      <c r="I66" s="64"/>
      <c r="J66" s="64"/>
      <c r="K66" s="64"/>
      <c r="L66" s="133" t="s">
        <v>738</v>
      </c>
      <c r="M66" s="127" t="s">
        <v>745</v>
      </c>
      <c r="N66" s="127" t="s">
        <v>720</v>
      </c>
      <c r="O66" s="127" t="s">
        <v>713</v>
      </c>
      <c r="P66" t="str">
        <f t="shared" ref="P66:P84" si="4">RIGHT(S66,LEN(S66)-3)</f>
        <v>DSL</v>
      </c>
      <c r="Q66" s="106" t="s">
        <v>806</v>
      </c>
      <c r="R66">
        <v>1</v>
      </c>
      <c r="S66" s="230" t="str">
        <f>Commodities!$C$20</f>
        <v>RESDSL</v>
      </c>
      <c r="T66" t="str">
        <f>VLOOKUP(S66,Commodities!$C$18:$R$34,16,FALSE)</f>
        <v>Diesel</v>
      </c>
    </row>
    <row r="67" spans="2:20" ht="14">
      <c r="B67" s="69"/>
      <c r="C67" s="69"/>
      <c r="D67" s="68" t="str">
        <f t="shared" si="1"/>
        <v>RHTUMWPEE1</v>
      </c>
      <c r="E67" s="148" t="str">
        <f t="shared" si="0"/>
        <v>Residential Heating Technology Urban Multi - Wood pellets - Existing 1</v>
      </c>
      <c r="F67" s="68" t="s">
        <v>44</v>
      </c>
      <c r="G67" s="68" t="s">
        <v>65</v>
      </c>
      <c r="H67" s="79" t="s">
        <v>112</v>
      </c>
      <c r="I67" s="64"/>
      <c r="J67" s="64"/>
      <c r="K67" s="64"/>
      <c r="L67" s="133" t="s">
        <v>738</v>
      </c>
      <c r="M67" s="127" t="s">
        <v>745</v>
      </c>
      <c r="N67" s="127" t="s">
        <v>720</v>
      </c>
      <c r="O67" s="127" t="s">
        <v>713</v>
      </c>
      <c r="P67" t="str">
        <f t="shared" si="4"/>
        <v>WPE</v>
      </c>
      <c r="Q67" s="106" t="s">
        <v>806</v>
      </c>
      <c r="R67">
        <v>1</v>
      </c>
      <c r="S67" s="230" t="str">
        <f>Commodities!$C$22</f>
        <v>RESWPE</v>
      </c>
      <c r="T67" t="str">
        <f>VLOOKUP(S67,Commodities!$C$18:$R$34,16,FALSE)</f>
        <v>Wood pellets</v>
      </c>
    </row>
    <row r="68" spans="2:20" ht="14">
      <c r="B68" s="69"/>
      <c r="C68" s="69"/>
      <c r="D68" s="68" t="str">
        <f t="shared" si="1"/>
        <v>RHTUMFIWE1</v>
      </c>
      <c r="E68" s="148" t="str">
        <f t="shared" si="0"/>
        <v>Residential Heating Technology Urban Multi - Fire wood - Existing 1</v>
      </c>
      <c r="F68" s="68" t="s">
        <v>44</v>
      </c>
      <c r="G68" s="68" t="s">
        <v>65</v>
      </c>
      <c r="H68" s="79" t="s">
        <v>112</v>
      </c>
      <c r="I68" s="64"/>
      <c r="J68" s="64"/>
      <c r="K68" s="64"/>
      <c r="L68" s="133" t="s">
        <v>738</v>
      </c>
      <c r="M68" s="127" t="s">
        <v>745</v>
      </c>
      <c r="N68" s="127" t="s">
        <v>720</v>
      </c>
      <c r="O68" s="127" t="s">
        <v>713</v>
      </c>
      <c r="P68" t="str">
        <f t="shared" si="4"/>
        <v>FIW</v>
      </c>
      <c r="Q68" s="106" t="s">
        <v>806</v>
      </c>
      <c r="R68">
        <v>1</v>
      </c>
      <c r="S68" s="230" t="str">
        <f>Commodities!$C$23</f>
        <v>RESFIW</v>
      </c>
      <c r="T68" t="str">
        <f>VLOOKUP(S68,Commodities!$C$18:$R$34,16,FALSE)</f>
        <v>Fire wood</v>
      </c>
    </row>
    <row r="69" spans="2:20" ht="14">
      <c r="B69" s="69"/>
      <c r="C69" s="69"/>
      <c r="D69" s="68" t="str">
        <f t="shared" si="1"/>
        <v>RHTUMSTRE1</v>
      </c>
      <c r="E69" s="86" t="str">
        <f t="shared" si="0"/>
        <v>Residential Heating Technology Urban Multi - Straw - Existing 1</v>
      </c>
      <c r="F69" s="68" t="s">
        <v>44</v>
      </c>
      <c r="G69" s="68" t="s">
        <v>65</v>
      </c>
      <c r="H69" s="79" t="s">
        <v>112</v>
      </c>
      <c r="I69" s="64"/>
      <c r="J69" s="64"/>
      <c r="K69" s="64"/>
      <c r="L69" s="133" t="s">
        <v>738</v>
      </c>
      <c r="M69" s="127" t="s">
        <v>745</v>
      </c>
      <c r="N69" s="127" t="s">
        <v>720</v>
      </c>
      <c r="O69" s="127" t="s">
        <v>713</v>
      </c>
      <c r="P69" t="str">
        <f t="shared" si="4"/>
        <v>STR</v>
      </c>
      <c r="Q69" s="106" t="s">
        <v>806</v>
      </c>
      <c r="R69">
        <v>1</v>
      </c>
      <c r="S69" s="230" t="str">
        <f>Commodities!$C$24</f>
        <v>RESSTR</v>
      </c>
      <c r="T69" t="str">
        <f>VLOOKUP(S69,Commodities!$C$18:$R$34,16,FALSE)</f>
        <v>Straw</v>
      </c>
    </row>
    <row r="70" spans="2:20" ht="14">
      <c r="B70" s="69"/>
      <c r="C70" s="69"/>
      <c r="D70" s="68" t="str">
        <f t="shared" si="1"/>
        <v>RHTUMSOLE1</v>
      </c>
      <c r="E70" s="87" t="str">
        <f t="shared" si="0"/>
        <v>Residential Heating Technology Urban Multi - Solar - Existing 1</v>
      </c>
      <c r="F70" s="68" t="s">
        <v>44</v>
      </c>
      <c r="G70" s="68" t="s">
        <v>65</v>
      </c>
      <c r="H70" s="79" t="s">
        <v>112</v>
      </c>
      <c r="I70" s="64"/>
      <c r="J70" s="64"/>
      <c r="K70" s="64"/>
      <c r="L70" s="133" t="s">
        <v>738</v>
      </c>
      <c r="M70" s="127" t="s">
        <v>745</v>
      </c>
      <c r="N70" s="127" t="s">
        <v>720</v>
      </c>
      <c r="O70" s="127" t="s">
        <v>713</v>
      </c>
      <c r="P70" t="str">
        <f t="shared" si="4"/>
        <v>SOL</v>
      </c>
      <c r="Q70" s="106" t="s">
        <v>806</v>
      </c>
      <c r="R70">
        <v>1</v>
      </c>
      <c r="S70" s="230" t="str">
        <f>Commodities!$C$26</f>
        <v>RESSOL</v>
      </c>
      <c r="T70" t="str">
        <f>VLOOKUP(S70,Commodities!$C$18:$R$34,16,FALSE)</f>
        <v>Solar</v>
      </c>
    </row>
    <row r="71" spans="2:20" ht="14">
      <c r="B71" s="69"/>
      <c r="C71" s="69"/>
      <c r="D71" s="68" t="str">
        <f t="shared" si="1"/>
        <v>RHTUMELCHE1</v>
      </c>
      <c r="E71" s="87" t="str">
        <f t="shared" si="0"/>
        <v>Residential Heating Technology Urban Multi - Electricity Heating - Existing 1</v>
      </c>
      <c r="F71" s="68" t="s">
        <v>44</v>
      </c>
      <c r="G71" s="68" t="s">
        <v>65</v>
      </c>
      <c r="H71" s="79" t="s">
        <v>112</v>
      </c>
      <c r="I71" s="64"/>
      <c r="J71" s="64"/>
      <c r="K71" s="64"/>
      <c r="L71" s="133" t="s">
        <v>738</v>
      </c>
      <c r="M71" s="127" t="s">
        <v>745</v>
      </c>
      <c r="N71" s="127" t="s">
        <v>720</v>
      </c>
      <c r="O71" s="127" t="s">
        <v>713</v>
      </c>
      <c r="P71" t="str">
        <f t="shared" si="4"/>
        <v>ELCH</v>
      </c>
      <c r="Q71" s="106" t="s">
        <v>806</v>
      </c>
      <c r="R71">
        <v>1</v>
      </c>
      <c r="S71" s="230" t="str">
        <f>Commodities!$C$27</f>
        <v>RESELCH</v>
      </c>
      <c r="T71" t="str">
        <f>VLOOKUP(S71,Commodities!$C$18:$R$34,16,FALSE)</f>
        <v>Electricity Heating</v>
      </c>
    </row>
    <row r="72" spans="2:20" ht="14">
      <c r="B72" s="69"/>
      <c r="C72" s="69"/>
      <c r="D72" s="68" t="str">
        <f t="shared" si="1"/>
        <v>RHTUMELCHE2</v>
      </c>
      <c r="E72" s="87" t="str">
        <f t="shared" ref="E72:E84" si="5">$E$2&amp;" "&amp;L72&amp;" "&amp;M72&amp;" "&amp;O72&amp;" "&amp;N72&amp;" - "&amp;T72&amp;" - "&amp;Q72&amp;" "&amp;R72</f>
        <v>Residential Heating Technology Urban Multi - Electricity Heating - Existing 2</v>
      </c>
      <c r="F72" s="68" t="s">
        <v>44</v>
      </c>
      <c r="G72" s="68" t="s">
        <v>65</v>
      </c>
      <c r="H72" s="79" t="s">
        <v>112</v>
      </c>
      <c r="I72" s="64"/>
      <c r="J72" s="64"/>
      <c r="K72" s="64"/>
      <c r="L72" s="133" t="s">
        <v>738</v>
      </c>
      <c r="M72" s="127" t="s">
        <v>745</v>
      </c>
      <c r="N72" s="127" t="s">
        <v>720</v>
      </c>
      <c r="O72" s="127" t="s">
        <v>713</v>
      </c>
      <c r="P72" t="str">
        <f t="shared" si="4"/>
        <v>ELCH</v>
      </c>
      <c r="Q72" s="106" t="s">
        <v>806</v>
      </c>
      <c r="R72">
        <v>2</v>
      </c>
      <c r="S72" s="230" t="s">
        <v>142</v>
      </c>
      <c r="T72" t="str">
        <f>VLOOKUP(S72,Commodities!$C$18:$R$34,16,FALSE)</f>
        <v>Electricity Heating</v>
      </c>
    </row>
    <row r="73" spans="2:20" ht="14">
      <c r="B73" s="78"/>
      <c r="C73" s="78"/>
      <c r="D73" s="68" t="str">
        <f t="shared" ref="D73:D88" si="6">LEFT($D$2,1)&amp;LEFT(L73,1)&amp;LEFT(M73,1)&amp;LEFT(O73,1)&amp;LEFT(N73,1)&amp;P73&amp;LEFT(Q73,1)&amp;R73</f>
        <v>RHTUMHCEE1</v>
      </c>
      <c r="E73" s="86" t="str">
        <f t="shared" si="5"/>
        <v>Residential Heating Technology Urban Multi - District heating Central - Existing 1</v>
      </c>
      <c r="F73" s="68" t="s">
        <v>44</v>
      </c>
      <c r="G73" s="68" t="s">
        <v>65</v>
      </c>
      <c r="H73" s="79" t="s">
        <v>112</v>
      </c>
      <c r="I73" s="82"/>
      <c r="J73" s="77"/>
      <c r="K73" s="77"/>
      <c r="L73" s="133" t="s">
        <v>738</v>
      </c>
      <c r="M73" s="127" t="s">
        <v>745</v>
      </c>
      <c r="N73" s="127" t="s">
        <v>720</v>
      </c>
      <c r="O73" s="127" t="s">
        <v>713</v>
      </c>
      <c r="P73" t="str">
        <f t="shared" si="4"/>
        <v>HCE</v>
      </c>
      <c r="Q73" s="106" t="s">
        <v>806</v>
      </c>
      <c r="R73">
        <v>1</v>
      </c>
      <c r="S73" s="230" t="str">
        <f>Commodities!$C$30</f>
        <v>RESHCE</v>
      </c>
      <c r="T73" t="str">
        <f>VLOOKUP(S73,Commodities!$C$18:$R$34,16,FALSE)</f>
        <v>District heating Central</v>
      </c>
    </row>
    <row r="74" spans="2:20" ht="14">
      <c r="B74" s="72"/>
      <c r="C74" s="72"/>
      <c r="D74" s="71" t="str">
        <f t="shared" si="6"/>
        <v>RHTUMLPGE1</v>
      </c>
      <c r="E74" s="88" t="str">
        <f t="shared" si="5"/>
        <v>Residential Heating Technology Urban Multi - LPG - Existing 1</v>
      </c>
      <c r="F74" s="71" t="s">
        <v>44</v>
      </c>
      <c r="G74" s="71" t="s">
        <v>65</v>
      </c>
      <c r="H74" s="75" t="s">
        <v>112</v>
      </c>
      <c r="I74" s="84"/>
      <c r="J74" s="70"/>
      <c r="K74" s="77"/>
      <c r="L74" s="133" t="s">
        <v>738</v>
      </c>
      <c r="M74" s="127" t="s">
        <v>745</v>
      </c>
      <c r="N74" s="127" t="s">
        <v>720</v>
      </c>
      <c r="O74" s="127" t="s">
        <v>713</v>
      </c>
      <c r="P74" t="str">
        <f t="shared" si="4"/>
        <v>LPG</v>
      </c>
      <c r="Q74" s="106" t="s">
        <v>806</v>
      </c>
      <c r="R74">
        <v>1</v>
      </c>
      <c r="S74" s="257" t="str">
        <f>Commodities!$C$19</f>
        <v>RESLPG</v>
      </c>
      <c r="T74" t="str">
        <f>VLOOKUP(S74,Commodities!$C$18:$R$34,16,FALSE)</f>
        <v>LPG</v>
      </c>
    </row>
    <row r="75" spans="2:20" ht="14">
      <c r="B75" s="69"/>
      <c r="C75" s="69"/>
      <c r="D75" s="68" t="str">
        <f t="shared" si="6"/>
        <v>RHTRMNGAE1</v>
      </c>
      <c r="E75" s="86" t="str">
        <f t="shared" si="5"/>
        <v>Residential Heating Technology Rural Multi - Natural Gas - Existing 1</v>
      </c>
      <c r="F75" s="68" t="s">
        <v>44</v>
      </c>
      <c r="G75" s="68" t="s">
        <v>65</v>
      </c>
      <c r="H75" s="79" t="s">
        <v>112</v>
      </c>
      <c r="I75" s="64"/>
      <c r="J75" s="64"/>
      <c r="K75" s="64"/>
      <c r="L75" s="133" t="s">
        <v>738</v>
      </c>
      <c r="M75" s="127" t="s">
        <v>745</v>
      </c>
      <c r="N75" s="127" t="s">
        <v>720</v>
      </c>
      <c r="O75" s="127" t="s">
        <v>714</v>
      </c>
      <c r="P75" t="str">
        <f t="shared" si="4"/>
        <v>NGA</v>
      </c>
      <c r="Q75" s="106" t="s">
        <v>806</v>
      </c>
      <c r="R75">
        <v>1</v>
      </c>
      <c r="S75" s="230" t="str">
        <f>Commodities!$C$18</f>
        <v>RESNGA</v>
      </c>
      <c r="T75" t="str">
        <f>VLOOKUP(S75,Commodities!$C$18:$R$34,16,FALSE)</f>
        <v>Natural Gas</v>
      </c>
    </row>
    <row r="76" spans="2:20" ht="14">
      <c r="B76" s="69"/>
      <c r="C76" s="69"/>
      <c r="D76" s="68" t="str">
        <f t="shared" si="6"/>
        <v>RHTRMDSLE1</v>
      </c>
      <c r="E76" s="86" t="str">
        <f t="shared" si="5"/>
        <v>Residential Heating Technology Rural Multi - Diesel - Existing 1</v>
      </c>
      <c r="F76" s="68" t="s">
        <v>44</v>
      </c>
      <c r="G76" s="68" t="s">
        <v>65</v>
      </c>
      <c r="H76" s="79" t="s">
        <v>112</v>
      </c>
      <c r="I76" s="64"/>
      <c r="J76" s="64"/>
      <c r="K76" s="64"/>
      <c r="L76" s="133" t="s">
        <v>738</v>
      </c>
      <c r="M76" s="127" t="s">
        <v>745</v>
      </c>
      <c r="N76" s="127" t="s">
        <v>720</v>
      </c>
      <c r="O76" s="127" t="s">
        <v>714</v>
      </c>
      <c r="P76" t="str">
        <f t="shared" si="4"/>
        <v>DSL</v>
      </c>
      <c r="Q76" s="106" t="s">
        <v>806</v>
      </c>
      <c r="R76">
        <v>1</v>
      </c>
      <c r="S76" s="230" t="str">
        <f>Commodities!$C$20</f>
        <v>RESDSL</v>
      </c>
      <c r="T76" t="str">
        <f>VLOOKUP(S76,Commodities!$C$18:$R$34,16,FALSE)</f>
        <v>Diesel</v>
      </c>
    </row>
    <row r="77" spans="2:20" ht="14">
      <c r="B77" s="69"/>
      <c r="C77" s="69"/>
      <c r="D77" s="68" t="str">
        <f t="shared" si="6"/>
        <v>RHTRMWPEE1</v>
      </c>
      <c r="E77" s="148" t="str">
        <f t="shared" si="5"/>
        <v>Residential Heating Technology Rural Multi - Wood pellets - Existing 1</v>
      </c>
      <c r="F77" s="68" t="s">
        <v>44</v>
      </c>
      <c r="G77" s="68" t="s">
        <v>65</v>
      </c>
      <c r="H77" s="79" t="s">
        <v>112</v>
      </c>
      <c r="I77" s="64"/>
      <c r="J77" s="64"/>
      <c r="K77" s="64"/>
      <c r="L77" s="133" t="s">
        <v>738</v>
      </c>
      <c r="M77" s="127" t="s">
        <v>745</v>
      </c>
      <c r="N77" s="127" t="s">
        <v>720</v>
      </c>
      <c r="O77" s="127" t="s">
        <v>714</v>
      </c>
      <c r="P77" t="str">
        <f t="shared" si="4"/>
        <v>WPE</v>
      </c>
      <c r="Q77" s="106" t="s">
        <v>806</v>
      </c>
      <c r="R77">
        <v>1</v>
      </c>
      <c r="S77" s="230" t="str">
        <f>Commodities!$C$22</f>
        <v>RESWPE</v>
      </c>
      <c r="T77" t="str">
        <f>VLOOKUP(S77,Commodities!$C$18:$R$34,16,FALSE)</f>
        <v>Wood pellets</v>
      </c>
    </row>
    <row r="78" spans="2:20" ht="14">
      <c r="B78" s="69"/>
      <c r="C78" s="69"/>
      <c r="D78" s="68" t="str">
        <f t="shared" si="6"/>
        <v>RHTRMFIWE1</v>
      </c>
      <c r="E78" s="148" t="str">
        <f t="shared" si="5"/>
        <v>Residential Heating Technology Rural Multi - Fire wood - Existing 1</v>
      </c>
      <c r="F78" s="68" t="s">
        <v>44</v>
      </c>
      <c r="G78" s="68" t="s">
        <v>65</v>
      </c>
      <c r="H78" s="79" t="s">
        <v>112</v>
      </c>
      <c r="I78" s="64"/>
      <c r="J78" s="64"/>
      <c r="K78" s="64"/>
      <c r="L78" s="133" t="s">
        <v>738</v>
      </c>
      <c r="M78" s="127" t="s">
        <v>745</v>
      </c>
      <c r="N78" s="127" t="s">
        <v>720</v>
      </c>
      <c r="O78" s="127" t="s">
        <v>714</v>
      </c>
      <c r="P78" t="str">
        <f t="shared" si="4"/>
        <v>FIW</v>
      </c>
      <c r="Q78" s="106" t="s">
        <v>806</v>
      </c>
      <c r="R78">
        <v>1</v>
      </c>
      <c r="S78" s="230" t="str">
        <f>Commodities!$C$23</f>
        <v>RESFIW</v>
      </c>
      <c r="T78" t="str">
        <f>VLOOKUP(S78,Commodities!$C$18:$R$34,16,FALSE)</f>
        <v>Fire wood</v>
      </c>
    </row>
    <row r="79" spans="2:20" ht="14">
      <c r="B79" s="69"/>
      <c r="C79" s="69"/>
      <c r="D79" s="68" t="str">
        <f t="shared" si="6"/>
        <v>RHTRMSTRE1</v>
      </c>
      <c r="E79" s="86" t="str">
        <f t="shared" si="5"/>
        <v>Residential Heating Technology Rural Multi - Straw - Existing 1</v>
      </c>
      <c r="F79" s="68" t="s">
        <v>44</v>
      </c>
      <c r="G79" s="68" t="s">
        <v>65</v>
      </c>
      <c r="H79" s="79" t="s">
        <v>112</v>
      </c>
      <c r="I79" s="64"/>
      <c r="J79" s="64"/>
      <c r="K79" s="64"/>
      <c r="L79" s="133" t="s">
        <v>738</v>
      </c>
      <c r="M79" s="127" t="s">
        <v>745</v>
      </c>
      <c r="N79" s="127" t="s">
        <v>720</v>
      </c>
      <c r="O79" s="127" t="s">
        <v>714</v>
      </c>
      <c r="P79" t="str">
        <f t="shared" si="4"/>
        <v>STR</v>
      </c>
      <c r="Q79" s="106" t="s">
        <v>806</v>
      </c>
      <c r="R79">
        <v>1</v>
      </c>
      <c r="S79" s="230" t="str">
        <f>Commodities!$C$24</f>
        <v>RESSTR</v>
      </c>
      <c r="T79" t="str">
        <f>VLOOKUP(S79,Commodities!$C$18:$R$34,16,FALSE)</f>
        <v>Straw</v>
      </c>
    </row>
    <row r="80" spans="2:20" ht="14">
      <c r="B80" s="69"/>
      <c r="C80" s="69"/>
      <c r="D80" s="68" t="str">
        <f t="shared" si="6"/>
        <v>RHTRMSOLE1</v>
      </c>
      <c r="E80" s="86" t="str">
        <f t="shared" si="5"/>
        <v>Residential Heating Technology Rural Multi - Solar - Existing 1</v>
      </c>
      <c r="F80" s="68" t="s">
        <v>44</v>
      </c>
      <c r="G80" s="68" t="s">
        <v>65</v>
      </c>
      <c r="H80" s="79" t="s">
        <v>112</v>
      </c>
      <c r="I80" s="64"/>
      <c r="J80" s="64"/>
      <c r="K80" s="64"/>
      <c r="L80" s="133" t="s">
        <v>738</v>
      </c>
      <c r="M80" s="127" t="s">
        <v>745</v>
      </c>
      <c r="N80" s="127" t="s">
        <v>720</v>
      </c>
      <c r="O80" s="127" t="s">
        <v>714</v>
      </c>
      <c r="P80" t="str">
        <f t="shared" si="4"/>
        <v>SOL</v>
      </c>
      <c r="Q80" s="106" t="s">
        <v>806</v>
      </c>
      <c r="R80">
        <v>1</v>
      </c>
      <c r="S80" s="230" t="str">
        <f>Commodities!$C$26</f>
        <v>RESSOL</v>
      </c>
      <c r="T80" t="str">
        <f>VLOOKUP(S80,Commodities!$C$18:$R$34,16,FALSE)</f>
        <v>Solar</v>
      </c>
    </row>
    <row r="81" spans="2:20" ht="14">
      <c r="B81" s="69"/>
      <c r="C81" s="69"/>
      <c r="D81" s="68" t="str">
        <f t="shared" si="6"/>
        <v>RHTRMELCHE1</v>
      </c>
      <c r="E81" s="136" t="str">
        <f t="shared" si="5"/>
        <v>Residential Heating Technology Rural Multi - Electricity Heating - Existing 1</v>
      </c>
      <c r="F81" s="68" t="s">
        <v>44</v>
      </c>
      <c r="G81" s="68" t="s">
        <v>65</v>
      </c>
      <c r="H81" s="79" t="s">
        <v>112</v>
      </c>
      <c r="I81" s="64"/>
      <c r="J81" s="64"/>
      <c r="K81" s="64"/>
      <c r="L81" s="133" t="s">
        <v>738</v>
      </c>
      <c r="M81" s="127" t="s">
        <v>745</v>
      </c>
      <c r="N81" s="127" t="s">
        <v>720</v>
      </c>
      <c r="O81" s="127" t="s">
        <v>714</v>
      </c>
      <c r="P81" t="str">
        <f t="shared" si="4"/>
        <v>ELCH</v>
      </c>
      <c r="Q81" s="106" t="s">
        <v>806</v>
      </c>
      <c r="R81">
        <v>1</v>
      </c>
      <c r="S81" s="230" t="str">
        <f>Commodities!$C$27</f>
        <v>RESELCH</v>
      </c>
      <c r="T81" t="str">
        <f>VLOOKUP(S81,Commodities!$C$18:$R$34,16,FALSE)</f>
        <v>Electricity Heating</v>
      </c>
    </row>
    <row r="82" spans="2:20" ht="14">
      <c r="B82" s="69"/>
      <c r="C82" s="69"/>
      <c r="D82" s="68" t="str">
        <f t="shared" si="6"/>
        <v>RHTRMELCHE2</v>
      </c>
      <c r="E82" s="87" t="str">
        <f t="shared" si="5"/>
        <v>Residential Heating Technology Rural Multi - Electricity Heating - Existing 2</v>
      </c>
      <c r="F82" s="68" t="s">
        <v>44</v>
      </c>
      <c r="G82" s="68" t="s">
        <v>65</v>
      </c>
      <c r="H82" s="79" t="s">
        <v>112</v>
      </c>
      <c r="I82" s="64"/>
      <c r="J82" s="64"/>
      <c r="K82" s="64"/>
      <c r="L82" s="133" t="s">
        <v>738</v>
      </c>
      <c r="M82" s="127" t="s">
        <v>745</v>
      </c>
      <c r="N82" s="127" t="s">
        <v>720</v>
      </c>
      <c r="O82" s="127" t="s">
        <v>714</v>
      </c>
      <c r="P82" t="str">
        <f t="shared" si="4"/>
        <v>ELCH</v>
      </c>
      <c r="Q82" s="106" t="s">
        <v>806</v>
      </c>
      <c r="R82">
        <v>2</v>
      </c>
      <c r="S82" s="230" t="s">
        <v>142</v>
      </c>
      <c r="T82" t="str">
        <f>VLOOKUP(S82,Commodities!$C$18:$R$34,16,FALSE)</f>
        <v>Electricity Heating</v>
      </c>
    </row>
    <row r="83" spans="2:20" ht="14">
      <c r="B83" s="69"/>
      <c r="C83" s="69"/>
      <c r="D83" s="68" t="str">
        <f t="shared" si="6"/>
        <v>RHTRMHCEE1</v>
      </c>
      <c r="E83" s="86" t="str">
        <f t="shared" si="5"/>
        <v>Residential Heating Technology Rural Multi - District heating Central - Existing 1</v>
      </c>
      <c r="F83" s="68" t="s">
        <v>44</v>
      </c>
      <c r="G83" s="68" t="s">
        <v>65</v>
      </c>
      <c r="H83" s="79" t="s">
        <v>112</v>
      </c>
      <c r="I83" s="81"/>
      <c r="J83" s="64"/>
      <c r="K83" s="64"/>
      <c r="L83" s="133" t="s">
        <v>738</v>
      </c>
      <c r="M83" s="127" t="s">
        <v>745</v>
      </c>
      <c r="N83" s="127" t="s">
        <v>720</v>
      </c>
      <c r="O83" s="127" t="s">
        <v>714</v>
      </c>
      <c r="P83" t="str">
        <f t="shared" si="4"/>
        <v>HCE</v>
      </c>
      <c r="Q83" s="106" t="s">
        <v>806</v>
      </c>
      <c r="R83">
        <v>1</v>
      </c>
      <c r="S83" s="230" t="str">
        <f>Commodities!$C$30</f>
        <v>RESHCE</v>
      </c>
      <c r="T83" t="str">
        <f>VLOOKUP(S83,Commodities!$C$18:$R$34,16,FALSE)</f>
        <v>District heating Central</v>
      </c>
    </row>
    <row r="84" spans="2:20" ht="14">
      <c r="B84" s="72"/>
      <c r="C84" s="72"/>
      <c r="D84" s="71" t="str">
        <f t="shared" si="6"/>
        <v>RHTRMLPGE1</v>
      </c>
      <c r="E84" s="88" t="str">
        <f t="shared" si="5"/>
        <v>Residential Heating Technology Rural Multi - LPG - Existing 1</v>
      </c>
      <c r="F84" s="71" t="s">
        <v>44</v>
      </c>
      <c r="G84" s="71" t="s">
        <v>65</v>
      </c>
      <c r="H84" s="75" t="s">
        <v>112</v>
      </c>
      <c r="I84" s="84"/>
      <c r="J84" s="70"/>
      <c r="K84" s="77"/>
      <c r="L84" s="133" t="s">
        <v>738</v>
      </c>
      <c r="M84" s="127" t="s">
        <v>745</v>
      </c>
      <c r="N84" s="127" t="s">
        <v>720</v>
      </c>
      <c r="O84" s="127" t="s">
        <v>714</v>
      </c>
      <c r="P84" t="str">
        <f t="shared" si="4"/>
        <v>LPG</v>
      </c>
      <c r="Q84" s="106" t="s">
        <v>806</v>
      </c>
      <c r="R84">
        <v>1</v>
      </c>
      <c r="S84" s="257" t="str">
        <f>Commodities!$C$19</f>
        <v>RESLPG</v>
      </c>
      <c r="T84" t="str">
        <f>VLOOKUP(S84,Commodities!$C$18:$R$34,16,FALSE)</f>
        <v>LPG</v>
      </c>
    </row>
    <row r="85" spans="2:20" ht="14">
      <c r="B85" s="78"/>
      <c r="C85" s="78"/>
      <c r="D85" s="133" t="str">
        <f t="shared" si="6"/>
        <v>RCTUMELCAE1</v>
      </c>
      <c r="E85" s="136" t="str">
        <f t="shared" ref="E85:E88" si="7">$E$2&amp;" "&amp;L85&amp;" "&amp;M85&amp;" "&amp;O85&amp;" "&amp;N85&amp;" - "&amp;T85&amp;" - "&amp;Q85&amp;" "&amp;R85</f>
        <v>Residential Cooling Technology Urban Multi - Electricity Appliances - Existing 1</v>
      </c>
      <c r="F85" s="68" t="s">
        <v>44</v>
      </c>
      <c r="G85" s="68" t="s">
        <v>65</v>
      </c>
      <c r="H85" s="74" t="s">
        <v>112</v>
      </c>
      <c r="I85" s="82"/>
      <c r="J85" s="77"/>
      <c r="K85" s="77"/>
      <c r="L85" s="133" t="s">
        <v>291</v>
      </c>
      <c r="M85" s="127" t="s">
        <v>745</v>
      </c>
      <c r="N85" s="127" t="s">
        <v>720</v>
      </c>
      <c r="O85" s="127" t="s">
        <v>713</v>
      </c>
      <c r="P85" t="str">
        <f t="shared" ref="P85:P88" si="8">RIGHT(S85,LEN(S85)-3)</f>
        <v>ELCA</v>
      </c>
      <c r="Q85" s="106" t="s">
        <v>806</v>
      </c>
      <c r="R85">
        <v>1</v>
      </c>
      <c r="S85" s="257" t="str">
        <f>Commodities!$C$29</f>
        <v>RESELCA</v>
      </c>
      <c r="T85" t="str">
        <f>VLOOKUP(S85,Commodities!$C$18:$R$34,16,FALSE)</f>
        <v>Electricity Appliances</v>
      </c>
    </row>
    <row r="86" spans="2:20" ht="14">
      <c r="B86" s="78"/>
      <c r="C86" s="78"/>
      <c r="D86" s="133" t="str">
        <f t="shared" si="6"/>
        <v>RCTRMELCAE1</v>
      </c>
      <c r="E86" s="136" t="str">
        <f t="shared" si="7"/>
        <v>Residential Cooling Technology Rural Multi - Electricity Appliances - Existing 1</v>
      </c>
      <c r="F86" s="68" t="s">
        <v>44</v>
      </c>
      <c r="G86" s="68" t="s">
        <v>65</v>
      </c>
      <c r="H86" s="74" t="s">
        <v>112</v>
      </c>
      <c r="I86" s="82"/>
      <c r="J86" s="77"/>
      <c r="K86" s="77"/>
      <c r="L86" s="133" t="s">
        <v>291</v>
      </c>
      <c r="M86" s="127" t="s">
        <v>745</v>
      </c>
      <c r="N86" s="127" t="s">
        <v>720</v>
      </c>
      <c r="O86" s="127" t="s">
        <v>714</v>
      </c>
      <c r="P86" t="str">
        <f t="shared" si="8"/>
        <v>ELCA</v>
      </c>
      <c r="Q86" s="106" t="s">
        <v>806</v>
      </c>
      <c r="R86">
        <v>1</v>
      </c>
      <c r="S86" s="257" t="str">
        <f>Commodities!$C$29</f>
        <v>RESELCA</v>
      </c>
      <c r="T86" t="str">
        <f>VLOOKUP(S86,Commodities!$C$18:$R$34,16,FALSE)</f>
        <v>Electricity Appliances</v>
      </c>
    </row>
    <row r="87" spans="2:20" ht="14">
      <c r="B87" s="78"/>
      <c r="C87" s="78"/>
      <c r="D87" s="133" t="str">
        <f t="shared" si="6"/>
        <v>RCTUDELCAE1</v>
      </c>
      <c r="E87" s="136" t="str">
        <f t="shared" si="7"/>
        <v>Residential Cooling Technology Urban Detached - Electricity Appliances - Existing 1</v>
      </c>
      <c r="F87" s="68" t="s">
        <v>44</v>
      </c>
      <c r="G87" s="68" t="s">
        <v>65</v>
      </c>
      <c r="H87" s="74" t="s">
        <v>112</v>
      </c>
      <c r="I87" s="82"/>
      <c r="J87" s="77"/>
      <c r="K87" s="77"/>
      <c r="L87" s="133" t="s">
        <v>291</v>
      </c>
      <c r="M87" s="127" t="s">
        <v>745</v>
      </c>
      <c r="N87" s="127" t="s">
        <v>116</v>
      </c>
      <c r="O87" s="127" t="s">
        <v>713</v>
      </c>
      <c r="P87" t="str">
        <f t="shared" si="8"/>
        <v>ELCA</v>
      </c>
      <c r="Q87" s="106" t="s">
        <v>806</v>
      </c>
      <c r="R87">
        <v>1</v>
      </c>
      <c r="S87" s="257" t="str">
        <f>Commodities!$C$29</f>
        <v>RESELCA</v>
      </c>
      <c r="T87" t="str">
        <f>VLOOKUP(S87,Commodities!$C$18:$R$34,16,FALSE)</f>
        <v>Electricity Appliances</v>
      </c>
    </row>
    <row r="88" spans="2:20" ht="14">
      <c r="B88" s="497"/>
      <c r="C88" s="497"/>
      <c r="D88" s="498" t="str">
        <f t="shared" si="6"/>
        <v>RCTRDELCAE1</v>
      </c>
      <c r="E88" s="499" t="str">
        <f t="shared" si="7"/>
        <v>Residential Cooling Technology Rural Detached - Electricity Appliances - Existing 1</v>
      </c>
      <c r="F88" s="500" t="s">
        <v>44</v>
      </c>
      <c r="G88" s="500" t="s">
        <v>65</v>
      </c>
      <c r="H88" s="501" t="s">
        <v>112</v>
      </c>
      <c r="I88" s="502"/>
      <c r="J88" s="503"/>
      <c r="K88" s="77"/>
      <c r="L88" s="133" t="s">
        <v>291</v>
      </c>
      <c r="M88" s="127" t="s">
        <v>745</v>
      </c>
      <c r="N88" s="127" t="s">
        <v>116</v>
      </c>
      <c r="O88" s="127" t="s">
        <v>714</v>
      </c>
      <c r="P88" t="str">
        <f t="shared" si="8"/>
        <v>ELCA</v>
      </c>
      <c r="Q88" s="106" t="s">
        <v>806</v>
      </c>
      <c r="R88">
        <v>1</v>
      </c>
      <c r="S88" s="257" t="str">
        <f>Commodities!$C$29</f>
        <v>RESELCA</v>
      </c>
      <c r="T88" t="str">
        <f>VLOOKUP(S88,Commodities!$C$18:$R$34,16,FALSE)</f>
        <v>Electricity Appliances</v>
      </c>
    </row>
    <row r="89" spans="2:20">
      <c r="B89" s="69"/>
      <c r="C89" s="69"/>
      <c r="D89" s="69" t="str">
        <f>"FT-"&amp;$D$2&amp;RIGHT(Commodities!C18,3)</f>
        <v>FT-RESNGA</v>
      </c>
      <c r="E89" s="89" t="str">
        <f>"Fuel Technology "&amp;Commodities!D18</f>
        <v>Fuel Technology Residential      Natural Gas</v>
      </c>
      <c r="F89" s="68" t="s">
        <v>44</v>
      </c>
      <c r="G89" s="68" t="s">
        <v>66</v>
      </c>
      <c r="H89" s="64"/>
      <c r="I89" s="64"/>
      <c r="J89" s="64"/>
      <c r="K89" s="64"/>
      <c r="L89" s="106"/>
      <c r="N89" s="127"/>
      <c r="O89" s="127"/>
    </row>
    <row r="90" spans="2:20">
      <c r="B90" s="69"/>
      <c r="C90" s="69"/>
      <c r="D90" s="69" t="str">
        <f>"FT-"&amp;$D$2&amp;RIGHT(Commodities!C19,3)</f>
        <v>FT-RESLPG</v>
      </c>
      <c r="E90" s="89" t="str">
        <f>"Fuel Technology "&amp;Commodities!D19</f>
        <v>Fuel Technology Residential      LPG</v>
      </c>
      <c r="F90" s="68" t="s">
        <v>44</v>
      </c>
      <c r="G90" s="68" t="s">
        <v>66</v>
      </c>
      <c r="H90" s="64"/>
      <c r="I90" s="64"/>
      <c r="J90" s="64"/>
      <c r="K90" s="64"/>
      <c r="L90" s="106"/>
      <c r="N90" s="127"/>
      <c r="O90" s="127"/>
    </row>
    <row r="91" spans="2:20">
      <c r="B91" s="69"/>
      <c r="C91" s="69"/>
      <c r="D91" s="69" t="str">
        <f>"FT-"&amp;$D$2&amp;RIGHT(Commodities!C20,3)</f>
        <v>FT-RESDSL</v>
      </c>
      <c r="E91" s="89" t="str">
        <f>"Fuel Technology "&amp;Commodities!D20</f>
        <v>Fuel Technology Residential      Diesel</v>
      </c>
      <c r="F91" s="68" t="s">
        <v>44</v>
      </c>
      <c r="G91" s="68" t="s">
        <v>66</v>
      </c>
      <c r="H91" s="64"/>
      <c r="I91" s="64"/>
      <c r="J91" s="64"/>
      <c r="K91" s="64"/>
      <c r="N91" s="127"/>
      <c r="O91" s="127"/>
    </row>
    <row r="92" spans="2:20">
      <c r="B92" s="69"/>
      <c r="C92" s="69"/>
      <c r="D92" s="69" t="str">
        <f>"FT-"&amp;$D$2&amp;RIGHT(Commodities!C21,3)</f>
        <v>FT-RESGSL</v>
      </c>
      <c r="E92" s="89" t="str">
        <f>"Fuel Technology "&amp;Commodities!D21</f>
        <v>Fuel Technology Residential      Gasoline</v>
      </c>
      <c r="F92" s="68" t="s">
        <v>44</v>
      </c>
      <c r="G92" s="68" t="s">
        <v>66</v>
      </c>
      <c r="H92" s="64"/>
      <c r="I92" s="64"/>
      <c r="J92" s="64"/>
      <c r="K92" s="64"/>
      <c r="N92" s="127"/>
      <c r="O92" s="127"/>
    </row>
    <row r="93" spans="2:20">
      <c r="B93" s="69"/>
      <c r="C93" s="69"/>
      <c r="D93" s="69" t="str">
        <f>"FT-"&amp;$D$2&amp;RIGHT(Commodities!C22,3)</f>
        <v>FT-RESWPE</v>
      </c>
      <c r="E93" s="89" t="str">
        <f>"Fuel Technology "&amp;Commodities!D22</f>
        <v>Fuel Technology Residential      Wood pellets</v>
      </c>
      <c r="F93" s="68" t="s">
        <v>44</v>
      </c>
      <c r="G93" s="68" t="s">
        <v>66</v>
      </c>
      <c r="H93" s="64"/>
      <c r="I93" s="64"/>
      <c r="J93" s="64"/>
      <c r="K93" s="64"/>
    </row>
    <row r="94" spans="2:20">
      <c r="B94" s="69"/>
      <c r="C94" s="69"/>
      <c r="D94" s="69" t="str">
        <f>"FT-"&amp;$D$2&amp;RIGHT(Commodities!C23,3)</f>
        <v>FT-RESFIW</v>
      </c>
      <c r="E94" s="89" t="str">
        <f>"Fuel Technology "&amp;Commodities!D23</f>
        <v>Fuel Technology Residential      Fire wood</v>
      </c>
      <c r="F94" s="68" t="s">
        <v>44</v>
      </c>
      <c r="G94" s="68" t="s">
        <v>66</v>
      </c>
      <c r="H94" s="64"/>
      <c r="I94" s="64"/>
      <c r="J94" s="64"/>
      <c r="K94" s="64"/>
    </row>
    <row r="95" spans="2:20">
      <c r="B95" s="69"/>
      <c r="C95" s="69"/>
      <c r="D95" s="69" t="str">
        <f>"FT-"&amp;$D$2&amp;RIGHT(Commodities!C24,3)</f>
        <v>FT-RESSTR</v>
      </c>
      <c r="E95" s="89" t="str">
        <f>"Fuel Technology "&amp;Commodities!D24</f>
        <v>Fuel Technology Residential      Straw</v>
      </c>
      <c r="F95" s="68" t="s">
        <v>44</v>
      </c>
      <c r="G95" s="68" t="s">
        <v>66</v>
      </c>
      <c r="H95" s="64"/>
      <c r="I95" s="64"/>
      <c r="J95" s="64"/>
      <c r="K95" s="64"/>
    </row>
    <row r="96" spans="2:20">
      <c r="B96" s="64"/>
      <c r="C96" s="64"/>
      <c r="D96" s="64" t="str">
        <f>"FT-"&amp;$D$2&amp;RIGHT(Commodities!C25,3)</f>
        <v>FT-RESSH2</v>
      </c>
      <c r="E96" s="64" t="str">
        <f>"Fuel Technology "&amp;Commodities!D25</f>
        <v>Fuel Technology Residential      Hydrogen</v>
      </c>
      <c r="F96" s="149" t="s">
        <v>44</v>
      </c>
      <c r="G96" s="149" t="s">
        <v>66</v>
      </c>
      <c r="H96" s="64"/>
      <c r="I96" s="64"/>
      <c r="J96" s="64"/>
      <c r="K96" s="64"/>
    </row>
    <row r="97" spans="2:12">
      <c r="B97" s="69"/>
      <c r="C97" s="69"/>
      <c r="D97" s="69" t="str">
        <f>"FT-"&amp;$D$2&amp;RIGHT(Commodities!C26,3)</f>
        <v>FT-RESSOL</v>
      </c>
      <c r="E97" s="89" t="str">
        <f>"Fuel Technology "&amp;Commodities!D26</f>
        <v>Fuel Technology Residential      Solar</v>
      </c>
      <c r="F97" s="68" t="s">
        <v>44</v>
      </c>
      <c r="G97" s="68" t="s">
        <v>66</v>
      </c>
      <c r="H97" s="64"/>
      <c r="I97" s="64"/>
      <c r="J97" s="64"/>
      <c r="K97" s="64"/>
    </row>
    <row r="98" spans="2:12">
      <c r="B98" s="69"/>
      <c r="C98" s="69"/>
      <c r="D98" s="69" t="str">
        <f>"FT-"&amp;$D$2&amp;RIGHT(Commodities!C27,3)</f>
        <v>FT-RESLCH</v>
      </c>
      <c r="E98" s="89" t="str">
        <f>"Fuel Technology for "&amp;Commodities!D27</f>
        <v>Fuel Technology for Residential      Electricity Heating</v>
      </c>
      <c r="F98" s="68" t="s">
        <v>44</v>
      </c>
      <c r="G98" s="68" t="s">
        <v>66</v>
      </c>
      <c r="H98" s="79" t="s">
        <v>112</v>
      </c>
      <c r="I98" s="64"/>
      <c r="J98" s="64"/>
      <c r="K98" s="64"/>
    </row>
    <row r="99" spans="2:12">
      <c r="B99" s="69"/>
      <c r="C99" s="69"/>
      <c r="D99" s="69" t="str">
        <f>"FT-"&amp;$D$2&amp;RIGHT(Commodities!C28,3)</f>
        <v>FT-RESLCC</v>
      </c>
      <c r="E99" s="89" t="str">
        <f>"Fuel Technology for "&amp;Commodities!D28</f>
        <v>Fuel Technology for Residential      Electricity Cooling</v>
      </c>
      <c r="F99" s="68" t="s">
        <v>44</v>
      </c>
      <c r="G99" s="68" t="s">
        <v>66</v>
      </c>
      <c r="H99" s="79" t="s">
        <v>112</v>
      </c>
      <c r="I99" s="64"/>
      <c r="J99" s="64"/>
      <c r="K99" s="64"/>
    </row>
    <row r="100" spans="2:12">
      <c r="B100" s="69"/>
      <c r="C100" s="69"/>
      <c r="D100" s="69" t="str">
        <f>"FT-"&amp;$D$2&amp;RIGHT(Commodities!C29,3)</f>
        <v>FT-RESLCA</v>
      </c>
      <c r="E100" s="89" t="str">
        <f>"Fuel Technology for "&amp;Commodities!D29</f>
        <v>Fuel Technology for Residential      Electricity Appliances</v>
      </c>
      <c r="F100" s="68" t="s">
        <v>44</v>
      </c>
      <c r="G100" s="68" t="s">
        <v>66</v>
      </c>
      <c r="H100" s="79" t="s">
        <v>112</v>
      </c>
      <c r="I100" s="64"/>
      <c r="J100" s="64"/>
      <c r="K100" s="64"/>
    </row>
    <row r="101" spans="2:12">
      <c r="B101" s="69"/>
      <c r="C101" s="69"/>
      <c r="D101" s="69" t="str">
        <f>"FT-"&amp;$D$2&amp;RIGHT(Commodities!C30,3)</f>
        <v>FT-RESHCE</v>
      </c>
      <c r="E101" s="89" t="str">
        <f>"Fuel Technology "&amp;Commodities!D30</f>
        <v>Fuel Technology Residential      District heating Central</v>
      </c>
      <c r="F101" s="68" t="s">
        <v>44</v>
      </c>
      <c r="G101" s="68" t="s">
        <v>66</v>
      </c>
      <c r="H101" s="79" t="s">
        <v>112</v>
      </c>
      <c r="I101" s="64"/>
      <c r="J101" s="64"/>
      <c r="K101" s="64"/>
    </row>
    <row r="102" spans="2:12">
      <c r="B102" s="78"/>
      <c r="C102" s="78"/>
      <c r="D102" s="78" t="str">
        <f>"FT-"&amp;$D$2&amp;RIGHT(Commodities!C32,3)</f>
        <v>FT-RESHDE</v>
      </c>
      <c r="E102" s="80" t="str">
        <f>"Fuel Technology "&amp;Commodities!D32</f>
        <v>Fuel Technology Residential      District heating Decentral</v>
      </c>
      <c r="F102" s="68" t="s">
        <v>44</v>
      </c>
      <c r="G102" s="68" t="s">
        <v>66</v>
      </c>
      <c r="H102" s="74" t="s">
        <v>112</v>
      </c>
      <c r="I102" s="77"/>
      <c r="J102" s="77"/>
      <c r="K102" s="77"/>
      <c r="L102" s="1"/>
    </row>
    <row r="103" spans="2:12">
      <c r="B103" s="77"/>
      <c r="C103" s="77"/>
      <c r="D103" s="78" t="str">
        <f>"FT-"&amp;$D$2&amp;RIGHT(Commodities!C33,3)</f>
        <v>FT-RESSNG</v>
      </c>
      <c r="E103" s="80" t="str">
        <f>"Fuel Technology "&amp;Commodities!D33</f>
        <v>Fuel Technology Residential      Synthetic Natural Gas</v>
      </c>
      <c r="F103" s="68" t="s">
        <v>44</v>
      </c>
      <c r="G103" s="68" t="s">
        <v>66</v>
      </c>
      <c r="H103" s="77"/>
      <c r="I103" s="77"/>
      <c r="J103" s="77"/>
      <c r="K103" s="77"/>
      <c r="L103" s="1"/>
    </row>
    <row r="104" spans="2:12">
      <c r="B104" s="64"/>
      <c r="C104" s="64"/>
      <c r="D104" s="78" t="str">
        <f>"FT-"&amp;$D$2&amp;RIGHT(Commodities!C34,3)</f>
        <v>FT-RESDSB</v>
      </c>
      <c r="E104" s="80" t="str">
        <f>"Fuel Technology "&amp;Commodities!D34</f>
        <v>Fuel Technology Residential      Renewable Diesel</v>
      </c>
      <c r="F104" s="68" t="s">
        <v>44</v>
      </c>
      <c r="G104" s="68" t="s">
        <v>66</v>
      </c>
      <c r="H104" s="64"/>
      <c r="I104" s="77"/>
      <c r="J104" s="77"/>
      <c r="K104" s="77"/>
    </row>
    <row r="105" spans="2:12">
      <c r="B105" s="1"/>
      <c r="C105" s="1"/>
      <c r="D105" s="6"/>
      <c r="F105" s="68"/>
      <c r="G105" s="68"/>
      <c r="H105" s="79"/>
      <c r="I105" s="1"/>
      <c r="J105" s="1"/>
      <c r="K105" s="1"/>
    </row>
    <row r="106" spans="2:12">
      <c r="B106" s="69"/>
      <c r="C106" s="69"/>
      <c r="D106" s="6"/>
      <c r="F106" s="68"/>
      <c r="G106" s="68"/>
      <c r="H106" s="79"/>
    </row>
    <row r="107" spans="2:12">
      <c r="B107" s="77"/>
      <c r="C107" s="77"/>
      <c r="H107"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1048576"/>
  <sheetViews>
    <sheetView topLeftCell="C1" zoomScaleNormal="100" workbookViewId="0">
      <selection activeCell="F24" sqref="F24"/>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s>
  <sheetData>
    <row r="2" spans="2:31" ht="22" thickBot="1">
      <c r="B2" s="516" t="s">
        <v>282</v>
      </c>
      <c r="C2" s="227"/>
      <c r="D2" s="228"/>
      <c r="E2" s="229" t="s">
        <v>181</v>
      </c>
      <c r="F2" s="229"/>
      <c r="G2" s="272">
        <v>1.02</v>
      </c>
      <c r="H2" s="272"/>
      <c r="I2" s="272"/>
      <c r="J2" s="230"/>
      <c r="K2" s="230"/>
      <c r="L2" s="230"/>
      <c r="M2" s="231"/>
      <c r="N2" s="232"/>
      <c r="O2" s="232"/>
      <c r="P2" s="227"/>
      <c r="Q2" s="227"/>
      <c r="R2" s="233"/>
      <c r="S2" s="296"/>
      <c r="T2" s="233"/>
      <c r="U2" s="233"/>
      <c r="V2" s="233"/>
      <c r="W2" s="233"/>
      <c r="X2" s="233"/>
      <c r="Y2" s="233"/>
      <c r="Z2" s="227"/>
      <c r="AA2" s="227"/>
    </row>
    <row r="3" spans="2:31" ht="15">
      <c r="B3" s="226"/>
      <c r="C3" s="227"/>
      <c r="D3" s="228"/>
      <c r="E3" s="229"/>
      <c r="F3" s="229"/>
      <c r="G3" s="272"/>
      <c r="H3" s="272"/>
      <c r="I3" s="272"/>
      <c r="J3" s="230"/>
      <c r="K3" s="230"/>
      <c r="L3" s="230"/>
      <c r="M3" s="232"/>
      <c r="N3" s="227"/>
      <c r="O3" s="227"/>
      <c r="P3" s="233"/>
      <c r="Q3" s="296"/>
      <c r="R3" s="233"/>
      <c r="S3" s="233"/>
      <c r="T3" s="267" t="s">
        <v>194</v>
      </c>
      <c r="U3" s="233"/>
      <c r="V3" s="233"/>
      <c r="W3" s="233"/>
      <c r="X3" s="227"/>
      <c r="Y3" s="227"/>
      <c r="Z3" s="227"/>
      <c r="AA3" s="227"/>
    </row>
    <row r="4" spans="2:31" ht="15" thickBot="1">
      <c r="B4" s="227"/>
      <c r="C4" s="227"/>
      <c r="D4" s="230"/>
      <c r="E4" s="230"/>
      <c r="F4" s="234" t="s">
        <v>8</v>
      </c>
      <c r="G4" s="230"/>
      <c r="H4" s="234"/>
      <c r="I4" s="234"/>
      <c r="J4" s="234"/>
      <c r="K4" s="234"/>
      <c r="L4" s="234"/>
      <c r="M4" s="235"/>
      <c r="N4" s="227"/>
      <c r="O4" s="233"/>
      <c r="P4" s="233"/>
      <c r="Q4" s="269"/>
      <c r="R4" s="233"/>
      <c r="S4" s="233"/>
      <c r="T4" s="268">
        <v>3.5999999999999999E-3</v>
      </c>
      <c r="U4" s="233"/>
      <c r="V4" s="440" t="s">
        <v>829</v>
      </c>
      <c r="W4" s="441" t="s">
        <v>830</v>
      </c>
      <c r="X4" s="442" t="s">
        <v>831</v>
      </c>
      <c r="Y4" s="440" t="s">
        <v>829</v>
      </c>
      <c r="Z4" s="441" t="s">
        <v>830</v>
      </c>
      <c r="AA4" s="442" t="s">
        <v>831</v>
      </c>
    </row>
    <row r="5" spans="2:31" ht="30">
      <c r="B5" s="238" t="s">
        <v>2</v>
      </c>
      <c r="C5" s="238" t="s">
        <v>26</v>
      </c>
      <c r="D5" s="238" t="s">
        <v>14</v>
      </c>
      <c r="E5" s="238" t="s">
        <v>15</v>
      </c>
      <c r="F5" s="423" t="s">
        <v>108</v>
      </c>
      <c r="G5" s="239" t="s">
        <v>832</v>
      </c>
      <c r="H5" s="239" t="s">
        <v>833</v>
      </c>
      <c r="I5" s="239" t="s">
        <v>834</v>
      </c>
      <c r="J5" s="240" t="s">
        <v>835</v>
      </c>
      <c r="K5" s="240" t="s">
        <v>836</v>
      </c>
      <c r="L5" s="240" t="s">
        <v>837</v>
      </c>
      <c r="M5" s="238" t="s">
        <v>0</v>
      </c>
      <c r="N5" s="238" t="s">
        <v>184</v>
      </c>
      <c r="O5" s="239" t="s">
        <v>107</v>
      </c>
      <c r="P5" s="227"/>
      <c r="Q5" s="227"/>
      <c r="R5" s="227"/>
      <c r="S5" s="227"/>
      <c r="T5" s="227"/>
      <c r="U5" s="227"/>
      <c r="V5" s="274" t="s">
        <v>81</v>
      </c>
      <c r="W5" s="273" t="s">
        <v>81</v>
      </c>
      <c r="X5" s="443" t="s">
        <v>81</v>
      </c>
      <c r="Y5" s="274" t="s">
        <v>77</v>
      </c>
      <c r="Z5" s="273" t="s">
        <v>77</v>
      </c>
      <c r="AA5" s="443" t="s">
        <v>77</v>
      </c>
    </row>
    <row r="6" spans="2:31" ht="25" thickBot="1">
      <c r="B6" s="242" t="s">
        <v>27</v>
      </c>
      <c r="C6" s="242"/>
      <c r="D6" s="242"/>
      <c r="E6" s="242"/>
      <c r="F6" s="243"/>
      <c r="G6" s="243" t="s">
        <v>65</v>
      </c>
      <c r="H6" s="243" t="s">
        <v>65</v>
      </c>
      <c r="I6" s="243" t="s">
        <v>65</v>
      </c>
      <c r="J6" s="243" t="s">
        <v>75</v>
      </c>
      <c r="K6" s="243" t="s">
        <v>75</v>
      </c>
      <c r="L6" s="243" t="s">
        <v>75</v>
      </c>
      <c r="M6" s="242"/>
      <c r="N6" s="242" t="s">
        <v>754</v>
      </c>
      <c r="O6" s="242" t="s">
        <v>108</v>
      </c>
      <c r="P6" s="227"/>
      <c r="Q6" s="227"/>
      <c r="R6" s="227"/>
      <c r="S6" s="227"/>
      <c r="T6" s="227"/>
      <c r="U6" s="227" t="s">
        <v>108</v>
      </c>
      <c r="V6" s="276" t="s">
        <v>48</v>
      </c>
      <c r="W6" s="461" t="s">
        <v>48</v>
      </c>
      <c r="X6" s="444" t="s">
        <v>48</v>
      </c>
      <c r="Y6" s="276" t="s">
        <v>76</v>
      </c>
      <c r="Z6" s="275" t="s">
        <v>76</v>
      </c>
      <c r="AA6" s="444" t="s">
        <v>76</v>
      </c>
    </row>
    <row r="7" spans="2:31" ht="15">
      <c r="B7" s="233" t="str">
        <f>Processes!D39</f>
        <v>RFTLPGE1</v>
      </c>
      <c r="C7" s="233" t="str">
        <f>Processes!E39</f>
        <v>Residential Food (Cooking) Technology   - LPG - Existing 1</v>
      </c>
      <c r="D7" s="230" t="str">
        <f>Commodities!$C$19</f>
        <v>RESLPG</v>
      </c>
      <c r="E7" s="230" t="str">
        <f>Commodities!$C$17</f>
        <v>RFDEM</v>
      </c>
      <c r="F7" s="230">
        <v>2010</v>
      </c>
      <c r="G7" s="251">
        <f>ROUNDUP(Y7/($M7*$N7)*$G$2,2)</f>
        <v>3.2699999999999996</v>
      </c>
      <c r="H7" s="251">
        <f>ROUNDUP(Z7/($M7*$N7)*$G$2,2)</f>
        <v>0.09</v>
      </c>
      <c r="I7" s="251">
        <f t="shared" ref="I7:I12" si="0">ROUNDUP(AA7/($M7*$N7)*$G$2,2)</f>
        <v>0.27</v>
      </c>
      <c r="J7" s="466">
        <v>0.5</v>
      </c>
      <c r="K7" s="466">
        <v>0.5</v>
      </c>
      <c r="L7" s="466">
        <v>0.5</v>
      </c>
      <c r="M7" s="244">
        <f t="shared" ref="M7:M14" si="1">31.536/1000</f>
        <v>3.1536000000000002E-2</v>
      </c>
      <c r="N7" s="462">
        <v>1</v>
      </c>
      <c r="O7" s="246">
        <v>30</v>
      </c>
      <c r="P7" s="227"/>
      <c r="Q7" s="269"/>
      <c r="R7" s="269" t="str">
        <f>B2</f>
        <v>Cooking</v>
      </c>
      <c r="S7" s="227" t="s">
        <v>210</v>
      </c>
      <c r="T7" s="247" t="s">
        <v>187</v>
      </c>
      <c r="U7" s="247">
        <v>2010</v>
      </c>
      <c r="V7" s="436" cm="1">
        <f t="array" ref="V7">_xlfn.IFNA(INDEX('Data manipulation'!$C$23:$N$129,MATCH($S7&amp;$R7,'Data manipulation'!$B$23:$B$129&amp;'Data manipulation'!$A$23:$A$129,0),MATCH($U7,'Data manipulation'!$C$22:$N$22,0))/1000,0)*SUMIFS('Regional split'!$F$4:$F$6,'Regional split'!$B$4:$B$6,V$4)</f>
        <v>0.20164678518904958</v>
      </c>
      <c r="W7" s="436" cm="1">
        <f t="array" ref="W7">_xlfn.IFNA(INDEX('Data manipulation'!$C$23:$N$129,MATCH($S7&amp;$R7,'Data manipulation'!$B$23:$B$129&amp;'Data manipulation'!$A$23:$A$129,0),MATCH($U7,'Data manipulation'!$C$22:$N$22,0))/1000,0)*SUMIFS('Regional split'!$F$4:$F$6,'Regional split'!$B$4:$B$6,W$4)</f>
        <v>5.1222753851946504E-3</v>
      </c>
      <c r="X7" s="436" cm="1">
        <f t="array" ref="X7">_xlfn.IFNA(INDEX('Data manipulation'!$C$23:$N$129,MATCH($S7&amp;$R7,'Data manipulation'!$B$23:$B$129&amp;'Data manipulation'!$A$23:$A$129,0),MATCH($U7,'Data manipulation'!$C$22:$N$22,0))/1000,0)*SUMIFS('Regional split'!$F$4:$F$6,'Regional split'!$B$4:$B$6,X$4)</f>
        <v>1.6219504019057199E-2</v>
      </c>
      <c r="Y7" s="447">
        <f t="shared" ref="Y7:Z12" si="2">V7*J7</f>
        <v>0.10082339259452479</v>
      </c>
      <c r="Z7" s="581">
        <f t="shared" si="2"/>
        <v>2.5611376925973252E-3</v>
      </c>
      <c r="AA7" s="448">
        <f t="shared" ref="AA7" si="3">X7*L7</f>
        <v>8.1097520095285997E-3</v>
      </c>
      <c r="AC7" s="579"/>
      <c r="AD7" s="580"/>
      <c r="AE7" s="580"/>
    </row>
    <row r="8" spans="2:31" ht="15" customHeight="1">
      <c r="B8" s="233" t="str">
        <f>Processes!D40</f>
        <v>RFTNGAE1</v>
      </c>
      <c r="C8" s="233" t="str">
        <f>Processes!E40</f>
        <v>Residential Food (Cooking) Technology   - Natural Gas - Existing 1</v>
      </c>
      <c r="D8" s="230" t="str">
        <f>Commodities!$C$18</f>
        <v>RESNGA</v>
      </c>
      <c r="E8" s="230" t="str">
        <f>Commodities!$C$17</f>
        <v>RFDEM</v>
      </c>
      <c r="F8" s="260">
        <v>2010</v>
      </c>
      <c r="G8" s="251">
        <f>ROUNDUP(Y8/($M8*$N8)*$G$2,2)</f>
        <v>143.94999999999999</v>
      </c>
      <c r="H8" s="251">
        <f>ROUNDUP(Z8/($M8*$N8)*$G$2,2)</f>
        <v>3.6599999999999997</v>
      </c>
      <c r="I8" s="251">
        <f t="shared" si="0"/>
        <v>11.58</v>
      </c>
      <c r="J8" s="466">
        <v>0.5</v>
      </c>
      <c r="K8" s="466">
        <v>0.5</v>
      </c>
      <c r="L8" s="466">
        <v>0.5</v>
      </c>
      <c r="M8" s="244">
        <f t="shared" si="1"/>
        <v>3.1536000000000002E-2</v>
      </c>
      <c r="N8" s="462">
        <v>1</v>
      </c>
      <c r="O8" s="246">
        <v>30</v>
      </c>
      <c r="P8" s="227"/>
      <c r="Q8" s="269"/>
      <c r="R8" s="269" t="str">
        <f>R7</f>
        <v>Cooking</v>
      </c>
      <c r="S8" s="227" t="s">
        <v>80</v>
      </c>
      <c r="T8" s="247" t="s">
        <v>187</v>
      </c>
      <c r="U8" s="247">
        <v>2010</v>
      </c>
      <c r="V8" s="436" cm="1">
        <f t="array" ref="V8">_xlfn.IFNA(INDEX('Data manipulation'!$C$23:$N$129,MATCH($S8&amp;$R8,'Data manipulation'!$B$23:$B$129&amp;'Data manipulation'!$A$23:$A$129,0),MATCH($U8,'Data manipulation'!$C$22:$N$22,0))/1000,0)*SUMIFS('Regional split'!$F$4:$F$6,'Regional split'!$B$4:$B$6,V$4)</f>
        <v>8.9006464995991745</v>
      </c>
      <c r="W8" s="436" cm="1">
        <f t="array" ref="W8">_xlfn.IFNA(INDEX('Data manipulation'!$C$23:$N$129,MATCH($S8&amp;$R8,'Data manipulation'!$B$23:$B$129&amp;'Data manipulation'!$A$23:$A$129,0),MATCH($U8,'Data manipulation'!$C$22:$N$22,0))/1000,0)*SUMIFS('Regional split'!$F$4:$F$6,'Regional split'!$B$4:$B$6,W$4)</f>
        <v>0.22609615340245762</v>
      </c>
      <c r="X8" s="436" cm="1">
        <f t="array" ref="X8">_xlfn.IFNA(INDEX('Data manipulation'!$C$23:$N$129,MATCH($S8&amp;$R8,'Data manipulation'!$B$23:$B$129&amp;'Data manipulation'!$A$23:$A$129,0),MATCH($U8,'Data manipulation'!$C$22:$N$22,0))/1000,0)*SUMIFS('Regional split'!$F$4:$F$6,'Regional split'!$B$4:$B$6,X$4)</f>
        <v>0.7159254809696608</v>
      </c>
      <c r="Y8" s="447">
        <f t="shared" si="2"/>
        <v>4.4503232497995873</v>
      </c>
      <c r="Z8" s="581">
        <f t="shared" si="2"/>
        <v>0.11304807670122881</v>
      </c>
      <c r="AA8" s="448">
        <f>X8*L8</f>
        <v>0.3579627404848304</v>
      </c>
      <c r="AC8" s="579"/>
      <c r="AD8" s="580"/>
      <c r="AE8" s="580"/>
    </row>
    <row r="9" spans="2:31" ht="15">
      <c r="B9" s="233" t="str">
        <f t="shared" ref="B9:E10" si="4">B7</f>
        <v>RFTLPGE1</v>
      </c>
      <c r="C9" s="233" t="str">
        <f t="shared" si="4"/>
        <v>Residential Food (Cooking) Technology   - LPG - Existing 1</v>
      </c>
      <c r="D9" s="233" t="str">
        <f t="shared" si="4"/>
        <v>RESLPG</v>
      </c>
      <c r="E9" s="233" t="str">
        <f t="shared" si="4"/>
        <v>RFDEM</v>
      </c>
      <c r="F9" s="260">
        <v>2015</v>
      </c>
      <c r="G9" s="251">
        <f>ROUNDUP(Y9/($M9*$N9)*$G$17,2)</f>
        <v>1.39</v>
      </c>
      <c r="H9" s="251">
        <f t="shared" ref="H9:H10" si="5">ROUNDUP(Z9/($M9*$N9)*$G$17,2)</f>
        <v>0.04</v>
      </c>
      <c r="I9" s="251">
        <f t="shared" ref="I9:I10" si="6">ROUNDUP(AA9/($M9*$N9)*$G$17,2)</f>
        <v>0.12</v>
      </c>
      <c r="J9" s="466">
        <f t="shared" ref="J9:L10" si="7">J7</f>
        <v>0.5</v>
      </c>
      <c r="K9" s="466">
        <f t="shared" si="7"/>
        <v>0.5</v>
      </c>
      <c r="L9" s="466">
        <f t="shared" si="7"/>
        <v>0.5</v>
      </c>
      <c r="M9" s="244">
        <f t="shared" si="1"/>
        <v>3.1536000000000002E-2</v>
      </c>
      <c r="N9" s="462">
        <v>0.8</v>
      </c>
      <c r="O9" s="246">
        <v>30</v>
      </c>
      <c r="P9" s="227"/>
      <c r="Q9" s="227"/>
      <c r="R9" s="269" t="str">
        <f>R7</f>
        <v>Cooking</v>
      </c>
      <c r="S9" s="227" t="s">
        <v>210</v>
      </c>
      <c r="T9" s="247" t="s">
        <v>187</v>
      </c>
      <c r="U9" s="247">
        <v>2015</v>
      </c>
      <c r="V9" s="436" cm="1">
        <f t="array" ref="V9">_xlfn.IFNA(INDEX('Data manipulation'!$C$23:$N$129,MATCH($S9&amp;$R9,'Data manipulation'!$B$23:$B$129&amp;'Data manipulation'!$A$23:$A$129,0),MATCH($U9,'Data manipulation'!$C$22:$N$22,0))/1000,0)*SUMIFS('Regional split'!$F$4:$F$6,'Regional split'!$B$4:$B$6,V$4)</f>
        <v>6.8339945928719004E-2</v>
      </c>
      <c r="W9" s="436" cm="1">
        <f t="array" ref="W9">_xlfn.IFNA(INDEX('Data manipulation'!$C$23:$N$129,MATCH($S9&amp;$R9,'Data manipulation'!$B$23:$B$129&amp;'Data manipulation'!$A$23:$A$129,0),MATCH($U9,'Data manipulation'!$C$22:$N$22,0))/1000,0)*SUMIFS('Regional split'!$F$4:$F$6,'Regional split'!$B$4:$B$6,W$4)</f>
        <v>1.7359861330197913E-3</v>
      </c>
      <c r="X9" s="436" cm="1">
        <f t="array" ref="X9">_xlfn.IFNA(INDEX('Data manipulation'!$C$23:$N$129,MATCH($S9&amp;$R9,'Data manipulation'!$B$23:$B$129&amp;'Data manipulation'!$A$23:$A$129,0),MATCH($U9,'Data manipulation'!$C$22:$N$22,0))/1000,0)*SUMIFS('Regional split'!$F$4:$F$6,'Regional split'!$B$4:$B$6,X$4)</f>
        <v>5.49693875165833E-3</v>
      </c>
      <c r="Y9" s="447">
        <f>V9*J9</f>
        <v>3.4169972964359502E-2</v>
      </c>
      <c r="Z9" s="252">
        <f t="shared" si="2"/>
        <v>8.6799306650989564E-4</v>
      </c>
      <c r="AA9" s="448">
        <f t="shared" ref="AA9:AA10" si="8">X9*L9</f>
        <v>2.748469375829165E-3</v>
      </c>
    </row>
    <row r="10" spans="2:31" ht="15">
      <c r="B10" s="233" t="str">
        <f t="shared" si="4"/>
        <v>RFTNGAE1</v>
      </c>
      <c r="C10" s="233" t="str">
        <f t="shared" si="4"/>
        <v>Residential Food (Cooking) Technology   - Natural Gas - Existing 1</v>
      </c>
      <c r="D10" s="233" t="str">
        <f t="shared" si="4"/>
        <v>RESNGA</v>
      </c>
      <c r="E10" s="233" t="str">
        <f t="shared" si="4"/>
        <v>RFDEM</v>
      </c>
      <c r="F10" s="260">
        <v>2015</v>
      </c>
      <c r="G10" s="251">
        <f>ROUNDUP(Y10/($M10*$N10)*$G$17,2)</f>
        <v>171.98</v>
      </c>
      <c r="H10" s="251">
        <f t="shared" si="5"/>
        <v>4.37</v>
      </c>
      <c r="I10" s="251">
        <f t="shared" si="6"/>
        <v>13.84</v>
      </c>
      <c r="J10" s="466">
        <f t="shared" si="7"/>
        <v>0.5</v>
      </c>
      <c r="K10" s="466">
        <f t="shared" si="7"/>
        <v>0.5</v>
      </c>
      <c r="L10" s="466">
        <f t="shared" si="7"/>
        <v>0.5</v>
      </c>
      <c r="M10" s="244">
        <f t="shared" si="1"/>
        <v>3.1536000000000002E-2</v>
      </c>
      <c r="N10" s="462">
        <v>0.8</v>
      </c>
      <c r="O10" s="246">
        <v>30</v>
      </c>
      <c r="P10" s="227"/>
      <c r="Q10" s="227"/>
      <c r="R10" s="269" t="str">
        <f>R8</f>
        <v>Cooking</v>
      </c>
      <c r="S10" s="227" t="s">
        <v>80</v>
      </c>
      <c r="T10" s="247" t="s">
        <v>187</v>
      </c>
      <c r="U10" s="247">
        <v>2015</v>
      </c>
      <c r="V10" s="436" cm="1">
        <f t="array" ref="V10">_xlfn.IFNA(INDEX('Data manipulation'!$C$23:$N$129,MATCH($S10&amp;$R10,'Data manipulation'!$B$23:$B$129&amp;'Data manipulation'!$A$23:$A$129,0),MATCH($U10,'Data manipulation'!$C$22:$N$22,0))/1000,0)*SUMIFS('Regional split'!$F$4:$F$6,'Regional split'!$B$4:$B$6,V$4)</f>
        <v>8.5072424660609514</v>
      </c>
      <c r="W10" s="436" cm="1">
        <f t="array" ref="W10">_xlfn.IFNA(INDEX('Data manipulation'!$C$23:$N$129,MATCH($S10&amp;$R10,'Data manipulation'!$B$23:$B$129&amp;'Data manipulation'!$A$23:$A$129,0),MATCH($U10,'Data manipulation'!$C$22:$N$22,0))/1000,0)*SUMIFS('Regional split'!$F$4:$F$6,'Regional split'!$B$4:$B$6,W$4)</f>
        <v>0.21610281879243698</v>
      </c>
      <c r="X10" s="436" cm="1">
        <f t="array" ref="X10">_xlfn.IFNA(INDEX('Data manipulation'!$C$23:$N$129,MATCH($S10&amp;$R10,'Data manipulation'!$B$23:$B$129&amp;'Data manipulation'!$A$23:$A$129,0),MATCH($U10,'Data manipulation'!$C$22:$N$22,0))/1000,0)*SUMIFS('Regional split'!$F$4:$F$6,'Regional split'!$B$4:$B$6,X$4)</f>
        <v>0.68428194002699549</v>
      </c>
      <c r="Y10" s="447">
        <f t="shared" ref="Y10" si="9">V10*J10</f>
        <v>4.2536212330304757</v>
      </c>
      <c r="Z10" s="252">
        <f t="shared" si="2"/>
        <v>0.10805140939621849</v>
      </c>
      <c r="AA10" s="448">
        <f t="shared" si="8"/>
        <v>0.34214097001349775</v>
      </c>
    </row>
    <row r="11" spans="2:31" ht="15">
      <c r="B11" s="233" t="str">
        <f t="shared" ref="B11:E12" si="10">B7</f>
        <v>RFTLPGE1</v>
      </c>
      <c r="C11" s="233" t="str">
        <f t="shared" si="10"/>
        <v>Residential Food (Cooking) Technology   - LPG - Existing 1</v>
      </c>
      <c r="D11" s="233" t="str">
        <f t="shared" si="10"/>
        <v>RESLPG</v>
      </c>
      <c r="E11" s="233" t="str">
        <f t="shared" si="10"/>
        <v>RFDEM</v>
      </c>
      <c r="F11" s="230">
        <v>2018</v>
      </c>
      <c r="G11" s="251">
        <f t="shared" ref="G11" si="11">ROUNDUP(Y11/($M11*$N11)*$G$2,2)</f>
        <v>0.35000000000000003</v>
      </c>
      <c r="H11" s="251">
        <f t="shared" ref="H11" si="12">ROUNDUP(Z11/($M11*$N11)*$G$2,2)</f>
        <v>0.01</v>
      </c>
      <c r="I11" s="251">
        <f t="shared" si="0"/>
        <v>0.03</v>
      </c>
      <c r="J11" s="466">
        <f t="shared" ref="J11:L12" si="13">J7</f>
        <v>0.5</v>
      </c>
      <c r="K11" s="466">
        <f t="shared" si="13"/>
        <v>0.5</v>
      </c>
      <c r="L11" s="466">
        <f t="shared" si="13"/>
        <v>0.5</v>
      </c>
      <c r="M11" s="244">
        <f t="shared" si="1"/>
        <v>3.1536000000000002E-2</v>
      </c>
      <c r="N11" s="462">
        <v>1</v>
      </c>
      <c r="O11" s="246">
        <v>30</v>
      </c>
      <c r="P11" s="227"/>
      <c r="Q11" s="227"/>
      <c r="R11" s="269" t="str">
        <f>R8</f>
        <v>Cooking</v>
      </c>
      <c r="S11" s="227" t="s">
        <v>210</v>
      </c>
      <c r="T11" s="247" t="s">
        <v>187</v>
      </c>
      <c r="U11" s="247">
        <v>2018</v>
      </c>
      <c r="V11" s="436" cm="1">
        <f t="array" ref="V11">_xlfn.IFNA(INDEX('Data manipulation'!$C$23:$N$129,MATCH($S11&amp;$R11,'Data manipulation'!$B$23:$B$129&amp;'Data manipulation'!$A$23:$A$129,0),MATCH($U11,'Data manipulation'!$C$22:$N$22,0))/1000,0)*SUMIFS('Regional split'!$F$4:$F$6,'Regional split'!$B$4:$B$6,V$4)</f>
        <v>2.1030111966942152E-2</v>
      </c>
      <c r="W11" s="436" cm="1">
        <f t="array" ref="W11">_xlfn.IFNA(INDEX('Data manipulation'!$C$23:$N$129,MATCH($S11&amp;$R11,'Data manipulation'!$B$23:$B$129&amp;'Data manipulation'!$A$23:$A$129,0),MATCH($U11,'Data manipulation'!$C$22:$N$22,0))/1000,0)*SUMIFS('Regional split'!$F$4:$F$6,'Regional split'!$B$4:$B$6,W$4)</f>
        <v>5.3421146672466308E-4</v>
      </c>
      <c r="X11" s="436" cm="1">
        <f t="array" ref="X11">_xlfn.IFNA(INDEX('Data manipulation'!$C$23:$N$129,MATCH($S11&amp;$R11,'Data manipulation'!$B$23:$B$129&amp;'Data manipulation'!$A$23:$A$129,0),MATCH($U11,'Data manipulation'!$C$22:$N$22,0))/1000,0)*SUMIFS('Regional split'!$F$4:$F$6,'Regional split'!$B$4:$B$6,X$4)</f>
        <v>1.6915617337973036E-3</v>
      </c>
      <c r="Y11" s="447">
        <f t="shared" si="2"/>
        <v>1.0515055983471076E-2</v>
      </c>
      <c r="Z11" s="252">
        <f t="shared" si="2"/>
        <v>2.6710573336233154E-4</v>
      </c>
      <c r="AA11" s="448">
        <f t="shared" ref="AA11:AA12" si="14">X11*L11</f>
        <v>8.4578086689865179E-4</v>
      </c>
      <c r="AC11" s="579"/>
      <c r="AD11" s="579"/>
    </row>
    <row r="12" spans="2:31" ht="15">
      <c r="B12" s="233" t="str">
        <f t="shared" si="10"/>
        <v>RFTNGAE1</v>
      </c>
      <c r="C12" s="233" t="str">
        <f t="shared" si="10"/>
        <v>Residential Food (Cooking) Technology   - Natural Gas - Existing 1</v>
      </c>
      <c r="D12" s="233" t="str">
        <f t="shared" si="10"/>
        <v>RESNGA</v>
      </c>
      <c r="E12" s="233" t="str">
        <f t="shared" si="10"/>
        <v>RFDEM</v>
      </c>
      <c r="F12" s="260">
        <v>2018</v>
      </c>
      <c r="G12" s="251">
        <f>ROUNDUP(Y12/($M12*$N12)*$G$2,2)</f>
        <v>152.82</v>
      </c>
      <c r="H12" s="251">
        <f>ROUNDUP(Z12/($M12*$N12)*$G$2,2)</f>
        <v>3.8899999999999997</v>
      </c>
      <c r="I12" s="251">
        <f t="shared" si="0"/>
        <v>12.299999999999999</v>
      </c>
      <c r="J12" s="466">
        <f t="shared" si="13"/>
        <v>0.5</v>
      </c>
      <c r="K12" s="466">
        <f t="shared" si="13"/>
        <v>0.5</v>
      </c>
      <c r="L12" s="466">
        <f t="shared" si="13"/>
        <v>0.5</v>
      </c>
      <c r="M12" s="244">
        <f t="shared" si="1"/>
        <v>3.1536000000000002E-2</v>
      </c>
      <c r="N12" s="462">
        <v>1</v>
      </c>
      <c r="O12" s="246">
        <v>30</v>
      </c>
      <c r="P12" s="227"/>
      <c r="Q12" s="227"/>
      <c r="R12" s="269" t="str">
        <f>R11</f>
        <v>Cooking</v>
      </c>
      <c r="S12" s="227" t="s">
        <v>80</v>
      </c>
      <c r="T12" s="247" t="s">
        <v>187</v>
      </c>
      <c r="U12" s="247">
        <v>2018</v>
      </c>
      <c r="V12" s="436" cm="1">
        <f t="array" ref="V12">_xlfn.IFNA(INDEX('Data manipulation'!$C$23:$N$129,MATCH($S12&amp;$R12,'Data manipulation'!$B$23:$B$129&amp;'Data manipulation'!$A$23:$A$129,0),MATCH($U12,'Data manipulation'!$C$22:$N$22,0))/1000,0)*SUMIFS('Regional split'!$F$4:$F$6,'Regional split'!$B$4:$B$6,V$4)</f>
        <v>9.4496068507964885</v>
      </c>
      <c r="W12" s="436" cm="1">
        <f t="array" ref="W12">_xlfn.IFNA(INDEX('Data manipulation'!$C$23:$N$129,MATCH($S12&amp;$R12,'Data manipulation'!$B$23:$B$129&amp;'Data manipulation'!$A$23:$A$129,0),MATCH($U12,'Data manipulation'!$C$22:$N$22,0))/1000,0)*SUMIFS('Regional split'!$F$4:$F$6,'Regional split'!$B$4:$B$6,W$4)</f>
        <v>0.24004096334202377</v>
      </c>
      <c r="X12" s="436" cm="1">
        <f t="array" ref="X12">_xlfn.IFNA(INDEX('Data manipulation'!$C$23:$N$129,MATCH($S12&amp;$R12,'Data manipulation'!$B$23:$B$129&amp;'Data manipulation'!$A$23:$A$129,0),MATCH($U12,'Data manipulation'!$C$22:$N$22,0))/1000,0)*SUMIFS('Regional split'!$F$4:$F$6,'Regional split'!$B$4:$B$6,X$4)</f>
        <v>0.76008122892368979</v>
      </c>
      <c r="Y12" s="447">
        <f t="shared" si="2"/>
        <v>4.7248034253982443</v>
      </c>
      <c r="Z12" s="252">
        <f t="shared" si="2"/>
        <v>0.12002048167101188</v>
      </c>
      <c r="AA12" s="448">
        <f t="shared" si="14"/>
        <v>0.38004061446184489</v>
      </c>
      <c r="AC12" s="579"/>
      <c r="AD12" s="579"/>
    </row>
    <row r="13" spans="2:31" ht="15">
      <c r="B13" s="233" t="str">
        <f t="shared" ref="B13:E13" si="15">B11</f>
        <v>RFTLPGE1</v>
      </c>
      <c r="C13" s="233" t="str">
        <f t="shared" si="15"/>
        <v>Residential Food (Cooking) Technology   - LPG - Existing 1</v>
      </c>
      <c r="D13" s="233" t="str">
        <f t="shared" si="15"/>
        <v>RESLPG</v>
      </c>
      <c r="E13" s="233" t="str">
        <f t="shared" si="15"/>
        <v>RFDEM</v>
      </c>
      <c r="F13" s="584">
        <f>F11+O13</f>
        <v>2048</v>
      </c>
      <c r="G13" s="251">
        <v>0</v>
      </c>
      <c r="H13" s="251">
        <v>0</v>
      </c>
      <c r="I13" s="251">
        <v>0</v>
      </c>
      <c r="J13" s="466">
        <f t="shared" ref="J13:L13" si="16">J11</f>
        <v>0.5</v>
      </c>
      <c r="K13" s="466">
        <f t="shared" si="16"/>
        <v>0.5</v>
      </c>
      <c r="L13" s="466">
        <f t="shared" si="16"/>
        <v>0.5</v>
      </c>
      <c r="M13" s="244">
        <f t="shared" si="1"/>
        <v>3.1536000000000002E-2</v>
      </c>
      <c r="N13" s="462">
        <v>1</v>
      </c>
      <c r="O13" s="246">
        <v>30</v>
      </c>
      <c r="P13" s="227"/>
      <c r="Q13" s="227"/>
      <c r="R13" s="269" t="str">
        <f>R12</f>
        <v>Cooking</v>
      </c>
      <c r="S13" s="227" t="s">
        <v>210</v>
      </c>
      <c r="T13" s="247" t="s">
        <v>187</v>
      </c>
      <c r="U13" s="247">
        <v>2018</v>
      </c>
      <c r="V13" s="436" cm="1">
        <f t="array" ref="V13">_xlfn.IFNA(INDEX('Data manipulation'!$C$23:$N$129,MATCH($S13&amp;$R13,'Data manipulation'!$B$23:$B$129&amp;'Data manipulation'!$A$23:$A$129,0),MATCH($U13,'Data manipulation'!$C$22:$N$22,0))/1000,0)*SUMIFS('Regional split'!$F$4:$F$6,'Regional split'!$B$4:$B$6,V$4)</f>
        <v>2.1030111966942152E-2</v>
      </c>
      <c r="W13" s="436" cm="1">
        <f t="array" ref="W13">_xlfn.IFNA(INDEX('Data manipulation'!$C$23:$N$129,MATCH($S13&amp;$R13,'Data manipulation'!$B$23:$B$129&amp;'Data manipulation'!$A$23:$A$129,0),MATCH($U13,'Data manipulation'!$C$22:$N$22,0))/1000,0)*SUMIFS('Regional split'!$F$4:$F$6,'Regional split'!$B$4:$B$6,W$4)</f>
        <v>5.3421146672466308E-4</v>
      </c>
      <c r="X13" s="436" cm="1">
        <f t="array" ref="X13">_xlfn.IFNA(INDEX('Data manipulation'!$C$23:$N$129,MATCH($S13&amp;$R13,'Data manipulation'!$B$23:$B$129&amp;'Data manipulation'!$A$23:$A$129,0),MATCH($U13,'Data manipulation'!$C$22:$N$22,0))/1000,0)*SUMIFS('Regional split'!$F$4:$F$6,'Regional split'!$B$4:$B$6,X$4)</f>
        <v>1.6915617337973036E-3</v>
      </c>
      <c r="Y13" s="447">
        <f t="shared" ref="Y13:Y14" si="17">V13*J13</f>
        <v>1.0515055983471076E-2</v>
      </c>
      <c r="Z13" s="252">
        <f t="shared" ref="Z13:Z14" si="18">W13*K13</f>
        <v>2.6710573336233154E-4</v>
      </c>
      <c r="AA13" s="448">
        <f t="shared" ref="AA13:AA14" si="19">X13*L13</f>
        <v>8.4578086689865179E-4</v>
      </c>
      <c r="AC13" s="579"/>
      <c r="AD13" s="579"/>
    </row>
    <row r="14" spans="2:31" ht="15">
      <c r="B14" s="233" t="str">
        <f t="shared" ref="B14:E14" si="20">B12</f>
        <v>RFTNGAE1</v>
      </c>
      <c r="C14" s="233" t="str">
        <f t="shared" si="20"/>
        <v>Residential Food (Cooking) Technology   - Natural Gas - Existing 1</v>
      </c>
      <c r="D14" s="233" t="str">
        <f t="shared" si="20"/>
        <v>RESNGA</v>
      </c>
      <c r="E14" s="233" t="str">
        <f t="shared" si="20"/>
        <v>RFDEM</v>
      </c>
      <c r="F14" s="584">
        <f>F12+O14</f>
        <v>2048</v>
      </c>
      <c r="G14" s="251">
        <v>0</v>
      </c>
      <c r="H14" s="251">
        <v>0</v>
      </c>
      <c r="I14" s="251">
        <v>0</v>
      </c>
      <c r="J14" s="466">
        <f t="shared" ref="J14:L14" si="21">J12</f>
        <v>0.5</v>
      </c>
      <c r="K14" s="466">
        <f t="shared" si="21"/>
        <v>0.5</v>
      </c>
      <c r="L14" s="466">
        <f t="shared" si="21"/>
        <v>0.5</v>
      </c>
      <c r="M14" s="244">
        <f t="shared" si="1"/>
        <v>3.1536000000000002E-2</v>
      </c>
      <c r="N14" s="462">
        <v>1</v>
      </c>
      <c r="O14" s="246">
        <v>30</v>
      </c>
      <c r="P14" s="227"/>
      <c r="Q14" s="227"/>
      <c r="R14" s="269" t="str">
        <f>R13</f>
        <v>Cooking</v>
      </c>
      <c r="S14" s="227" t="s">
        <v>80</v>
      </c>
      <c r="T14" s="247" t="s">
        <v>187</v>
      </c>
      <c r="U14" s="247">
        <v>2018</v>
      </c>
      <c r="V14" s="436" cm="1">
        <f t="array" ref="V14">_xlfn.IFNA(INDEX('Data manipulation'!$C$23:$N$129,MATCH($S14&amp;$R14,'Data manipulation'!$B$23:$B$129&amp;'Data manipulation'!$A$23:$A$129,0),MATCH($U14,'Data manipulation'!$C$22:$N$22,0))/1000,0)*SUMIFS('Regional split'!$F$4:$F$6,'Regional split'!$B$4:$B$6,V$4)</f>
        <v>9.4496068507964885</v>
      </c>
      <c r="W14" s="436" cm="1">
        <f t="array" ref="W14">_xlfn.IFNA(INDEX('Data manipulation'!$C$23:$N$129,MATCH($S14&amp;$R14,'Data manipulation'!$B$23:$B$129&amp;'Data manipulation'!$A$23:$A$129,0),MATCH($U14,'Data manipulation'!$C$22:$N$22,0))/1000,0)*SUMIFS('Regional split'!$F$4:$F$6,'Regional split'!$B$4:$B$6,W$4)</f>
        <v>0.24004096334202377</v>
      </c>
      <c r="X14" s="436" cm="1">
        <f t="array" ref="X14">_xlfn.IFNA(INDEX('Data manipulation'!$C$23:$N$129,MATCH($S14&amp;$R14,'Data manipulation'!$B$23:$B$129&amp;'Data manipulation'!$A$23:$A$129,0),MATCH($U14,'Data manipulation'!$C$22:$N$22,0))/1000,0)*SUMIFS('Regional split'!$F$4:$F$6,'Regional split'!$B$4:$B$6,X$4)</f>
        <v>0.76008122892368979</v>
      </c>
      <c r="Y14" s="447">
        <f t="shared" si="17"/>
        <v>4.7248034253982443</v>
      </c>
      <c r="Z14" s="252">
        <f t="shared" si="18"/>
        <v>0.12002048167101188</v>
      </c>
      <c r="AA14" s="448">
        <f t="shared" si="19"/>
        <v>0.38004061446184489</v>
      </c>
      <c r="AC14" s="579"/>
      <c r="AD14" s="579"/>
    </row>
    <row r="15" spans="2:31" ht="19">
      <c r="B15" s="227"/>
      <c r="C15" s="227"/>
      <c r="D15" s="230"/>
      <c r="E15" s="230"/>
      <c r="F15" s="230"/>
      <c r="G15" s="264"/>
      <c r="H15" s="264"/>
      <c r="I15" s="264"/>
      <c r="J15" s="265"/>
      <c r="K15" s="265"/>
      <c r="L15" s="265"/>
      <c r="M15" s="266"/>
      <c r="O15" s="265"/>
      <c r="P15" s="227"/>
      <c r="Q15" s="227"/>
      <c r="R15" s="227"/>
      <c r="S15" s="227"/>
      <c r="T15" s="227"/>
      <c r="U15" s="227"/>
      <c r="V15" s="227"/>
      <c r="W15" s="227"/>
      <c r="X15" s="227"/>
      <c r="Y15" s="227"/>
      <c r="Z15" s="227"/>
      <c r="AA15" s="233"/>
    </row>
    <row r="16" spans="2:31" ht="14">
      <c r="B16" s="227"/>
      <c r="C16" s="227"/>
    </row>
    <row r="17" spans="2:27" ht="22" thickBot="1">
      <c r="B17" s="516" t="s">
        <v>290</v>
      </c>
      <c r="C17" s="227"/>
      <c r="D17" s="228"/>
      <c r="E17" s="229" t="s">
        <v>181</v>
      </c>
      <c r="F17" s="229"/>
      <c r="G17" s="272">
        <v>1.02</v>
      </c>
      <c r="H17" s="272"/>
      <c r="I17" s="272"/>
      <c r="J17" s="230"/>
      <c r="K17" s="230"/>
      <c r="L17" s="230"/>
      <c r="M17" s="231"/>
      <c r="N17" s="232"/>
      <c r="O17" s="232"/>
      <c r="P17" s="227"/>
      <c r="Q17" s="227"/>
      <c r="R17" s="233"/>
      <c r="S17" s="296"/>
      <c r="T17" s="233"/>
      <c r="U17" s="233"/>
      <c r="V17" s="233"/>
      <c r="W17" s="233"/>
      <c r="X17" s="233"/>
      <c r="Y17" s="233"/>
      <c r="Z17" s="227"/>
      <c r="AA17" s="227"/>
    </row>
    <row r="18" spans="2:27" ht="15">
      <c r="B18" s="226"/>
      <c r="C18" s="227"/>
      <c r="D18" s="228"/>
      <c r="E18" s="229"/>
      <c r="F18" s="229"/>
      <c r="G18" s="272"/>
      <c r="H18" s="272"/>
      <c r="I18" s="272"/>
      <c r="J18" s="230"/>
      <c r="K18" s="230"/>
      <c r="L18" s="230"/>
      <c r="M18" s="232"/>
      <c r="N18" s="227"/>
      <c r="O18" s="227"/>
      <c r="P18" s="233"/>
      <c r="Q18" s="296"/>
      <c r="R18" s="233"/>
      <c r="S18" s="233"/>
      <c r="T18" s="267" t="s">
        <v>194</v>
      </c>
      <c r="U18" s="233"/>
      <c r="V18" s="233"/>
      <c r="W18" s="233"/>
      <c r="X18" s="227"/>
      <c r="Y18" s="227"/>
      <c r="Z18" s="227"/>
      <c r="AA18" s="227"/>
    </row>
    <row r="19" spans="2:27" ht="15" thickBot="1">
      <c r="B19" s="227"/>
      <c r="C19" s="227"/>
      <c r="D19" s="230"/>
      <c r="E19" s="230"/>
      <c r="F19" s="234" t="s">
        <v>8</v>
      </c>
      <c r="G19" s="230"/>
      <c r="H19" s="234"/>
      <c r="I19" s="234"/>
      <c r="J19" s="234"/>
      <c r="K19" s="234"/>
      <c r="L19" s="234"/>
      <c r="M19" s="235"/>
      <c r="N19" s="227"/>
      <c r="O19" s="233"/>
      <c r="P19" s="233"/>
      <c r="Q19" s="269"/>
      <c r="R19" s="233"/>
      <c r="S19" s="233"/>
      <c r="T19" s="268">
        <v>3.5999999999999999E-3</v>
      </c>
      <c r="U19" s="233"/>
      <c r="V19" s="440" t="s">
        <v>829</v>
      </c>
      <c r="W19" s="441" t="s">
        <v>830</v>
      </c>
      <c r="X19" s="442" t="s">
        <v>831</v>
      </c>
      <c r="Y19" s="440" t="s">
        <v>829</v>
      </c>
      <c r="Z19" s="441" t="s">
        <v>830</v>
      </c>
      <c r="AA19" s="442" t="s">
        <v>831</v>
      </c>
    </row>
    <row r="20" spans="2:27" ht="30">
      <c r="B20" s="238" t="s">
        <v>2</v>
      </c>
      <c r="C20" s="238" t="s">
        <v>26</v>
      </c>
      <c r="D20" s="238" t="s">
        <v>14</v>
      </c>
      <c r="E20" s="238" t="s">
        <v>15</v>
      </c>
      <c r="F20" s="423" t="s">
        <v>108</v>
      </c>
      <c r="G20" s="239" t="s">
        <v>832</v>
      </c>
      <c r="H20" s="239" t="s">
        <v>833</v>
      </c>
      <c r="I20" s="239" t="s">
        <v>834</v>
      </c>
      <c r="J20" s="240" t="s">
        <v>835</v>
      </c>
      <c r="K20" s="240" t="s">
        <v>836</v>
      </c>
      <c r="L20" s="240" t="s">
        <v>837</v>
      </c>
      <c r="M20" s="238" t="s">
        <v>0</v>
      </c>
      <c r="N20" s="238" t="s">
        <v>184</v>
      </c>
      <c r="O20" s="239" t="s">
        <v>107</v>
      </c>
      <c r="P20" s="227"/>
      <c r="Q20" s="227"/>
      <c r="R20" s="227"/>
      <c r="S20" s="227"/>
      <c r="T20" s="227"/>
      <c r="U20" s="227"/>
      <c r="V20" s="274" t="s">
        <v>81</v>
      </c>
      <c r="W20" s="273" t="s">
        <v>81</v>
      </c>
      <c r="X20" s="443" t="s">
        <v>81</v>
      </c>
      <c r="Y20" s="274" t="s">
        <v>77</v>
      </c>
      <c r="Z20" s="273" t="s">
        <v>77</v>
      </c>
      <c r="AA20" s="443" t="s">
        <v>77</v>
      </c>
    </row>
    <row r="21" spans="2:27" ht="25" thickBot="1">
      <c r="B21" s="242" t="s">
        <v>27</v>
      </c>
      <c r="C21" s="242"/>
      <c r="D21" s="242"/>
      <c r="E21" s="242"/>
      <c r="F21" s="243"/>
      <c r="G21" s="243" t="s">
        <v>65</v>
      </c>
      <c r="H21" s="243" t="s">
        <v>65</v>
      </c>
      <c r="I21" s="243" t="s">
        <v>65</v>
      </c>
      <c r="J21" s="243" t="s">
        <v>75</v>
      </c>
      <c r="K21" s="243" t="s">
        <v>75</v>
      </c>
      <c r="L21" s="243" t="s">
        <v>75</v>
      </c>
      <c r="M21" s="242"/>
      <c r="N21" s="242" t="s">
        <v>754</v>
      </c>
      <c r="O21" s="242" t="s">
        <v>108</v>
      </c>
      <c r="P21" s="227"/>
      <c r="Q21" s="227"/>
      <c r="R21" s="227"/>
      <c r="S21" s="227"/>
      <c r="T21" s="227"/>
      <c r="U21" s="227" t="s">
        <v>108</v>
      </c>
      <c r="V21" s="276" t="s">
        <v>48</v>
      </c>
      <c r="W21" s="461" t="s">
        <v>48</v>
      </c>
      <c r="X21" s="444" t="s">
        <v>48</v>
      </c>
      <c r="Y21" s="276" t="s">
        <v>76</v>
      </c>
      <c r="Z21" s="275" t="s">
        <v>76</v>
      </c>
      <c r="AA21" s="444" t="s">
        <v>76</v>
      </c>
    </row>
    <row r="22" spans="2:27" ht="15" customHeight="1">
      <c r="B22" s="233" t="str">
        <f>Processes!D41</f>
        <v>RATELCAE1</v>
      </c>
      <c r="C22" s="233" t="str">
        <f>Processes!E41</f>
        <v>Residential Appliances Technology   - Electricity Appliances - Existing 1</v>
      </c>
      <c r="D22" s="230" t="str">
        <f>Commodities!$C$29</f>
        <v>RESELCA</v>
      </c>
      <c r="E22" s="260" t="str">
        <f>Commodities!$C$16</f>
        <v>RADEM</v>
      </c>
      <c r="F22" s="260">
        <v>2010</v>
      </c>
      <c r="G22" s="251">
        <f t="shared" ref="G22:I27" si="22">ROUNDUP(Y22/($M22*$N22)*$G$17,2)</f>
        <v>737.43999999999994</v>
      </c>
      <c r="H22" s="251">
        <f t="shared" si="22"/>
        <v>18.740000000000002</v>
      </c>
      <c r="I22" s="251">
        <f t="shared" si="22"/>
        <v>59.32</v>
      </c>
      <c r="J22" s="466">
        <v>1</v>
      </c>
      <c r="K22" s="466">
        <v>1</v>
      </c>
      <c r="L22" s="466">
        <v>1</v>
      </c>
      <c r="M22" s="244">
        <f t="shared" ref="M22:M29" si="23">31.536/1000</f>
        <v>3.1536000000000002E-2</v>
      </c>
      <c r="N22" s="462">
        <v>0.8</v>
      </c>
      <c r="O22" s="246">
        <v>30</v>
      </c>
      <c r="P22" s="269"/>
      <c r="Q22" s="579">
        <f>SUM(G22:I22)*M22</f>
        <v>25.717608000000002</v>
      </c>
      <c r="R22" s="269" t="str">
        <f>B17</f>
        <v>Appliances</v>
      </c>
      <c r="S22" s="227" t="s">
        <v>79</v>
      </c>
      <c r="T22" s="255" t="s">
        <v>190</v>
      </c>
      <c r="U22" s="247">
        <v>2010</v>
      </c>
      <c r="V22" s="436" cm="1">
        <f t="array" ref="V22">_xlfn.IFNA(INDEX('Data manipulation'!$C$23:$N$129,MATCH($S22&amp;$R22,'Data manipulation'!$B$23:$B$129&amp;'Data manipulation'!$A$23:$A$129,0),MATCH($U22,'Data manipulation'!$C$22:$N$22,0))/1000,0)*SUMIFS('Regional split'!$F$4:$F$6,'Regional split'!$B$4:$B$6,V$4)</f>
        <v>18.239796330395091</v>
      </c>
      <c r="W22" s="436" cm="1">
        <f t="array" ref="W22">_xlfn.IFNA(INDEX('Data manipulation'!$C$23:$N$129,MATCH($S22&amp;$R22,'Data manipulation'!$B$23:$B$129&amp;'Data manipulation'!$A$23:$A$129,0),MATCH($U22,'Data manipulation'!$C$22:$N$22,0))/1000,0)*SUMIFS('Regional split'!$F$4:$F$6,'Regional split'!$B$4:$B$6,W$4)</f>
        <v>0.46333126355847382</v>
      </c>
      <c r="X22" s="436" cm="1">
        <f t="array" ref="X22">_xlfn.IFNA(INDEX('Data manipulation'!$C$23:$N$129,MATCH($S22&amp;$R22,'Data manipulation'!$B$23:$B$129&amp;'Data manipulation'!$A$23:$A$129,0),MATCH($U22,'Data manipulation'!$C$22:$N$22,0))/1000,0)*SUMIFS('Regional split'!$F$4:$F$6,'Regional split'!$B$4:$B$6,X$4)</f>
        <v>1.4671220749206049</v>
      </c>
      <c r="Y22" s="447">
        <f t="shared" ref="Y22:Y23" si="24">V22*J22</f>
        <v>18.239796330395091</v>
      </c>
      <c r="Z22" s="252">
        <f t="shared" ref="Z22:Z27" si="25">W22*K22</f>
        <v>0.46333126355847382</v>
      </c>
      <c r="AA22" s="448">
        <f t="shared" ref="AA22:AA27" si="26">X22*L22</f>
        <v>1.4671220749206049</v>
      </c>
    </row>
    <row r="23" spans="2:27" ht="15" customHeight="1">
      <c r="B23" s="233" t="str">
        <f>Processes!D42</f>
        <v>RATGSLE1</v>
      </c>
      <c r="C23" s="233" t="str">
        <f>Processes!E42</f>
        <v>Residential Appliances Technology   - Gasoline - Existing 1</v>
      </c>
      <c r="D23" s="230" t="str">
        <f>Commodities!$C$21</f>
        <v>RESGSL</v>
      </c>
      <c r="E23" s="260" t="str">
        <f>Commodities!$C$16</f>
        <v>RADEM</v>
      </c>
      <c r="F23" s="260">
        <v>2010</v>
      </c>
      <c r="G23" s="251">
        <f t="shared" si="22"/>
        <v>0.29000000000000004</v>
      </c>
      <c r="H23" s="251">
        <f t="shared" si="22"/>
        <v>0.01</v>
      </c>
      <c r="I23" s="251">
        <f t="shared" si="22"/>
        <v>0.03</v>
      </c>
      <c r="J23" s="466">
        <v>0.15</v>
      </c>
      <c r="K23" s="466">
        <v>0.15</v>
      </c>
      <c r="L23" s="466">
        <v>0.15</v>
      </c>
      <c r="M23" s="244">
        <f t="shared" si="23"/>
        <v>3.1536000000000002E-2</v>
      </c>
      <c r="N23" s="462">
        <v>0.8</v>
      </c>
      <c r="O23" s="246">
        <v>30</v>
      </c>
      <c r="P23" s="227"/>
      <c r="Q23" s="269"/>
      <c r="R23" s="269" t="str">
        <f>R22</f>
        <v>Appliances</v>
      </c>
      <c r="S23" s="227" t="s">
        <v>211</v>
      </c>
      <c r="T23" s="255" t="s">
        <v>728</v>
      </c>
      <c r="U23" s="247">
        <v>2010</v>
      </c>
      <c r="V23" s="436" cm="1">
        <f t="array" ref="V23">_xlfn.IFNA(INDEX('Data manipulation'!$C$23:$N$129,MATCH($S23&amp;$R23,'Data manipulation'!$B$23:$B$129&amp;'Data manipulation'!$A$23:$A$129,0),MATCH($U23,'Data manipulation'!$C$22:$N$22,0))/1000,0)*SUMIFS('Regional split'!$F$4:$F$6,'Regional split'!$B$4:$B$6,V$4)</f>
        <v>4.6842327954545453E-2</v>
      </c>
      <c r="W23" s="436" cm="1">
        <f t="array" ref="W23">_xlfn.IFNA(INDEX('Data manipulation'!$C$23:$N$129,MATCH($S23&amp;$R23,'Data manipulation'!$B$23:$B$129&amp;'Data manipulation'!$A$23:$A$129,0),MATCH($U23,'Data manipulation'!$C$22:$N$22,0))/1000,0)*SUMIFS('Regional split'!$F$4:$F$6,'Regional split'!$B$4:$B$6,W$4)</f>
        <v>1.1898989772727274E-3</v>
      </c>
      <c r="X23" s="436" cm="1">
        <f t="array" ref="X23">_xlfn.IFNA(INDEX('Data manipulation'!$C$23:$N$129,MATCH($S23&amp;$R23,'Data manipulation'!$B$23:$B$129&amp;'Data manipulation'!$A$23:$A$129,0),MATCH($U23,'Data manipulation'!$C$22:$N$22,0))/1000,0)*SUMIFS('Regional split'!$F$4:$F$6,'Regional split'!$B$4:$B$6,X$4)</f>
        <v>3.7677730681818181E-3</v>
      </c>
      <c r="Y23" s="447">
        <f t="shared" si="24"/>
        <v>7.0263491931818181E-3</v>
      </c>
      <c r="Z23" s="252">
        <f t="shared" si="25"/>
        <v>1.7848484659090911E-4</v>
      </c>
      <c r="AA23" s="448">
        <f t="shared" si="26"/>
        <v>5.6516596022727265E-4</v>
      </c>
    </row>
    <row r="24" spans="2:27" ht="15">
      <c r="B24" s="233" t="str">
        <f t="shared" ref="B24:E27" si="27">B22</f>
        <v>RATELCAE1</v>
      </c>
      <c r="C24" s="233" t="str">
        <f t="shared" si="27"/>
        <v>Residential Appliances Technology   - Electricity Appliances - Existing 1</v>
      </c>
      <c r="D24" s="233" t="str">
        <f t="shared" si="27"/>
        <v>RESELCA</v>
      </c>
      <c r="E24" s="233" t="str">
        <f t="shared" si="27"/>
        <v>RADEM</v>
      </c>
      <c r="F24" s="260">
        <v>2015</v>
      </c>
      <c r="G24" s="251">
        <f>ROUNDUP(Y24/($M24*$N24)*$G$17,2)</f>
        <v>1017.1</v>
      </c>
      <c r="H24" s="251">
        <f t="shared" ref="H24:H25" si="28">ROUNDUP(Z24/($M24*$N24)*$G$17,2)</f>
        <v>25.84</v>
      </c>
      <c r="I24" s="251">
        <f t="shared" ref="I24:I25" si="29">ROUNDUP(AA24/($M24*$N24)*$G$17,2)</f>
        <v>81.820000000000007</v>
      </c>
      <c r="J24" s="466">
        <f t="shared" ref="J24:L27" si="30">J22</f>
        <v>1</v>
      </c>
      <c r="K24" s="466">
        <f t="shared" si="30"/>
        <v>1</v>
      </c>
      <c r="L24" s="466">
        <f t="shared" si="30"/>
        <v>1</v>
      </c>
      <c r="M24" s="244">
        <f t="shared" si="23"/>
        <v>3.1536000000000002E-2</v>
      </c>
      <c r="N24" s="462">
        <v>0.8</v>
      </c>
      <c r="O24" s="246">
        <v>30</v>
      </c>
      <c r="P24" s="227"/>
      <c r="Q24" s="227"/>
      <c r="R24" s="269" t="str">
        <f>R22</f>
        <v>Appliances</v>
      </c>
      <c r="S24" s="227" t="s">
        <v>79</v>
      </c>
      <c r="T24" s="255" t="s">
        <v>190</v>
      </c>
      <c r="U24" s="247">
        <v>2015</v>
      </c>
      <c r="V24" s="436" cm="1">
        <f t="array" ref="V24">_xlfn.IFNA(INDEX('Data manipulation'!$C$23:$N$129,MATCH($S24&amp;$R24,'Data manipulation'!$B$23:$B$129&amp;'Data manipulation'!$A$23:$A$129,0),MATCH($U24,'Data manipulation'!$C$22:$N$22,0))/1000,0)*SUMIFS('Regional split'!$F$4:$F$6,'Regional split'!$B$4:$B$6,V$4)</f>
        <v>25.15687051348284</v>
      </c>
      <c r="W24" s="436" cm="1">
        <f t="array" ref="W24">_xlfn.IFNA(INDEX('Data manipulation'!$C$23:$N$129,MATCH($S24&amp;$R24,'Data manipulation'!$B$23:$B$129&amp;'Data manipulation'!$A$23:$A$129,0),MATCH($U24,'Data manipulation'!$C$22:$N$22,0))/1000,0)*SUMIFS('Regional split'!$F$4:$F$6,'Regional split'!$B$4:$B$6,W$4)</f>
        <v>0.63904028263546053</v>
      </c>
      <c r="X24" s="436" cm="1">
        <f t="array" ref="X24">_xlfn.IFNA(INDEX('Data manipulation'!$C$23:$N$129,MATCH($S24&amp;$R24,'Data manipulation'!$B$23:$B$129&amp;'Data manipulation'!$A$23:$A$129,0),MATCH($U24,'Data manipulation'!$C$22:$N$22,0))/1000,0)*SUMIFS('Regional split'!$F$4:$F$6,'Regional split'!$B$4:$B$6,X$4)</f>
        <v>2.0234984754048764</v>
      </c>
      <c r="Y24" s="447">
        <f>V24*J24</f>
        <v>25.15687051348284</v>
      </c>
      <c r="Z24" s="252">
        <f t="shared" ref="Z24:Z25" si="31">W24*K24</f>
        <v>0.63904028263546053</v>
      </c>
      <c r="AA24" s="448">
        <f t="shared" ref="AA24:AA25" si="32">X24*L24</f>
        <v>2.0234984754048764</v>
      </c>
    </row>
    <row r="25" spans="2:27" ht="15">
      <c r="B25" s="233" t="str">
        <f t="shared" si="27"/>
        <v>RATGSLE1</v>
      </c>
      <c r="C25" s="233" t="str">
        <f t="shared" si="27"/>
        <v>Residential Appliances Technology   - Gasoline - Existing 1</v>
      </c>
      <c r="D25" s="233" t="str">
        <f t="shared" si="27"/>
        <v>RESGSL</v>
      </c>
      <c r="E25" s="233" t="str">
        <f t="shared" si="27"/>
        <v>RADEM</v>
      </c>
      <c r="F25" s="260">
        <v>2015</v>
      </c>
      <c r="G25" s="251">
        <f>ROUNDUP(Y25/($M25*$N25)*$G$17,2)</f>
        <v>9.9999999999999992E-2</v>
      </c>
      <c r="H25" s="251">
        <f t="shared" si="28"/>
        <v>0.01</v>
      </c>
      <c r="I25" s="251">
        <f t="shared" si="29"/>
        <v>0.01</v>
      </c>
      <c r="J25" s="466">
        <f t="shared" si="30"/>
        <v>0.15</v>
      </c>
      <c r="K25" s="466">
        <f t="shared" si="30"/>
        <v>0.15</v>
      </c>
      <c r="L25" s="466">
        <f t="shared" si="30"/>
        <v>0.15</v>
      </c>
      <c r="M25" s="244">
        <f t="shared" si="23"/>
        <v>3.1536000000000002E-2</v>
      </c>
      <c r="N25" s="462">
        <v>0.8</v>
      </c>
      <c r="O25" s="246">
        <v>30</v>
      </c>
      <c r="P25" s="227"/>
      <c r="Q25" s="227"/>
      <c r="R25" s="269" t="str">
        <f>R23</f>
        <v>Appliances</v>
      </c>
      <c r="S25" s="227" t="s">
        <v>211</v>
      </c>
      <c r="T25" s="255" t="s">
        <v>728</v>
      </c>
      <c r="U25" s="247">
        <v>2015</v>
      </c>
      <c r="V25" s="436" cm="1">
        <f t="array" ref="V25">_xlfn.IFNA(INDEX('Data manipulation'!$C$23:$N$129,MATCH($S25&amp;$R25,'Data manipulation'!$B$23:$B$129&amp;'Data manipulation'!$A$23:$A$129,0),MATCH($U25,'Data manipulation'!$C$22:$N$22,0))/1000,0)*SUMIFS('Regional split'!$F$4:$F$6,'Regional split'!$B$4:$B$6,V$4)</f>
        <v>1.5644252386363636E-2</v>
      </c>
      <c r="W25" s="436" cm="1">
        <f t="array" ref="W25">_xlfn.IFNA(INDEX('Data manipulation'!$C$23:$N$129,MATCH($S25&amp;$R25,'Data manipulation'!$B$23:$B$129&amp;'Data manipulation'!$A$23:$A$129,0),MATCH($U25,'Data manipulation'!$C$22:$N$22,0))/1000,0)*SUMIFS('Regional split'!$F$4:$F$6,'Regional split'!$B$4:$B$6,W$4)</f>
        <v>3.9739869318181818E-4</v>
      </c>
      <c r="X25" s="436" cm="1">
        <f t="array" ref="X25">_xlfn.IFNA(INDEX('Data manipulation'!$C$23:$N$129,MATCH($S25&amp;$R25,'Data manipulation'!$B$23:$B$129&amp;'Data manipulation'!$A$23:$A$129,0),MATCH($U25,'Data manipulation'!$C$22:$N$22,0))/1000,0)*SUMIFS('Regional split'!$F$4:$F$6,'Regional split'!$B$4:$B$6,X$4)</f>
        <v>1.2583489204545453E-3</v>
      </c>
      <c r="Y25" s="447">
        <f t="shared" ref="Y25" si="33">V25*J25</f>
        <v>2.3466378579545455E-3</v>
      </c>
      <c r="Z25" s="252">
        <f t="shared" si="31"/>
        <v>5.9609803977272728E-5</v>
      </c>
      <c r="AA25" s="448">
        <f t="shared" si="32"/>
        <v>1.887523380681818E-4</v>
      </c>
    </row>
    <row r="26" spans="2:27" ht="15">
      <c r="B26" s="233" t="str">
        <f t="shared" si="27"/>
        <v>RATELCAE1</v>
      </c>
      <c r="C26" s="233" t="str">
        <f t="shared" si="27"/>
        <v>Residential Appliances Technology   - Electricity Appliances - Existing 1</v>
      </c>
      <c r="D26" s="233" t="str">
        <f t="shared" si="27"/>
        <v>RESELCA</v>
      </c>
      <c r="E26" s="233" t="str">
        <f t="shared" si="27"/>
        <v>RADEM</v>
      </c>
      <c r="F26" s="260">
        <v>2018</v>
      </c>
      <c r="G26" s="251">
        <f t="shared" si="22"/>
        <v>858.4</v>
      </c>
      <c r="H26" s="251">
        <f t="shared" si="22"/>
        <v>21.810000000000002</v>
      </c>
      <c r="I26" s="251">
        <f t="shared" si="22"/>
        <v>69.050000000000011</v>
      </c>
      <c r="J26" s="466">
        <f t="shared" si="30"/>
        <v>1</v>
      </c>
      <c r="K26" s="466">
        <f t="shared" si="30"/>
        <v>1</v>
      </c>
      <c r="L26" s="466">
        <f t="shared" si="30"/>
        <v>1</v>
      </c>
      <c r="M26" s="244">
        <f t="shared" si="23"/>
        <v>3.1536000000000002E-2</v>
      </c>
      <c r="N26" s="462">
        <v>0.8</v>
      </c>
      <c r="O26" s="246">
        <v>30</v>
      </c>
      <c r="P26" s="227"/>
      <c r="Q26" s="227"/>
      <c r="R26" s="269" t="str">
        <f>R24</f>
        <v>Appliances</v>
      </c>
      <c r="S26" s="227" t="s">
        <v>79</v>
      </c>
      <c r="T26" s="255" t="s">
        <v>190</v>
      </c>
      <c r="U26" s="247">
        <v>2018</v>
      </c>
      <c r="V26" s="436" cm="1">
        <f t="array" ref="V26">_xlfn.IFNA(INDEX('Data manipulation'!$C$23:$N$129,MATCH($S26&amp;$R26,'Data manipulation'!$B$23:$B$129&amp;'Data manipulation'!$A$23:$A$129,0),MATCH($U26,'Data manipulation'!$C$22:$N$22,0))/1000,0)*SUMIFS('Regional split'!$F$4:$F$6,'Regional split'!$B$4:$B$6,V$4)</f>
        <v>21.231534574296354</v>
      </c>
      <c r="W26" s="436" cm="1">
        <f t="array" ref="W26">_xlfn.IFNA(INDEX('Data manipulation'!$C$23:$N$129,MATCH($S26&amp;$R26,'Data manipulation'!$B$23:$B$129&amp;'Data manipulation'!$A$23:$A$129,0),MATCH($U26,'Data manipulation'!$C$22:$N$22,0))/1000,0)*SUMIFS('Regional split'!$F$4:$F$6,'Regional split'!$B$4:$B$6,W$4)</f>
        <v>0.53932804749586094</v>
      </c>
      <c r="X26" s="436" cm="1">
        <f t="array" ref="X26">_xlfn.IFNA(INDEX('Data manipulation'!$C$23:$N$129,MATCH($S26&amp;$R26,'Data manipulation'!$B$23:$B$129&amp;'Data manipulation'!$A$23:$A$129,0),MATCH($U26,'Data manipulation'!$C$22:$N$22,0))/1000,0)*SUMIFS('Regional split'!$F$4:$F$6,'Regional split'!$B$4:$B$6,X$4)</f>
        <v>1.7077632060223509</v>
      </c>
      <c r="Y26" s="447">
        <f>V26*J26</f>
        <v>21.231534574296354</v>
      </c>
      <c r="Z26" s="252">
        <f t="shared" si="25"/>
        <v>0.53932804749586094</v>
      </c>
      <c r="AA26" s="448">
        <f t="shared" si="26"/>
        <v>1.7077632060223509</v>
      </c>
    </row>
    <row r="27" spans="2:27" ht="15">
      <c r="B27" s="233" t="str">
        <f t="shared" si="27"/>
        <v>RATGSLE1</v>
      </c>
      <c r="C27" s="233" t="str">
        <f t="shared" si="27"/>
        <v>Residential Appliances Technology   - Gasoline - Existing 1</v>
      </c>
      <c r="D27" s="233" t="str">
        <f t="shared" si="27"/>
        <v>RESGSL</v>
      </c>
      <c r="E27" s="233" t="str">
        <f t="shared" si="27"/>
        <v>RADEM</v>
      </c>
      <c r="F27" s="260">
        <v>2018</v>
      </c>
      <c r="G27" s="251">
        <f t="shared" si="22"/>
        <v>0.15000000000000002</v>
      </c>
      <c r="H27" s="251">
        <f t="shared" si="22"/>
        <v>0.01</v>
      </c>
      <c r="I27" s="251">
        <f t="shared" si="22"/>
        <v>0.02</v>
      </c>
      <c r="J27" s="466">
        <f t="shared" si="30"/>
        <v>0.15</v>
      </c>
      <c r="K27" s="466">
        <f t="shared" si="30"/>
        <v>0.15</v>
      </c>
      <c r="L27" s="466">
        <f t="shared" si="30"/>
        <v>0.15</v>
      </c>
      <c r="M27" s="244">
        <f t="shared" si="23"/>
        <v>3.1536000000000002E-2</v>
      </c>
      <c r="N27" s="462">
        <v>0.8</v>
      </c>
      <c r="O27" s="246">
        <v>30</v>
      </c>
      <c r="P27" s="227"/>
      <c r="Q27" s="227"/>
      <c r="R27" s="269" t="str">
        <f>R25</f>
        <v>Appliances</v>
      </c>
      <c r="S27" s="227" t="s">
        <v>211</v>
      </c>
      <c r="T27" s="255" t="s">
        <v>728</v>
      </c>
      <c r="U27" s="247">
        <v>2018</v>
      </c>
      <c r="V27" s="436" cm="1">
        <f t="array" ref="V27">_xlfn.IFNA(INDEX('Data manipulation'!$C$23:$N$129,MATCH($S27&amp;$R27,'Data manipulation'!$B$23:$B$129&amp;'Data manipulation'!$A$23:$A$129,0),MATCH($U27,'Data manipulation'!$C$22:$N$22,0))/1000,0)*SUMIFS('Regional split'!$F$4:$F$6,'Regional split'!$B$4:$B$6,V$4)</f>
        <v>2.3421163977272726E-2</v>
      </c>
      <c r="W27" s="436" cm="1">
        <f t="array" ref="W27">_xlfn.IFNA(INDEX('Data manipulation'!$C$23:$N$129,MATCH($S27&amp;$R27,'Data manipulation'!$B$23:$B$129&amp;'Data manipulation'!$A$23:$A$129,0),MATCH($U27,'Data manipulation'!$C$22:$N$22,0))/1000,0)*SUMIFS('Regional split'!$F$4:$F$6,'Regional split'!$B$4:$B$6,W$4)</f>
        <v>5.9494948863636368E-4</v>
      </c>
      <c r="X27" s="436" cm="1">
        <f t="array" ref="X27">_xlfn.IFNA(INDEX('Data manipulation'!$C$23:$N$129,MATCH($S27&amp;$R27,'Data manipulation'!$B$23:$B$129&amp;'Data manipulation'!$A$23:$A$129,0),MATCH($U27,'Data manipulation'!$C$22:$N$22,0))/1000,0)*SUMIFS('Regional split'!$F$4:$F$6,'Regional split'!$B$4:$B$6,X$4)</f>
        <v>1.8838865340909091E-3</v>
      </c>
      <c r="Y27" s="447">
        <f t="shared" ref="Y27" si="34">V27*J27</f>
        <v>3.513174596590909E-3</v>
      </c>
      <c r="Z27" s="252">
        <f t="shared" si="25"/>
        <v>8.9242423295454553E-5</v>
      </c>
      <c r="AA27" s="448">
        <f t="shared" si="26"/>
        <v>2.8258298011363633E-4</v>
      </c>
    </row>
    <row r="28" spans="2:27" ht="15">
      <c r="B28" s="233" t="str">
        <f t="shared" ref="B28:E28" si="35">B26</f>
        <v>RATELCAE1</v>
      </c>
      <c r="C28" s="233" t="str">
        <f t="shared" si="35"/>
        <v>Residential Appliances Technology   - Electricity Appliances - Existing 1</v>
      </c>
      <c r="D28" s="233" t="str">
        <f t="shared" si="35"/>
        <v>RESELCA</v>
      </c>
      <c r="E28" s="233" t="str">
        <f t="shared" si="35"/>
        <v>RADEM</v>
      </c>
      <c r="F28" s="585">
        <f>F26+O28</f>
        <v>2048</v>
      </c>
      <c r="G28" s="251">
        <v>0</v>
      </c>
      <c r="H28" s="251">
        <v>0</v>
      </c>
      <c r="I28" s="251">
        <v>0</v>
      </c>
      <c r="J28" s="466">
        <f t="shared" ref="J28:L28" si="36">J26</f>
        <v>1</v>
      </c>
      <c r="K28" s="466">
        <f t="shared" si="36"/>
        <v>1</v>
      </c>
      <c r="L28" s="466">
        <f t="shared" si="36"/>
        <v>1</v>
      </c>
      <c r="M28" s="244">
        <f t="shared" si="23"/>
        <v>3.1536000000000002E-2</v>
      </c>
      <c r="N28" s="462">
        <v>0.8</v>
      </c>
      <c r="O28" s="246">
        <v>30</v>
      </c>
      <c r="P28" s="227"/>
      <c r="Q28" s="227"/>
      <c r="R28" s="269" t="str">
        <f>R27</f>
        <v>Appliances</v>
      </c>
      <c r="S28" s="227" t="s">
        <v>79</v>
      </c>
      <c r="T28" s="255" t="s">
        <v>190</v>
      </c>
      <c r="U28" s="247">
        <v>2018</v>
      </c>
      <c r="V28" s="436" cm="1">
        <f t="array" ref="V28">_xlfn.IFNA(INDEX('Data manipulation'!$C$23:$N$129,MATCH($S28&amp;$R28,'Data manipulation'!$B$23:$B$129&amp;'Data manipulation'!$A$23:$A$129,0),MATCH($U28,'Data manipulation'!$C$22:$N$22,0))/1000,0)*SUMIFS('Regional split'!$F$4:$F$6,'Regional split'!$B$4:$B$6,V$4)</f>
        <v>21.231534574296354</v>
      </c>
      <c r="W28" s="436" cm="1">
        <f t="array" ref="W28">_xlfn.IFNA(INDEX('Data manipulation'!$C$23:$N$129,MATCH($S28&amp;$R28,'Data manipulation'!$B$23:$B$129&amp;'Data manipulation'!$A$23:$A$129,0),MATCH($U28,'Data manipulation'!$C$22:$N$22,0))/1000,0)*SUMIFS('Regional split'!$F$4:$F$6,'Regional split'!$B$4:$B$6,W$4)</f>
        <v>0.53932804749586094</v>
      </c>
      <c r="X28" s="436" cm="1">
        <f t="array" ref="X28">_xlfn.IFNA(INDEX('Data manipulation'!$C$23:$N$129,MATCH($S28&amp;$R28,'Data manipulation'!$B$23:$B$129&amp;'Data manipulation'!$A$23:$A$129,0),MATCH($U28,'Data manipulation'!$C$22:$N$22,0))/1000,0)*SUMIFS('Regional split'!$F$4:$F$6,'Regional split'!$B$4:$B$6,X$4)</f>
        <v>1.7077632060223509</v>
      </c>
      <c r="Y28" s="447">
        <f t="shared" ref="Y28:Y29" si="37">V28*J28</f>
        <v>21.231534574296354</v>
      </c>
      <c r="Z28" s="252">
        <f t="shared" ref="Z28:Z29" si="38">W28*K28</f>
        <v>0.53932804749586094</v>
      </c>
      <c r="AA28" s="448">
        <f t="shared" ref="AA28:AA29" si="39">X28*L28</f>
        <v>1.7077632060223509</v>
      </c>
    </row>
    <row r="29" spans="2:27" ht="15">
      <c r="B29" s="233" t="str">
        <f t="shared" ref="B29:E29" si="40">B27</f>
        <v>RATGSLE1</v>
      </c>
      <c r="C29" s="233" t="str">
        <f t="shared" si="40"/>
        <v>Residential Appliances Technology   - Gasoline - Existing 1</v>
      </c>
      <c r="D29" s="233" t="str">
        <f t="shared" si="40"/>
        <v>RESGSL</v>
      </c>
      <c r="E29" s="233" t="str">
        <f t="shared" si="40"/>
        <v>RADEM</v>
      </c>
      <c r="F29" s="585">
        <f>F27+O29</f>
        <v>2048</v>
      </c>
      <c r="G29" s="251">
        <v>0</v>
      </c>
      <c r="H29" s="251">
        <v>0</v>
      </c>
      <c r="I29" s="251">
        <v>0</v>
      </c>
      <c r="J29" s="466">
        <f t="shared" ref="J29:L29" si="41">J27</f>
        <v>0.15</v>
      </c>
      <c r="K29" s="466">
        <f t="shared" si="41"/>
        <v>0.15</v>
      </c>
      <c r="L29" s="466">
        <f t="shared" si="41"/>
        <v>0.15</v>
      </c>
      <c r="M29" s="244">
        <f t="shared" si="23"/>
        <v>3.1536000000000002E-2</v>
      </c>
      <c r="N29" s="462">
        <v>0.8</v>
      </c>
      <c r="O29" s="246">
        <v>30</v>
      </c>
      <c r="P29" s="227"/>
      <c r="Q29" s="227"/>
      <c r="R29" s="269" t="str">
        <f>R28</f>
        <v>Appliances</v>
      </c>
      <c r="S29" s="227" t="s">
        <v>211</v>
      </c>
      <c r="T29" s="255" t="s">
        <v>728</v>
      </c>
      <c r="U29" s="247">
        <v>2018</v>
      </c>
      <c r="V29" s="436" cm="1">
        <f t="array" ref="V29">_xlfn.IFNA(INDEX('Data manipulation'!$C$23:$N$129,MATCH($S29&amp;$R29,'Data manipulation'!$B$23:$B$129&amp;'Data manipulation'!$A$23:$A$129,0),MATCH($U29,'Data manipulation'!$C$22:$N$22,0))/1000,0)*SUMIFS('Regional split'!$F$4:$F$6,'Regional split'!$B$4:$B$6,V$4)</f>
        <v>2.3421163977272726E-2</v>
      </c>
      <c r="W29" s="436" cm="1">
        <f t="array" ref="W29">_xlfn.IFNA(INDEX('Data manipulation'!$C$23:$N$129,MATCH($S29&amp;$R29,'Data manipulation'!$B$23:$B$129&amp;'Data manipulation'!$A$23:$A$129,0),MATCH($U29,'Data manipulation'!$C$22:$N$22,0))/1000,0)*SUMIFS('Regional split'!$F$4:$F$6,'Regional split'!$B$4:$B$6,W$4)</f>
        <v>5.9494948863636368E-4</v>
      </c>
      <c r="X29" s="436" cm="1">
        <f t="array" ref="X29">_xlfn.IFNA(INDEX('Data manipulation'!$C$23:$N$129,MATCH($S29&amp;$R29,'Data manipulation'!$B$23:$B$129&amp;'Data manipulation'!$A$23:$A$129,0),MATCH($U29,'Data manipulation'!$C$22:$N$22,0))/1000,0)*SUMIFS('Regional split'!$F$4:$F$6,'Regional split'!$B$4:$B$6,X$4)</f>
        <v>1.8838865340909091E-3</v>
      </c>
      <c r="Y29" s="447">
        <f t="shared" si="37"/>
        <v>3.513174596590909E-3</v>
      </c>
      <c r="Z29" s="252">
        <f t="shared" si="38"/>
        <v>8.9242423295454553E-5</v>
      </c>
      <c r="AA29" s="448">
        <f t="shared" si="39"/>
        <v>2.8258298011363633E-4</v>
      </c>
    </row>
    <row r="30" spans="2:27" ht="14">
      <c r="B30" s="227"/>
      <c r="C30" s="227"/>
    </row>
    <row r="31" spans="2:27" ht="14">
      <c r="B31" s="227"/>
      <c r="C31" s="227"/>
    </row>
    <row r="32" spans="2:27" ht="22" thickBot="1">
      <c r="B32" s="516" t="s">
        <v>739</v>
      </c>
      <c r="C32" s="227"/>
      <c r="D32" s="228"/>
      <c r="E32" s="229" t="s">
        <v>181</v>
      </c>
      <c r="F32" s="229"/>
      <c r="G32" s="272">
        <v>1.02</v>
      </c>
      <c r="H32" s="272"/>
      <c r="I32" s="272"/>
      <c r="J32" s="230"/>
      <c r="K32" s="230"/>
      <c r="L32" s="230"/>
      <c r="M32" s="231"/>
      <c r="N32" s="232"/>
      <c r="O32" s="232"/>
      <c r="P32" s="227"/>
      <c r="Q32" s="227"/>
      <c r="R32" s="233"/>
      <c r="S32" s="296"/>
      <c r="T32" s="233"/>
      <c r="U32" s="233"/>
      <c r="V32" s="233"/>
      <c r="W32" s="233"/>
      <c r="X32" s="233"/>
      <c r="Y32" s="233"/>
      <c r="Z32" s="227"/>
      <c r="AA32" s="227"/>
    </row>
    <row r="33" spans="2:27" ht="15">
      <c r="B33" s="226"/>
      <c r="C33" s="227"/>
      <c r="D33" s="228"/>
      <c r="E33" s="229"/>
      <c r="F33" s="229"/>
      <c r="G33" s="272"/>
      <c r="H33" s="272"/>
      <c r="I33" s="272"/>
      <c r="J33" s="230"/>
      <c r="K33" s="230"/>
      <c r="L33" s="230"/>
      <c r="M33" s="232"/>
      <c r="N33" s="227"/>
      <c r="O33" s="227"/>
      <c r="P33" s="233"/>
      <c r="Q33" s="296"/>
      <c r="R33" s="233"/>
      <c r="S33" s="233"/>
      <c r="T33" s="267" t="s">
        <v>194</v>
      </c>
      <c r="U33" s="233"/>
      <c r="V33" s="233"/>
      <c r="W33" s="233"/>
      <c r="X33" s="227"/>
      <c r="Y33" s="227"/>
      <c r="Z33" s="227"/>
      <c r="AA33" s="227"/>
    </row>
    <row r="34" spans="2:27" ht="15" thickBot="1">
      <c r="B34" s="227"/>
      <c r="C34" s="227"/>
      <c r="D34" s="230"/>
      <c r="E34" s="230"/>
      <c r="F34" s="234" t="s">
        <v>8</v>
      </c>
      <c r="G34" s="230"/>
      <c r="H34" s="234"/>
      <c r="I34" s="234"/>
      <c r="J34" s="234"/>
      <c r="K34" s="234"/>
      <c r="L34" s="234"/>
      <c r="M34" s="235"/>
      <c r="N34" s="227"/>
      <c r="O34" s="233"/>
      <c r="P34" s="233"/>
      <c r="Q34" s="269"/>
      <c r="R34" s="233"/>
      <c r="S34" s="233"/>
      <c r="T34" s="268">
        <v>3.5999999999999999E-3</v>
      </c>
      <c r="U34" s="233"/>
      <c r="V34" s="440" t="s">
        <v>829</v>
      </c>
      <c r="W34" s="441" t="s">
        <v>830</v>
      </c>
      <c r="X34" s="442" t="s">
        <v>831</v>
      </c>
      <c r="Y34" s="440" t="s">
        <v>829</v>
      </c>
      <c r="Z34" s="441" t="s">
        <v>830</v>
      </c>
      <c r="AA34" s="442" t="s">
        <v>831</v>
      </c>
    </row>
    <row r="35" spans="2:27" ht="30">
      <c r="B35" s="238" t="s">
        <v>2</v>
      </c>
      <c r="C35" s="238" t="s">
        <v>26</v>
      </c>
      <c r="D35" s="238" t="s">
        <v>14</v>
      </c>
      <c r="E35" s="238" t="s">
        <v>15</v>
      </c>
      <c r="F35" s="423" t="s">
        <v>108</v>
      </c>
      <c r="G35" s="239" t="s">
        <v>832</v>
      </c>
      <c r="H35" s="239" t="s">
        <v>833</v>
      </c>
      <c r="I35" s="239" t="s">
        <v>834</v>
      </c>
      <c r="J35" s="240" t="s">
        <v>835</v>
      </c>
      <c r="K35" s="240" t="s">
        <v>836</v>
      </c>
      <c r="L35" s="240" t="s">
        <v>837</v>
      </c>
      <c r="M35" s="238" t="s">
        <v>0</v>
      </c>
      <c r="N35" s="238" t="s">
        <v>184</v>
      </c>
      <c r="O35" s="239" t="s">
        <v>107</v>
      </c>
      <c r="P35" s="227"/>
      <c r="Q35" s="227"/>
      <c r="R35" s="227"/>
      <c r="S35" s="227"/>
      <c r="T35" s="227"/>
      <c r="U35" s="227"/>
      <c r="V35" s="274" t="s">
        <v>81</v>
      </c>
      <c r="W35" s="273" t="s">
        <v>81</v>
      </c>
      <c r="X35" s="443" t="s">
        <v>81</v>
      </c>
      <c r="Y35" s="274" t="s">
        <v>77</v>
      </c>
      <c r="Z35" s="273" t="s">
        <v>77</v>
      </c>
      <c r="AA35" s="443" t="s">
        <v>77</v>
      </c>
    </row>
    <row r="36" spans="2:27" ht="25" thickBot="1">
      <c r="B36" s="242" t="s">
        <v>27</v>
      </c>
      <c r="C36" s="242"/>
      <c r="D36" s="242"/>
      <c r="E36" s="242"/>
      <c r="F36" s="243"/>
      <c r="G36" s="243" t="s">
        <v>65</v>
      </c>
      <c r="H36" s="243" t="s">
        <v>65</v>
      </c>
      <c r="I36" s="243" t="s">
        <v>65</v>
      </c>
      <c r="J36" s="243" t="s">
        <v>75</v>
      </c>
      <c r="K36" s="243" t="s">
        <v>75</v>
      </c>
      <c r="L36" s="243" t="s">
        <v>75</v>
      </c>
      <c r="M36" s="242"/>
      <c r="N36" s="242" t="s">
        <v>754</v>
      </c>
      <c r="O36" s="242" t="s">
        <v>108</v>
      </c>
      <c r="P36" s="227"/>
      <c r="Q36" s="227"/>
      <c r="R36" s="227"/>
      <c r="S36" s="227"/>
      <c r="T36" s="227"/>
      <c r="U36" s="227" t="s">
        <v>108</v>
      </c>
      <c r="V36" s="276" t="s">
        <v>48</v>
      </c>
      <c r="W36" s="461" t="s">
        <v>48</v>
      </c>
      <c r="X36" s="444" t="s">
        <v>48</v>
      </c>
      <c r="Y36" s="276" t="s">
        <v>76</v>
      </c>
      <c r="Z36" s="275" t="s">
        <v>76</v>
      </c>
      <c r="AA36" s="444" t="s">
        <v>76</v>
      </c>
    </row>
    <row r="37" spans="2:27" ht="15">
      <c r="B37" s="233" t="str">
        <f>Processes!D43</f>
        <v>RWTLPGE1</v>
      </c>
      <c r="C37" s="233" t="str">
        <f>Processes!E43</f>
        <v>Residential Water Hot Technology   - LPG - Existing 1</v>
      </c>
      <c r="D37" s="230" t="str">
        <f>Commodities!$C$19</f>
        <v>RESLPG</v>
      </c>
      <c r="E37" s="230" t="str">
        <f>Commodities!$C$15</f>
        <v>RWDEM</v>
      </c>
      <c r="F37" s="230">
        <v>2010</v>
      </c>
      <c r="G37" s="251">
        <f>ROUNDUP(Y37/($M37*$N37)*$G$2,2)</f>
        <v>15.04</v>
      </c>
      <c r="H37" s="251">
        <f t="shared" ref="H37:H42" si="42">ROUNDUP(Z37/($M37*$N37)*$G$2,2)</f>
        <v>0.39</v>
      </c>
      <c r="I37" s="251">
        <f t="shared" ref="I37:I42" si="43">ROUNDUP(AA37/($M37*$N37)*$G$2,2)</f>
        <v>1.21</v>
      </c>
      <c r="J37" s="466">
        <v>0.95</v>
      </c>
      <c r="K37" s="466">
        <v>0.95</v>
      </c>
      <c r="L37" s="466">
        <v>0.95</v>
      </c>
      <c r="M37" s="244">
        <f t="shared" ref="M37:M44" si="44">31.536/1000</f>
        <v>3.1536000000000002E-2</v>
      </c>
      <c r="N37" s="462">
        <v>1</v>
      </c>
      <c r="O37" s="246">
        <v>30</v>
      </c>
      <c r="P37" s="227"/>
      <c r="Q37" s="269"/>
      <c r="R37" s="269" t="str">
        <f>B32</f>
        <v>Hot Water</v>
      </c>
      <c r="S37" s="227" t="s">
        <v>210</v>
      </c>
      <c r="T37" s="247" t="s">
        <v>187</v>
      </c>
      <c r="U37" s="247">
        <v>2010</v>
      </c>
      <c r="V37" s="436" cm="1">
        <f t="array" ref="V37">_xlfn.IFNA(INDEX('Data manipulation'!$C$23:$N$129,MATCH($S37&amp;$R37,'Data manipulation'!$B$23:$B$129&amp;'Data manipulation'!$A$23:$A$129,0),MATCH($U37,'Data manipulation'!$C$22:$N$22,0))/1000,0)*SUMIFS('Regional split'!$F$4:$F$6,'Regional split'!$B$4:$B$6,V$4)</f>
        <v>0.48924138045867765</v>
      </c>
      <c r="W37" s="436" cm="1">
        <f t="array" ref="W37">_xlfn.IFNA(INDEX('Data manipulation'!$C$23:$N$129,MATCH($S37&amp;$R37,'Data manipulation'!$B$23:$B$129&amp;'Data manipulation'!$A$23:$A$129,0),MATCH($U37,'Data manipulation'!$C$22:$N$22,0))/1000,0)*SUMIFS('Regional split'!$F$4:$F$6,'Regional split'!$B$4:$B$6,W$4)</f>
        <v>1.2427815688668986E-2</v>
      </c>
      <c r="X37" s="436" cm="1">
        <f t="array" ref="X37">_xlfn.IFNA(INDEX('Data manipulation'!$C$23:$N$129,MATCH($S37&amp;$R37,'Data manipulation'!$B$23:$B$129&amp;'Data manipulation'!$A$23:$A$129,0),MATCH($U37,'Data manipulation'!$C$22:$N$22,0))/1000,0)*SUMIFS('Regional split'!$F$4:$F$6,'Regional split'!$B$4:$B$6,X$4)</f>
        <v>3.9352239259351891E-2</v>
      </c>
      <c r="Y37" s="447">
        <f t="shared" ref="Y37" si="45">V37*J37</f>
        <v>0.46477931143574375</v>
      </c>
      <c r="Z37" s="252">
        <f t="shared" ref="Z37:Z42" si="46">W37*K37</f>
        <v>1.1806424904235537E-2</v>
      </c>
      <c r="AA37" s="448">
        <f t="shared" ref="AA37:AA42" si="47">X37*L37</f>
        <v>3.7384627296384296E-2</v>
      </c>
    </row>
    <row r="38" spans="2:27" ht="15" customHeight="1">
      <c r="B38" s="233" t="str">
        <f>Processes!D44</f>
        <v>RWTNGAE1</v>
      </c>
      <c r="C38" s="233" t="str">
        <f>Processes!E44</f>
        <v>Residential Water Hot Technology   - Natural Gas - Existing 1</v>
      </c>
      <c r="D38" s="230" t="str">
        <f>Commodities!$C$18</f>
        <v>RESNGA</v>
      </c>
      <c r="E38" s="230" t="str">
        <f>Commodities!$C$15</f>
        <v>RWDEM</v>
      </c>
      <c r="F38" s="260">
        <v>2010</v>
      </c>
      <c r="G38" s="251">
        <f t="shared" ref="G38:G42" si="48">ROUNDUP(Y38/($M38*$N38)*$G$2,2)</f>
        <v>663.55</v>
      </c>
      <c r="H38" s="251">
        <f t="shared" si="42"/>
        <v>16.860000000000003</v>
      </c>
      <c r="I38" s="251">
        <f t="shared" si="43"/>
        <v>53.379999999999995</v>
      </c>
      <c r="J38" s="466">
        <v>0.95</v>
      </c>
      <c r="K38" s="466">
        <v>0.95</v>
      </c>
      <c r="L38" s="466">
        <v>0.95</v>
      </c>
      <c r="M38" s="244">
        <f t="shared" si="44"/>
        <v>3.1536000000000002E-2</v>
      </c>
      <c r="N38" s="462">
        <v>1</v>
      </c>
      <c r="O38" s="246">
        <v>30</v>
      </c>
      <c r="P38" s="227"/>
      <c r="Q38" s="269"/>
      <c r="R38" s="269" t="str">
        <f>R37</f>
        <v>Hot Water</v>
      </c>
      <c r="S38" s="227" t="s">
        <v>80</v>
      </c>
      <c r="T38" s="247" t="s">
        <v>187</v>
      </c>
      <c r="U38" s="247">
        <v>2010</v>
      </c>
      <c r="V38" s="436" cm="1">
        <f t="array" ref="V38">_xlfn.IFNA(INDEX('Data manipulation'!$C$23:$N$129,MATCH($S38&amp;$R38,'Data manipulation'!$B$23:$B$129&amp;'Data manipulation'!$A$23:$A$129,0),MATCH($U38,'Data manipulation'!$C$22:$N$22,0))/1000,0)*SUMIFS('Regional split'!$F$4:$F$6,'Regional split'!$B$4:$B$6,V$4)</f>
        <v>21.595011179355371</v>
      </c>
      <c r="W38" s="436" cm="1">
        <f t="array" ref="W38">_xlfn.IFNA(INDEX('Data manipulation'!$C$23:$N$129,MATCH($S38&amp;$R38,'Data manipulation'!$B$23:$B$129&amp;'Data manipulation'!$A$23:$A$129,0),MATCH($U38,'Data manipulation'!$C$22:$N$22,0))/1000,0)*SUMIFS('Regional split'!$F$4:$F$6,'Regional split'!$B$4:$B$6,W$4)</f>
        <v>0.54856115907481517</v>
      </c>
      <c r="X38" s="436" cm="1">
        <f t="array" ref="X38">_xlfn.IFNA(INDEX('Data manipulation'!$C$23:$N$129,MATCH($S38&amp;$R38,'Data manipulation'!$B$23:$B$129&amp;'Data manipulation'!$A$23:$A$129,0),MATCH($U38,'Data manipulation'!$C$22:$N$22,0))/1000,0)*SUMIFS('Regional split'!$F$4:$F$6,'Regional split'!$B$4:$B$6,X$4)</f>
        <v>1.7369995275985211</v>
      </c>
      <c r="Y38" s="447">
        <f>V38*J38</f>
        <v>20.5152606203876</v>
      </c>
      <c r="Z38" s="252">
        <f t="shared" si="46"/>
        <v>0.52113310112107436</v>
      </c>
      <c r="AA38" s="448">
        <f t="shared" si="47"/>
        <v>1.6501495512185949</v>
      </c>
    </row>
    <row r="39" spans="2:27" ht="15">
      <c r="B39" s="233" t="str">
        <f t="shared" ref="B39:E40" si="49">B37</f>
        <v>RWTLPGE1</v>
      </c>
      <c r="C39" s="233" t="str">
        <f t="shared" si="49"/>
        <v>Residential Water Hot Technology   - LPG - Existing 1</v>
      </c>
      <c r="D39" s="233" t="str">
        <f t="shared" si="49"/>
        <v>RESLPG</v>
      </c>
      <c r="E39" s="233" t="str">
        <f t="shared" si="49"/>
        <v>RWDEM</v>
      </c>
      <c r="F39" s="260">
        <v>2015</v>
      </c>
      <c r="G39" s="251">
        <f>ROUNDUP(Y39/($M39*$N39)*$G$17,2)</f>
        <v>6.37</v>
      </c>
      <c r="H39" s="251">
        <f t="shared" ref="H39:H40" si="50">ROUNDUP(Z39/($M39*$N39)*$G$17,2)</f>
        <v>0.17</v>
      </c>
      <c r="I39" s="251">
        <f t="shared" ref="I39:I40" si="51">ROUNDUP(AA39/($M39*$N39)*$G$17,2)</f>
        <v>0.52</v>
      </c>
      <c r="J39" s="466">
        <f t="shared" ref="J39:L40" si="52">J37</f>
        <v>0.95</v>
      </c>
      <c r="K39" s="466">
        <f t="shared" si="52"/>
        <v>0.95</v>
      </c>
      <c r="L39" s="466">
        <f t="shared" si="52"/>
        <v>0.95</v>
      </c>
      <c r="M39" s="244">
        <f t="shared" si="44"/>
        <v>3.1536000000000002E-2</v>
      </c>
      <c r="N39" s="462">
        <v>0.8</v>
      </c>
      <c r="O39" s="246">
        <v>30</v>
      </c>
      <c r="P39" s="227"/>
      <c r="Q39" s="227"/>
      <c r="R39" s="269" t="str">
        <f>R37</f>
        <v>Hot Water</v>
      </c>
      <c r="S39" s="227" t="s">
        <v>210</v>
      </c>
      <c r="T39" s="247" t="s">
        <v>187</v>
      </c>
      <c r="U39" s="247">
        <v>2015</v>
      </c>
      <c r="V39" s="436" cm="1">
        <f t="array" ref="V39">_xlfn.IFNA(INDEX('Data manipulation'!$C$23:$N$129,MATCH($S39&amp;$R39,'Data manipulation'!$B$23:$B$129&amp;'Data manipulation'!$A$23:$A$129,0),MATCH($U39,'Data manipulation'!$C$22:$N$22,0))/1000,0)*SUMIFS('Regional split'!$F$4:$F$6,'Regional split'!$B$4:$B$6,V$4)</f>
        <v>0.16580839340082643</v>
      </c>
      <c r="W39" s="436" cm="1">
        <f t="array" ref="W39">_xlfn.IFNA(INDEX('Data manipulation'!$C$23:$N$129,MATCH($S39&amp;$R39,'Data manipulation'!$B$23:$B$129&amp;'Data manipulation'!$A$23:$A$129,0),MATCH($U39,'Data manipulation'!$C$22:$N$22,0))/1000,0)*SUMIFS('Regional split'!$F$4:$F$6,'Regional split'!$B$4:$B$6,W$4)</f>
        <v>4.211900781752936E-3</v>
      </c>
      <c r="X39" s="436" cm="1">
        <f t="array" ref="X39">_xlfn.IFNA(INDEX('Data manipulation'!$C$23:$N$129,MATCH($S39&amp;$R39,'Data manipulation'!$B$23:$B$129&amp;'Data manipulation'!$A$23:$A$129,0),MATCH($U39,'Data manipulation'!$C$22:$N$22,0))/1000,0)*SUMIFS('Regional split'!$F$4:$F$6,'Regional split'!$B$4:$B$6,X$4)</f>
        <v>1.3336835004023486E-2</v>
      </c>
      <c r="Y39" s="447">
        <f>V39*J39</f>
        <v>0.1575179737307851</v>
      </c>
      <c r="Z39" s="252">
        <f t="shared" si="46"/>
        <v>4.0013057426652888E-3</v>
      </c>
      <c r="AA39" s="448">
        <f t="shared" si="47"/>
        <v>1.2669993253822311E-2</v>
      </c>
    </row>
    <row r="40" spans="2:27" ht="15">
      <c r="B40" s="233" t="str">
        <f t="shared" si="49"/>
        <v>RWTNGAE1</v>
      </c>
      <c r="C40" s="233" t="str">
        <f t="shared" si="49"/>
        <v>Residential Water Hot Technology   - Natural Gas - Existing 1</v>
      </c>
      <c r="D40" s="233" t="str">
        <f t="shared" si="49"/>
        <v>RESNGA</v>
      </c>
      <c r="E40" s="233" t="str">
        <f t="shared" si="49"/>
        <v>RWDEM</v>
      </c>
      <c r="F40" s="260">
        <v>2015</v>
      </c>
      <c r="G40" s="251">
        <f>ROUNDUP(Y40/($M40*$N40)*$G$17,2)</f>
        <v>792.78</v>
      </c>
      <c r="H40" s="251">
        <f t="shared" si="50"/>
        <v>20.14</v>
      </c>
      <c r="I40" s="251">
        <f t="shared" si="51"/>
        <v>63.769999999999996</v>
      </c>
      <c r="J40" s="466">
        <f t="shared" si="52"/>
        <v>0.95</v>
      </c>
      <c r="K40" s="466">
        <f t="shared" si="52"/>
        <v>0.95</v>
      </c>
      <c r="L40" s="466">
        <f t="shared" si="52"/>
        <v>0.95</v>
      </c>
      <c r="M40" s="244">
        <f t="shared" si="44"/>
        <v>3.1536000000000002E-2</v>
      </c>
      <c r="N40" s="462">
        <v>0.8</v>
      </c>
      <c r="O40" s="246">
        <v>30</v>
      </c>
      <c r="P40" s="227"/>
      <c r="Q40" s="227"/>
      <c r="R40" s="269" t="str">
        <f>R38</f>
        <v>Hot Water</v>
      </c>
      <c r="S40" s="227" t="s">
        <v>80</v>
      </c>
      <c r="T40" s="247" t="s">
        <v>187</v>
      </c>
      <c r="U40" s="247">
        <v>2015</v>
      </c>
      <c r="V40" s="436" cm="1">
        <f t="array" ref="V40">_xlfn.IFNA(INDEX('Data manipulation'!$C$23:$N$129,MATCH($S40&amp;$R40,'Data manipulation'!$B$23:$B$129&amp;'Data manipulation'!$A$23:$A$129,0),MATCH($U40,'Data manipulation'!$C$22:$N$22,0))/1000,0)*SUMIFS('Regional split'!$F$4:$F$6,'Regional split'!$B$4:$B$6,V$4)</f>
        <v>20.640522704541322</v>
      </c>
      <c r="W40" s="436" cm="1">
        <f t="array" ref="W40">_xlfn.IFNA(INDEX('Data manipulation'!$C$23:$N$129,MATCH($S40&amp;$R40,'Data manipulation'!$B$23:$B$129&amp;'Data manipulation'!$A$23:$A$129,0),MATCH($U40,'Data manipulation'!$C$22:$N$22,0))/1000,0)*SUMIFS('Regional split'!$F$4:$F$6,'Regional split'!$B$4:$B$6,W$4)</f>
        <v>0.52431503575869942</v>
      </c>
      <c r="X40" s="436" cm="1">
        <f t="array" ref="X40">_xlfn.IFNA(INDEX('Data manipulation'!$C$23:$N$129,MATCH($S40&amp;$R40,'Data manipulation'!$B$23:$B$129&amp;'Data manipulation'!$A$23:$A$129,0),MATCH($U40,'Data manipulation'!$C$22:$N$22,0))/1000,0)*SUMIFS('Regional split'!$F$4:$F$6,'Regional split'!$B$4:$B$6,X$4)</f>
        <v>1.6602250348195953</v>
      </c>
      <c r="Y40" s="447">
        <f t="shared" ref="Y40" si="53">V40*J40</f>
        <v>19.608496569314255</v>
      </c>
      <c r="Z40" s="252">
        <f t="shared" si="46"/>
        <v>0.49809928397076442</v>
      </c>
      <c r="AA40" s="448">
        <f t="shared" si="47"/>
        <v>1.5772137830786155</v>
      </c>
    </row>
    <row r="41" spans="2:27" ht="15">
      <c r="B41" s="233" t="str">
        <f t="shared" ref="B41:E42" si="54">B37</f>
        <v>RWTLPGE1</v>
      </c>
      <c r="C41" s="233" t="str">
        <f t="shared" si="54"/>
        <v>Residential Water Hot Technology   - LPG - Existing 1</v>
      </c>
      <c r="D41" s="233" t="str">
        <f t="shared" si="54"/>
        <v>RESLPG</v>
      </c>
      <c r="E41" s="233" t="str">
        <f t="shared" si="54"/>
        <v>RWDEM</v>
      </c>
      <c r="F41" s="230">
        <v>2018</v>
      </c>
      <c r="G41" s="251">
        <f t="shared" si="48"/>
        <v>1.57</v>
      </c>
      <c r="H41" s="251">
        <f t="shared" si="42"/>
        <v>0.04</v>
      </c>
      <c r="I41" s="251">
        <f t="shared" si="43"/>
        <v>0.13</v>
      </c>
      <c r="J41" s="466">
        <f t="shared" ref="J41:L42" si="55">J37</f>
        <v>0.95</v>
      </c>
      <c r="K41" s="466">
        <f t="shared" si="55"/>
        <v>0.95</v>
      </c>
      <c r="L41" s="466">
        <f t="shared" si="55"/>
        <v>0.95</v>
      </c>
      <c r="M41" s="244">
        <f t="shared" si="44"/>
        <v>3.1536000000000002E-2</v>
      </c>
      <c r="N41" s="462">
        <v>1</v>
      </c>
      <c r="O41" s="246">
        <v>30</v>
      </c>
      <c r="P41" s="227"/>
      <c r="Q41" s="227"/>
      <c r="R41" s="269" t="str">
        <f>R38</f>
        <v>Hot Water</v>
      </c>
      <c r="S41" s="227" t="s">
        <v>210</v>
      </c>
      <c r="T41" s="247" t="s">
        <v>187</v>
      </c>
      <c r="U41" s="247">
        <v>2018</v>
      </c>
      <c r="V41" s="436" cm="1">
        <f t="array" ref="V41">_xlfn.IFNA(INDEX('Data manipulation'!$C$23:$N$129,MATCH($S41&amp;$R41,'Data manipulation'!$B$23:$B$129&amp;'Data manipulation'!$A$23:$A$129,0),MATCH($U41,'Data manipulation'!$C$22:$N$22,0))/1000,0)*SUMIFS('Regional split'!$F$4:$F$6,'Regional split'!$B$4:$B$6,V$4)</f>
        <v>5.1023878214876035E-2</v>
      </c>
      <c r="W41" s="436" cm="1">
        <f t="array" ref="W41">_xlfn.IFNA(INDEX('Data manipulation'!$C$23:$N$129,MATCH($S41&amp;$R41,'Data manipulation'!$B$23:$B$129&amp;'Data manipulation'!$A$23:$A$129,0),MATCH($U41,'Data manipulation'!$C$22:$N$22,0))/1000,0)*SUMIFS('Regional split'!$F$4:$F$6,'Regional split'!$B$4:$B$6,W$4)</f>
        <v>1.2961196241844282E-3</v>
      </c>
      <c r="X41" s="436" cm="1">
        <f t="array" ref="X41">_xlfn.IFNA(INDEX('Data manipulation'!$C$23:$N$129,MATCH($S41&amp;$R41,'Data manipulation'!$B$23:$B$129&amp;'Data manipulation'!$A$23:$A$129,0),MATCH($U41,'Data manipulation'!$C$22:$N$22,0))/1000,0)*SUMIFS('Regional split'!$F$4:$F$6,'Regional split'!$B$4:$B$6,X$4)</f>
        <v>4.104116993475424E-3</v>
      </c>
      <c r="Y41" s="447">
        <f>V41*J41</f>
        <v>4.8472684304132228E-2</v>
      </c>
      <c r="Z41" s="252">
        <f t="shared" si="46"/>
        <v>1.2313136429752067E-3</v>
      </c>
      <c r="AA41" s="448">
        <f t="shared" si="47"/>
        <v>3.8989111438016526E-3</v>
      </c>
    </row>
    <row r="42" spans="2:27" ht="15">
      <c r="B42" s="233" t="str">
        <f t="shared" si="54"/>
        <v>RWTNGAE1</v>
      </c>
      <c r="C42" s="233" t="str">
        <f t="shared" si="54"/>
        <v>Residential Water Hot Technology   - Natural Gas - Existing 1</v>
      </c>
      <c r="D42" s="233" t="str">
        <f t="shared" si="54"/>
        <v>RESNGA</v>
      </c>
      <c r="E42" s="233" t="str">
        <f t="shared" si="54"/>
        <v>RWDEM</v>
      </c>
      <c r="F42" s="260">
        <v>2018</v>
      </c>
      <c r="G42" s="251">
        <f t="shared" si="48"/>
        <v>704.48</v>
      </c>
      <c r="H42" s="251">
        <f t="shared" si="42"/>
        <v>17.900000000000002</v>
      </c>
      <c r="I42" s="251">
        <f t="shared" si="43"/>
        <v>56.669999999999995</v>
      </c>
      <c r="J42" s="466">
        <f t="shared" si="55"/>
        <v>0.95</v>
      </c>
      <c r="K42" s="466">
        <f t="shared" si="55"/>
        <v>0.95</v>
      </c>
      <c r="L42" s="466">
        <f t="shared" si="55"/>
        <v>0.95</v>
      </c>
      <c r="M42" s="244">
        <f t="shared" si="44"/>
        <v>3.1536000000000002E-2</v>
      </c>
      <c r="N42" s="462">
        <v>1</v>
      </c>
      <c r="O42" s="246">
        <v>30</v>
      </c>
      <c r="P42" s="227"/>
      <c r="Q42" s="227"/>
      <c r="R42" s="269" t="str">
        <f t="shared" ref="R42:R44" si="56">R41</f>
        <v>Hot Water</v>
      </c>
      <c r="S42" s="227" t="s">
        <v>80</v>
      </c>
      <c r="T42" s="247" t="s">
        <v>187</v>
      </c>
      <c r="U42" s="247">
        <v>2018</v>
      </c>
      <c r="V42" s="436" cm="1">
        <f t="array" ref="V42">_xlfn.IFNA(INDEX('Data manipulation'!$C$23:$N$129,MATCH($S42&amp;$R42,'Data manipulation'!$B$23:$B$129&amp;'Data manipulation'!$A$23:$A$129,0),MATCH($U42,'Data manipulation'!$C$22:$N$22,0))/1000,0)*SUMIFS('Regional split'!$F$4:$F$6,'Regional split'!$B$4:$B$6,V$4)</f>
        <v>22.926914982260328</v>
      </c>
      <c r="W42" s="436" cm="1">
        <f t="array" ref="W42">_xlfn.IFNA(INDEX('Data manipulation'!$C$23:$N$129,MATCH($S42&amp;$R42,'Data manipulation'!$B$23:$B$129&amp;'Data manipulation'!$A$23:$A$129,0),MATCH($U42,'Data manipulation'!$C$22:$N$22,0))/1000,0)*SUMIFS('Regional split'!$F$4:$F$6,'Regional split'!$B$4:$B$6,W$4)</f>
        <v>0.58239446843638532</v>
      </c>
      <c r="X42" s="436" cm="1">
        <f t="array" ref="X42">_xlfn.IFNA(INDEX('Data manipulation'!$C$23:$N$129,MATCH($S42&amp;$R42,'Data manipulation'!$B$23:$B$129&amp;'Data manipulation'!$A$23:$A$129,0),MATCH($U42,'Data manipulation'!$C$22:$N$22,0))/1000,0)*SUMIFS('Regional split'!$F$4:$F$6,'Regional split'!$B$4:$B$6,X$4)</f>
        <v>1.8441315062410828</v>
      </c>
      <c r="Y42" s="447">
        <f>V42*J42</f>
        <v>21.780569233147311</v>
      </c>
      <c r="Z42" s="252">
        <f t="shared" si="46"/>
        <v>0.55327474501456597</v>
      </c>
      <c r="AA42" s="448">
        <f t="shared" si="47"/>
        <v>1.7519249309290286</v>
      </c>
    </row>
    <row r="43" spans="2:27" ht="15">
      <c r="B43" s="233" t="str">
        <f t="shared" ref="B43:E43" si="57">B41</f>
        <v>RWTLPGE1</v>
      </c>
      <c r="C43" s="233" t="str">
        <f t="shared" si="57"/>
        <v>Residential Water Hot Technology   - LPG - Existing 1</v>
      </c>
      <c r="D43" s="233" t="str">
        <f t="shared" si="57"/>
        <v>RESLPG</v>
      </c>
      <c r="E43" s="233" t="str">
        <f t="shared" si="57"/>
        <v>RWDEM</v>
      </c>
      <c r="F43" s="584">
        <f>F41+O43</f>
        <v>2048</v>
      </c>
      <c r="G43" s="251">
        <v>0</v>
      </c>
      <c r="H43" s="251">
        <v>0</v>
      </c>
      <c r="I43" s="251">
        <v>0</v>
      </c>
      <c r="J43" s="466">
        <f t="shared" ref="J43:L43" si="58">J41</f>
        <v>0.95</v>
      </c>
      <c r="K43" s="466">
        <f t="shared" si="58"/>
        <v>0.95</v>
      </c>
      <c r="L43" s="466">
        <f t="shared" si="58"/>
        <v>0.95</v>
      </c>
      <c r="M43" s="244">
        <f t="shared" si="44"/>
        <v>3.1536000000000002E-2</v>
      </c>
      <c r="N43" s="462">
        <v>1</v>
      </c>
      <c r="O43" s="246">
        <v>30</v>
      </c>
      <c r="P43" s="227"/>
      <c r="Q43" s="227"/>
      <c r="R43" s="269" t="str">
        <f>R42</f>
        <v>Hot Water</v>
      </c>
      <c r="S43" s="227" t="s">
        <v>210</v>
      </c>
      <c r="T43" s="247" t="s">
        <v>187</v>
      </c>
      <c r="U43" s="247">
        <v>2018</v>
      </c>
      <c r="V43" s="436" cm="1">
        <f t="array" ref="V43">_xlfn.IFNA(INDEX('Data manipulation'!$C$23:$N$129,MATCH($S43&amp;$R43,'Data manipulation'!$B$23:$B$129&amp;'Data manipulation'!$A$23:$A$129,0),MATCH($U43,'Data manipulation'!$C$22:$N$22,0))/1000,0)*SUMIFS('Regional split'!$F$4:$F$6,'Regional split'!$B$4:$B$6,V$4)</f>
        <v>5.1023878214876035E-2</v>
      </c>
      <c r="W43" s="436" cm="1">
        <f t="array" ref="W43">_xlfn.IFNA(INDEX('Data manipulation'!$C$23:$N$129,MATCH($S43&amp;$R43,'Data manipulation'!$B$23:$B$129&amp;'Data manipulation'!$A$23:$A$129,0),MATCH($U43,'Data manipulation'!$C$22:$N$22,0))/1000,0)*SUMIFS('Regional split'!$F$4:$F$6,'Regional split'!$B$4:$B$6,W$4)</f>
        <v>1.2961196241844282E-3</v>
      </c>
      <c r="X43" s="436" cm="1">
        <f t="array" ref="X43">_xlfn.IFNA(INDEX('Data manipulation'!$C$23:$N$129,MATCH($S43&amp;$R43,'Data manipulation'!$B$23:$B$129&amp;'Data manipulation'!$A$23:$A$129,0),MATCH($U43,'Data manipulation'!$C$22:$N$22,0))/1000,0)*SUMIFS('Regional split'!$F$4:$F$6,'Regional split'!$B$4:$B$6,X$4)</f>
        <v>4.104116993475424E-3</v>
      </c>
      <c r="Y43" s="447">
        <f>V43*J43</f>
        <v>4.8472684304132228E-2</v>
      </c>
      <c r="Z43" s="252">
        <f t="shared" ref="Z43:Z44" si="59">W43*K43</f>
        <v>1.2313136429752067E-3</v>
      </c>
      <c r="AA43" s="448">
        <f t="shared" ref="AA43:AA44" si="60">X43*L43</f>
        <v>3.8989111438016526E-3</v>
      </c>
    </row>
    <row r="44" spans="2:27" ht="15">
      <c r="B44" s="233" t="str">
        <f t="shared" ref="B44:E44" si="61">B42</f>
        <v>RWTNGAE1</v>
      </c>
      <c r="C44" s="233" t="str">
        <f t="shared" si="61"/>
        <v>Residential Water Hot Technology   - Natural Gas - Existing 1</v>
      </c>
      <c r="D44" s="233" t="str">
        <f t="shared" si="61"/>
        <v>RESNGA</v>
      </c>
      <c r="E44" s="233" t="str">
        <f t="shared" si="61"/>
        <v>RWDEM</v>
      </c>
      <c r="F44" s="584">
        <f>F42+O44</f>
        <v>2048</v>
      </c>
      <c r="G44" s="251">
        <v>0</v>
      </c>
      <c r="H44" s="251">
        <v>0</v>
      </c>
      <c r="I44" s="251">
        <v>0</v>
      </c>
      <c r="J44" s="466">
        <f t="shared" ref="J44:L44" si="62">J42</f>
        <v>0.95</v>
      </c>
      <c r="K44" s="466">
        <f t="shared" si="62"/>
        <v>0.95</v>
      </c>
      <c r="L44" s="466">
        <f t="shared" si="62"/>
        <v>0.95</v>
      </c>
      <c r="M44" s="244">
        <f t="shared" si="44"/>
        <v>3.1536000000000002E-2</v>
      </c>
      <c r="N44" s="462">
        <v>1</v>
      </c>
      <c r="O44" s="246">
        <v>30</v>
      </c>
      <c r="P44" s="227"/>
      <c r="Q44" s="227"/>
      <c r="R44" s="269" t="str">
        <f t="shared" si="56"/>
        <v>Hot Water</v>
      </c>
      <c r="S44" s="227" t="s">
        <v>80</v>
      </c>
      <c r="T44" s="247" t="s">
        <v>187</v>
      </c>
      <c r="U44" s="247">
        <v>2018</v>
      </c>
      <c r="V44" s="436" cm="1">
        <f t="array" ref="V44">_xlfn.IFNA(INDEX('Data manipulation'!$C$23:$N$129,MATCH($S44&amp;$R44,'Data manipulation'!$B$23:$B$129&amp;'Data manipulation'!$A$23:$A$129,0),MATCH($U44,'Data manipulation'!$C$22:$N$22,0))/1000,0)*SUMIFS('Regional split'!$F$4:$F$6,'Regional split'!$B$4:$B$6,V$4)</f>
        <v>22.926914982260328</v>
      </c>
      <c r="W44" s="436" cm="1">
        <f t="array" ref="W44">_xlfn.IFNA(INDEX('Data manipulation'!$C$23:$N$129,MATCH($S44&amp;$R44,'Data manipulation'!$B$23:$B$129&amp;'Data manipulation'!$A$23:$A$129,0),MATCH($U44,'Data manipulation'!$C$22:$N$22,0))/1000,0)*SUMIFS('Regional split'!$F$4:$F$6,'Regional split'!$B$4:$B$6,W$4)</f>
        <v>0.58239446843638532</v>
      </c>
      <c r="X44" s="436" cm="1">
        <f t="array" ref="X44">_xlfn.IFNA(INDEX('Data manipulation'!$C$23:$N$129,MATCH($S44&amp;$R44,'Data manipulation'!$B$23:$B$129&amp;'Data manipulation'!$A$23:$A$129,0),MATCH($U44,'Data manipulation'!$C$22:$N$22,0))/1000,0)*SUMIFS('Regional split'!$F$4:$F$6,'Regional split'!$B$4:$B$6,X$4)</f>
        <v>1.8441315062410828</v>
      </c>
      <c r="Y44" s="447">
        <f>V44*J44</f>
        <v>21.780569233147311</v>
      </c>
      <c r="Z44" s="252">
        <f t="shared" si="59"/>
        <v>0.55327474501456597</v>
      </c>
      <c r="AA44" s="448">
        <f t="shared" si="60"/>
        <v>1.7519249309290286</v>
      </c>
    </row>
    <row r="1048576" spans="18:18" ht="14">
      <c r="R1048576" s="2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C1576"/>
  <sheetViews>
    <sheetView workbookViewId="0">
      <selection activeCell="I15" sqref="I15"/>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29" ht="16" thickBot="1">
      <c r="B2" s="226"/>
      <c r="C2" s="227"/>
      <c r="F2" s="228"/>
      <c r="G2" s="229" t="s">
        <v>181</v>
      </c>
      <c r="H2" s="229"/>
      <c r="I2" s="272">
        <v>1.02</v>
      </c>
      <c r="J2" s="272"/>
      <c r="K2" s="272"/>
      <c r="L2" s="230"/>
      <c r="M2" s="230"/>
      <c r="N2" s="230"/>
      <c r="O2" s="231"/>
      <c r="P2" s="232"/>
      <c r="Q2" s="232"/>
      <c r="R2" s="227"/>
      <c r="S2" s="227"/>
      <c r="T2" s="233"/>
      <c r="U2" s="296"/>
      <c r="V2" s="233"/>
      <c r="W2" s="233"/>
      <c r="X2" s="233"/>
      <c r="Y2" s="233"/>
      <c r="Z2" s="233"/>
      <c r="AA2" s="233"/>
      <c r="AB2" s="227"/>
      <c r="AC2" s="227"/>
    </row>
    <row r="3" spans="2:29" ht="15">
      <c r="B3" s="226"/>
      <c r="C3" s="227"/>
      <c r="F3" s="228"/>
      <c r="G3" s="229"/>
      <c r="H3" s="229"/>
      <c r="I3" s="272"/>
      <c r="J3" s="272"/>
      <c r="K3" s="272"/>
      <c r="L3" s="230"/>
      <c r="M3" s="230"/>
      <c r="N3" s="230"/>
      <c r="O3" s="232"/>
      <c r="P3" s="227"/>
      <c r="Q3" s="227"/>
      <c r="R3" s="233"/>
      <c r="S3" s="296"/>
      <c r="T3" s="233"/>
      <c r="U3" s="233"/>
      <c r="V3" s="267" t="s">
        <v>194</v>
      </c>
      <c r="W3" s="233"/>
      <c r="X3" s="233"/>
      <c r="Y3" s="233"/>
      <c r="Z3" s="227"/>
      <c r="AA3" s="227"/>
      <c r="AB3" s="227"/>
      <c r="AC3" s="227"/>
    </row>
    <row r="4" spans="2:29" ht="15" thickBot="1">
      <c r="B4" s="227"/>
      <c r="C4" s="227"/>
      <c r="F4" s="230"/>
      <c r="G4" s="230"/>
      <c r="H4" s="234" t="s">
        <v>8</v>
      </c>
      <c r="I4" s="230"/>
      <c r="J4" s="234"/>
      <c r="K4" s="234"/>
      <c r="L4" s="234"/>
      <c r="M4" s="234"/>
      <c r="N4" s="234"/>
      <c r="O4" s="235"/>
      <c r="P4" s="227"/>
      <c r="Q4" s="233"/>
      <c r="R4" s="233"/>
      <c r="S4" s="269"/>
      <c r="T4" s="233"/>
      <c r="U4" s="233"/>
      <c r="V4" s="268">
        <v>3.5999999999999999E-3</v>
      </c>
      <c r="W4" s="233"/>
      <c r="X4" s="440" t="s">
        <v>829</v>
      </c>
      <c r="Y4" s="441" t="s">
        <v>830</v>
      </c>
      <c r="Z4" s="442" t="s">
        <v>831</v>
      </c>
      <c r="AA4" s="440" t="s">
        <v>829</v>
      </c>
      <c r="AB4" s="441" t="s">
        <v>830</v>
      </c>
      <c r="AC4" s="442" t="s">
        <v>831</v>
      </c>
    </row>
    <row r="5" spans="2:29" ht="30">
      <c r="B5" s="238" t="s">
        <v>2</v>
      </c>
      <c r="C5" s="238" t="s">
        <v>26</v>
      </c>
      <c r="D5" s="423" t="s">
        <v>755</v>
      </c>
      <c r="E5" s="423" t="s">
        <v>756</v>
      </c>
      <c r="F5" s="238" t="s">
        <v>14</v>
      </c>
      <c r="G5" s="238" t="s">
        <v>15</v>
      </c>
      <c r="H5" s="423" t="s">
        <v>108</v>
      </c>
      <c r="I5" s="239" t="s">
        <v>832</v>
      </c>
      <c r="J5" s="239" t="s">
        <v>833</v>
      </c>
      <c r="K5" s="239" t="s">
        <v>834</v>
      </c>
      <c r="L5" s="240" t="s">
        <v>835</v>
      </c>
      <c r="M5" s="240" t="s">
        <v>836</v>
      </c>
      <c r="N5" s="240" t="s">
        <v>837</v>
      </c>
      <c r="O5" s="238" t="s">
        <v>0</v>
      </c>
      <c r="P5" s="238" t="s">
        <v>184</v>
      </c>
      <c r="Q5" s="239" t="s">
        <v>107</v>
      </c>
      <c r="R5" s="227"/>
      <c r="S5" s="227"/>
      <c r="T5" s="227"/>
      <c r="U5" s="227"/>
      <c r="V5" s="227"/>
      <c r="W5" s="227"/>
      <c r="X5" s="274" t="s">
        <v>81</v>
      </c>
      <c r="Y5" s="273" t="s">
        <v>81</v>
      </c>
      <c r="Z5" s="443" t="s">
        <v>81</v>
      </c>
      <c r="AA5" s="274" t="s">
        <v>77</v>
      </c>
      <c r="AB5" s="273" t="s">
        <v>77</v>
      </c>
      <c r="AC5" s="443" t="s">
        <v>77</v>
      </c>
    </row>
    <row r="6" spans="2:29" ht="25" thickBot="1">
      <c r="B6" s="242" t="s">
        <v>27</v>
      </c>
      <c r="C6" s="242"/>
      <c r="D6" s="243"/>
      <c r="E6" s="243"/>
      <c r="F6" s="242"/>
      <c r="G6" s="242"/>
      <c r="H6" s="243"/>
      <c r="I6" s="243" t="s">
        <v>65</v>
      </c>
      <c r="J6" s="243" t="s">
        <v>65</v>
      </c>
      <c r="K6" s="243" t="s">
        <v>65</v>
      </c>
      <c r="L6" s="243" t="s">
        <v>75</v>
      </c>
      <c r="M6" s="243" t="s">
        <v>75</v>
      </c>
      <c r="N6" s="243" t="s">
        <v>75</v>
      </c>
      <c r="O6" s="242"/>
      <c r="P6" s="242" t="s">
        <v>754</v>
      </c>
      <c r="Q6" s="242" t="s">
        <v>108</v>
      </c>
      <c r="R6" s="227"/>
      <c r="S6" s="227"/>
      <c r="T6" s="227"/>
      <c r="U6" s="227"/>
      <c r="V6" s="227"/>
      <c r="W6" s="227" t="s">
        <v>108</v>
      </c>
      <c r="X6" s="276" t="s">
        <v>48</v>
      </c>
      <c r="Y6" s="461" t="s">
        <v>48</v>
      </c>
      <c r="Z6" s="444" t="s">
        <v>48</v>
      </c>
      <c r="AA6" s="276" t="s">
        <v>76</v>
      </c>
      <c r="AB6" s="275" t="s">
        <v>76</v>
      </c>
      <c r="AC6" s="444" t="s">
        <v>76</v>
      </c>
    </row>
    <row r="7" spans="2:29" ht="15">
      <c r="B7" s="233" t="str">
        <f>Processes!D85</f>
        <v>RCTUMELCAE1</v>
      </c>
      <c r="C7" s="233" t="str">
        <f>Processes!E85</f>
        <v>Residential Cooling Technology Urban Multi - Electricity Appliances - Existing 1</v>
      </c>
      <c r="D7" s="227" t="s">
        <v>713</v>
      </c>
      <c r="E7" s="227" t="s">
        <v>116</v>
      </c>
      <c r="F7" s="230" t="str">
        <f>Commodities!$C$28</f>
        <v>RESELCC</v>
      </c>
      <c r="G7" s="230" t="str">
        <f>Commodities!$C$51</f>
        <v>RESCUDB</v>
      </c>
      <c r="H7" s="230">
        <v>2010</v>
      </c>
      <c r="I7" s="251">
        <f>ROUNDUP(AA7/($O7*$P7)*$I$2,1)</f>
        <v>41.1</v>
      </c>
      <c r="J7" s="251">
        <f t="shared" ref="J7:J14" si="0">ROUNDUP(AB7/($O7*$P7)*$I$2,1)</f>
        <v>1.1000000000000001</v>
      </c>
      <c r="K7" s="251">
        <f t="shared" ref="K7:K14" si="1">ROUNDUP(AC7/($O7*$P7)*$I$2,1)</f>
        <v>3.4</v>
      </c>
      <c r="L7" s="466">
        <v>1</v>
      </c>
      <c r="M7" s="466">
        <v>1</v>
      </c>
      <c r="N7" s="466">
        <v>1</v>
      </c>
      <c r="O7" s="244">
        <f t="shared" ref="O7:O10" si="2">31.536/1000</f>
        <v>3.1536000000000002E-2</v>
      </c>
      <c r="P7" s="462">
        <v>0.1</v>
      </c>
      <c r="Q7" s="246">
        <v>30</v>
      </c>
      <c r="R7" s="227"/>
      <c r="S7" s="269"/>
      <c r="T7" s="269"/>
      <c r="U7" s="227" t="s">
        <v>79</v>
      </c>
      <c r="V7" s="255" t="s">
        <v>190</v>
      </c>
      <c r="W7" s="247">
        <v>2010</v>
      </c>
      <c r="X7" s="436">
        <f>_xlfn.IFNA(INDEX('Data manipulation'!$C$111:$N$128,MATCH($U7,'Data manipulation'!$B$23:$B$40,0),MATCH($W7,'Data manipulation'!$C$22:$N$22,0))/1000,0)*SUMIFS('Regional split'!$F$4:$F$6,'Regional split'!$B$4:$B$6,X$4)*SUMIFS('Data manipulation'!$V$47:$V$50,'Data manipulation'!$X$47:$X$50,$E7,'Data manipulation'!$Y$47:$Y$50,$D7)</f>
        <v>0.12705817307703793</v>
      </c>
      <c r="Y7" s="436">
        <f>_xlfn.IFNA(INDEX('Data manipulation'!$C$111:$N$128,MATCH($U7,'Data manipulation'!$B$23:$B$40,0),MATCH($W7,'Data manipulation'!$C$22:$N$22,0))/1000,0)*SUMIFS('Regional split'!$F$4:$F$6,'Regional split'!$B$4:$B$6,Y$4)*SUMIFS('Data manipulation'!$V$47:$V$50,'Data manipulation'!$X$47:$X$50,$E7,'Data manipulation'!$Y$47:$Y$50,$D7)</f>
        <v>3.2275592781216135E-3</v>
      </c>
      <c r="Z7" s="436">
        <f>_xlfn.IFNA(INDEX('Data manipulation'!$C$111:$N$128,MATCH($U7,'Data manipulation'!$B$23:$B$40,0),MATCH($W7,'Data manipulation'!$C$22:$N$22,0))/1000,0)*SUMIFS('Regional split'!$F$4:$F$6,'Regional split'!$B$4:$B$6,Z$4)*SUMIFS('Data manipulation'!$V$47:$V$50,'Data manipulation'!$X$47:$X$50,$E7,'Data manipulation'!$Y$47:$Y$50,$D7)</f>
        <v>1.0219952413052378E-2</v>
      </c>
      <c r="AA7" s="447">
        <f t="shared" ref="AA7:AC12" si="3">X7*L7</f>
        <v>0.12705817307703793</v>
      </c>
      <c r="AB7" s="252">
        <f t="shared" si="3"/>
        <v>3.2275592781216135E-3</v>
      </c>
      <c r="AC7" s="448">
        <f t="shared" si="3"/>
        <v>1.0219952413052378E-2</v>
      </c>
    </row>
    <row r="8" spans="2:29" ht="15">
      <c r="B8" s="233" t="str">
        <f>Processes!D86</f>
        <v>RCTRMELCAE1</v>
      </c>
      <c r="C8" s="233" t="str">
        <f>Processes!E86</f>
        <v>Residential Cooling Technology Rural Multi - Electricity Appliances - Existing 1</v>
      </c>
      <c r="D8" s="233" t="s">
        <v>714</v>
      </c>
      <c r="E8" s="233" t="s">
        <v>116</v>
      </c>
      <c r="F8" s="230" t="str">
        <f>Commodities!$C$28</f>
        <v>RESELCC</v>
      </c>
      <c r="G8" s="260" t="str">
        <f>Commodities!$C$52</f>
        <v>RESCRDB</v>
      </c>
      <c r="H8" s="260">
        <v>2010</v>
      </c>
      <c r="I8" s="251">
        <f t="shared" ref="I8:I14" si="4">ROUNDUP(AA8/($O8*$P8)*$I$2,1)</f>
        <v>74.099999999999994</v>
      </c>
      <c r="J8" s="251">
        <f t="shared" si="0"/>
        <v>1.9000000000000001</v>
      </c>
      <c r="K8" s="251">
        <f t="shared" si="1"/>
        <v>6</v>
      </c>
      <c r="L8" s="466">
        <v>1</v>
      </c>
      <c r="M8" s="466">
        <v>1</v>
      </c>
      <c r="N8" s="466">
        <v>1</v>
      </c>
      <c r="O8" s="244">
        <f t="shared" si="2"/>
        <v>3.1536000000000002E-2</v>
      </c>
      <c r="P8" s="462">
        <v>0.1</v>
      </c>
      <c r="Q8" s="246">
        <v>30</v>
      </c>
      <c r="R8" s="227"/>
      <c r="S8" s="269"/>
      <c r="T8" s="269"/>
      <c r="U8" s="227" t="s">
        <v>79</v>
      </c>
      <c r="V8" s="255" t="s">
        <v>190</v>
      </c>
      <c r="W8" s="247">
        <v>2010</v>
      </c>
      <c r="X8" s="436">
        <f>_xlfn.IFNA(INDEX('Data manipulation'!$C$111:$N$128,MATCH($U8,'Data manipulation'!$B$23:$B$40,0),MATCH($W8,'Data manipulation'!$C$22:$N$22,0))/1000,0)*SUMIFS('Regional split'!$F$4:$F$6,'Regional split'!$B$4:$B$6,X$4)*SUMIFS('Data manipulation'!$V$47:$V$50,'Data manipulation'!$X$47:$X$50,$E8,'Data manipulation'!$Y$47:$Y$50,$D8)</f>
        <v>0.22880397573638472</v>
      </c>
      <c r="Y8" s="436">
        <f>_xlfn.IFNA(INDEX('Data manipulation'!$C$111:$N$128,MATCH($U8,'Data manipulation'!$B$23:$B$40,0),MATCH($W8,'Data manipulation'!$C$22:$N$22,0))/1000,0)*SUMIFS('Regional split'!$F$4:$F$6,'Regional split'!$B$4:$B$6,Y$4)*SUMIFS('Data manipulation'!$V$47:$V$50,'Data manipulation'!$X$47:$X$50,$E8,'Data manipulation'!$Y$47:$Y$50,$D8)</f>
        <v>5.8121282313049376E-3</v>
      </c>
      <c r="Z8" s="436">
        <f>_xlfn.IFNA(INDEX('Data manipulation'!$C$111:$N$128,MATCH($U8,'Data manipulation'!$B$23:$B$40,0),MATCH($W8,'Data manipulation'!$C$22:$N$22,0))/1000,0)*SUMIFS('Regional split'!$F$4:$F$6,'Regional split'!$B$4:$B$6,Z$4)*SUMIFS('Data manipulation'!$V$47:$V$50,'Data manipulation'!$X$47:$X$50,$E8,'Data manipulation'!$Y$47:$Y$50,$D8)</f>
        <v>1.8403898681316977E-2</v>
      </c>
      <c r="AA8" s="447">
        <f t="shared" si="3"/>
        <v>0.22880397573638472</v>
      </c>
      <c r="AB8" s="252">
        <f t="shared" si="3"/>
        <v>5.8121282313049376E-3</v>
      </c>
      <c r="AC8" s="448">
        <f t="shared" si="3"/>
        <v>1.8403898681316977E-2</v>
      </c>
    </row>
    <row r="9" spans="2:29" ht="15">
      <c r="B9" s="233" t="str">
        <f>Processes!D87</f>
        <v>RCTUDELCAE1</v>
      </c>
      <c r="C9" s="233" t="str">
        <f>Processes!E87</f>
        <v>Residential Cooling Technology Urban Detached - Electricity Appliances - Existing 1</v>
      </c>
      <c r="D9" s="227" t="s">
        <v>713</v>
      </c>
      <c r="E9" s="227" t="s">
        <v>757</v>
      </c>
      <c r="F9" s="230" t="str">
        <f>Commodities!$C$28</f>
        <v>RESELCC</v>
      </c>
      <c r="G9" s="260" t="str">
        <f>Commodities!$C$53</f>
        <v>RESCUMB</v>
      </c>
      <c r="H9" s="260">
        <v>2010</v>
      </c>
      <c r="I9" s="251">
        <f t="shared" si="4"/>
        <v>42.4</v>
      </c>
      <c r="J9" s="251">
        <f t="shared" si="0"/>
        <v>1.1000000000000001</v>
      </c>
      <c r="K9" s="251">
        <f t="shared" si="1"/>
        <v>3.5</v>
      </c>
      <c r="L9" s="466">
        <v>1</v>
      </c>
      <c r="M9" s="466">
        <v>1</v>
      </c>
      <c r="N9" s="466">
        <v>1</v>
      </c>
      <c r="O9" s="244">
        <f t="shared" si="2"/>
        <v>3.1536000000000002E-2</v>
      </c>
      <c r="P9" s="462">
        <v>0.1</v>
      </c>
      <c r="Q9" s="246">
        <v>30</v>
      </c>
      <c r="R9" s="227"/>
      <c r="S9" s="269"/>
      <c r="T9" s="269"/>
      <c r="U9" s="227" t="s">
        <v>79</v>
      </c>
      <c r="V9" s="255" t="s">
        <v>190</v>
      </c>
      <c r="W9" s="247">
        <v>2010</v>
      </c>
      <c r="X9" s="436">
        <f>_xlfn.IFNA(INDEX('Data manipulation'!$C$111:$N$128,MATCH($U9,'Data manipulation'!$B$23:$B$40,0),MATCH($W9,'Data manipulation'!$C$22:$N$22,0))/1000,0)*SUMIFS('Regional split'!$F$4:$F$6,'Regional split'!$B$4:$B$6,X$4)*SUMIFS('Data manipulation'!$V$47:$V$50,'Data manipulation'!$X$47:$X$50,$E9,'Data manipulation'!$Y$47:$Y$50,$D9)</f>
        <v>0.13102874098569536</v>
      </c>
      <c r="Y9" s="436">
        <f>_xlfn.IFNA(INDEX('Data manipulation'!$C$111:$N$128,MATCH($U9,'Data manipulation'!$B$23:$B$40,0),MATCH($W9,'Data manipulation'!$C$22:$N$22,0))/1000,0)*SUMIFS('Regional split'!$F$4:$F$6,'Regional split'!$B$4:$B$6,Y$4)*SUMIFS('Data manipulation'!$V$47:$V$50,'Data manipulation'!$X$47:$X$50,$E9,'Data manipulation'!$Y$47:$Y$50,$D9)</f>
        <v>3.3284205055629144E-3</v>
      </c>
      <c r="Z9" s="436">
        <f>_xlfn.IFNA(INDEX('Data manipulation'!$C$111:$N$128,MATCH($U9,'Data manipulation'!$B$23:$B$40,0),MATCH($W9,'Data manipulation'!$C$22:$N$22,0))/1000,0)*SUMIFS('Regional split'!$F$4:$F$6,'Regional split'!$B$4:$B$6,Z$4)*SUMIFS('Data manipulation'!$V$47:$V$50,'Data manipulation'!$X$47:$X$50,$E9,'Data manipulation'!$Y$47:$Y$50,$D9)</f>
        <v>1.0539325925960265E-2</v>
      </c>
      <c r="AA9" s="447">
        <f t="shared" ref="AA9:AA10" si="5">X9*L9</f>
        <v>0.13102874098569536</v>
      </c>
      <c r="AB9" s="252">
        <f t="shared" ref="AB9:AB10" si="6">Y9*M9</f>
        <v>3.3284205055629144E-3</v>
      </c>
      <c r="AC9" s="448">
        <f t="shared" ref="AC9:AC10" si="7">Z9*N9</f>
        <v>1.0539325925960265E-2</v>
      </c>
    </row>
    <row r="10" spans="2:29" ht="15">
      <c r="B10" s="233" t="str">
        <f>Processes!D88</f>
        <v>RCTRDELCAE1</v>
      </c>
      <c r="C10" s="233" t="str">
        <f>Processes!E88</f>
        <v>Residential Cooling Technology Rural Detached - Electricity Appliances - Existing 1</v>
      </c>
      <c r="D10" s="233" t="s">
        <v>714</v>
      </c>
      <c r="E10" s="233" t="s">
        <v>757</v>
      </c>
      <c r="F10" s="230" t="str">
        <f>Commodities!$C$28</f>
        <v>RESELCC</v>
      </c>
      <c r="G10" s="260" t="str">
        <f>Commodities!$C$54</f>
        <v>RESCRMB</v>
      </c>
      <c r="H10" s="260">
        <v>2010</v>
      </c>
      <c r="I10" s="251">
        <f t="shared" si="4"/>
        <v>3.3000000000000003</v>
      </c>
      <c r="J10" s="251">
        <f t="shared" si="0"/>
        <v>0.1</v>
      </c>
      <c r="K10" s="251">
        <f t="shared" si="1"/>
        <v>0.30000000000000004</v>
      </c>
      <c r="L10" s="466">
        <v>1</v>
      </c>
      <c r="M10" s="466">
        <v>1</v>
      </c>
      <c r="N10" s="466">
        <v>1</v>
      </c>
      <c r="O10" s="244">
        <f t="shared" si="2"/>
        <v>3.1536000000000002E-2</v>
      </c>
      <c r="P10" s="462">
        <v>0.1</v>
      </c>
      <c r="Q10" s="246">
        <v>30</v>
      </c>
      <c r="R10" s="227"/>
      <c r="S10" s="269"/>
      <c r="T10" s="269"/>
      <c r="U10" s="227" t="s">
        <v>79</v>
      </c>
      <c r="V10" s="255" t="s">
        <v>190</v>
      </c>
      <c r="W10" s="247">
        <v>2010</v>
      </c>
      <c r="X10" s="436">
        <f>_xlfn.IFNA(INDEX('Data manipulation'!$C$111:$N$128,MATCH($U10,'Data manipulation'!$B$23:$B$40,0),MATCH($W10,'Data manipulation'!$C$22:$N$22,0))/1000,0)*SUMIFS('Regional split'!$F$4:$F$6,'Regional split'!$B$4:$B$6,X$4)*SUMIFS('Data manipulation'!$V$47:$V$50,'Data manipulation'!$X$47:$X$50,$E10,'Data manipulation'!$Y$47:$Y$50,$D10)</f>
        <v>9.9264197716435881E-3</v>
      </c>
      <c r="Y10" s="436">
        <f>_xlfn.IFNA(INDEX('Data manipulation'!$C$111:$N$128,MATCH($U10,'Data manipulation'!$B$23:$B$40,0),MATCH($W10,'Data manipulation'!$C$22:$N$22,0))/1000,0)*SUMIFS('Regional split'!$F$4:$F$6,'Regional split'!$B$4:$B$6,Y$4)*SUMIFS('Data manipulation'!$V$47:$V$50,'Data manipulation'!$X$47:$X$50,$E10,'Data manipulation'!$Y$47:$Y$50,$D10)</f>
        <v>2.5215306860325109E-4</v>
      </c>
      <c r="Z10" s="436">
        <f>_xlfn.IFNA(INDEX('Data manipulation'!$C$111:$N$128,MATCH($U10,'Data manipulation'!$B$23:$B$40,0),MATCH($W10,'Data manipulation'!$C$22:$N$22,0))/1000,0)*SUMIFS('Regional split'!$F$4:$F$6,'Regional split'!$B$4:$B$6,Z$4)*SUMIFS('Data manipulation'!$V$47:$V$50,'Data manipulation'!$X$47:$X$50,$E10,'Data manipulation'!$Y$47:$Y$50,$D10)</f>
        <v>7.9843378226971697E-4</v>
      </c>
      <c r="AA10" s="447">
        <f t="shared" si="5"/>
        <v>9.9264197716435881E-3</v>
      </c>
      <c r="AB10" s="252">
        <f t="shared" si="6"/>
        <v>2.5215306860325109E-4</v>
      </c>
      <c r="AC10" s="448">
        <f t="shared" si="7"/>
        <v>7.9843378226971697E-4</v>
      </c>
    </row>
    <row r="11" spans="2:29" ht="1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1">
        <f>ROUNDUP(AA11/($O11*$P11)*$I$2,1)</f>
        <v>56.7</v>
      </c>
      <c r="J11" s="251">
        <f t="shared" si="0"/>
        <v>1.5</v>
      </c>
      <c r="K11" s="251">
        <f t="shared" si="1"/>
        <v>4.5999999999999996</v>
      </c>
      <c r="L11" s="466">
        <v>1</v>
      </c>
      <c r="M11" s="466">
        <v>1</v>
      </c>
      <c r="N11" s="466">
        <v>1</v>
      </c>
      <c r="O11" s="244">
        <f t="shared" ref="O11:O22" si="9">31.536/1000</f>
        <v>3.1536000000000002E-2</v>
      </c>
      <c r="P11" s="462">
        <v>0.1</v>
      </c>
      <c r="Q11" s="246">
        <v>30</v>
      </c>
      <c r="R11" s="227"/>
      <c r="S11" s="227"/>
      <c r="T11" s="269"/>
      <c r="U11" s="227" t="s">
        <v>79</v>
      </c>
      <c r="V11" s="255" t="s">
        <v>190</v>
      </c>
      <c r="W11" s="247">
        <v>2015</v>
      </c>
      <c r="X11" s="436">
        <f>_xlfn.IFNA(INDEX('Data manipulation'!$C$111:$N$128,MATCH($U11,'Data manipulation'!$B$23:$B$40,0),MATCH($W11,'Data manipulation'!$C$22:$N$22,0))/1000,0)*SUMIFS('Regional split'!$F$4:$F$6,'Regional split'!$B$4:$B$6,X$4)*SUMIFS('Data manipulation'!$V$47:$V$50,'Data manipulation'!$X$47:$X$50,$E11,'Data manipulation'!$Y$47:$Y$50,$D11)</f>
        <v>0.17524241772657437</v>
      </c>
      <c r="Y11" s="436">
        <f>_xlfn.IFNA(INDEX('Data manipulation'!$C$111:$N$128,MATCH($U11,'Data manipulation'!$B$23:$B$40,0),MATCH($W11,'Data manipulation'!$C$22:$N$22,0))/1000,0)*SUMIFS('Regional split'!$F$4:$F$6,'Regional split'!$B$4:$B$6,Y$4)*SUMIFS('Data manipulation'!$V$47:$V$50,'Data manipulation'!$X$47:$X$50,$E11,'Data manipulation'!$Y$47:$Y$50,$D11)</f>
        <v>4.4515459144130048E-3</v>
      </c>
      <c r="Z11" s="436">
        <f>_xlfn.IFNA(INDEX('Data manipulation'!$C$111:$N$128,MATCH($U11,'Data manipulation'!$B$23:$B$40,0),MATCH($W11,'Data manipulation'!$C$22:$N$22,0))/1000,0)*SUMIFS('Regional split'!$F$4:$F$6,'Regional split'!$B$4:$B$6,Z$4)*SUMIFS('Data manipulation'!$V$47:$V$50,'Data manipulation'!$X$47:$X$50,$E11,'Data manipulation'!$Y$47:$Y$50,$D11)</f>
        <v>1.4095662849078868E-2</v>
      </c>
      <c r="AA11" s="447">
        <f t="shared" si="3"/>
        <v>0.17524241772657437</v>
      </c>
      <c r="AB11" s="252">
        <f t="shared" si="3"/>
        <v>4.4515459144130048E-3</v>
      </c>
      <c r="AC11" s="448">
        <f t="shared" si="3"/>
        <v>1.4095662849078868E-2</v>
      </c>
    </row>
    <row r="12" spans="2:29" ht="1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1">
        <f t="shared" si="4"/>
        <v>102.1</v>
      </c>
      <c r="J12" s="251">
        <f t="shared" si="0"/>
        <v>2.6</v>
      </c>
      <c r="K12" s="251">
        <f t="shared" si="1"/>
        <v>8.2999999999999989</v>
      </c>
      <c r="L12" s="466">
        <v>1</v>
      </c>
      <c r="M12" s="466">
        <v>1</v>
      </c>
      <c r="N12" s="466">
        <v>1</v>
      </c>
      <c r="O12" s="244">
        <f t="shared" si="9"/>
        <v>3.1536000000000002E-2</v>
      </c>
      <c r="P12" s="462">
        <v>0.1</v>
      </c>
      <c r="Q12" s="246">
        <v>30</v>
      </c>
      <c r="R12" s="227"/>
      <c r="S12" s="227"/>
      <c r="T12" s="269"/>
      <c r="U12" s="227" t="s">
        <v>79</v>
      </c>
      <c r="V12" s="255" t="s">
        <v>190</v>
      </c>
      <c r="W12" s="247">
        <v>2015</v>
      </c>
      <c r="X12" s="436">
        <f>_xlfn.IFNA(INDEX('Data manipulation'!$C$111:$N$128,MATCH($U12,'Data manipulation'!$B$23:$B$40,0),MATCH($W12,'Data manipulation'!$C$22:$N$22,0))/1000,0)*SUMIFS('Regional split'!$F$4:$F$6,'Regional split'!$B$4:$B$6,X$4)*SUMIFS('Data manipulation'!$V$47:$V$50,'Data manipulation'!$X$47:$X$50,$E12,'Data manipulation'!$Y$47:$Y$50,$D12)</f>
        <v>0.31557326004668274</v>
      </c>
      <c r="Y12" s="436">
        <f>_xlfn.IFNA(INDEX('Data manipulation'!$C$111:$N$128,MATCH($U12,'Data manipulation'!$B$23:$B$40,0),MATCH($W12,'Data manipulation'!$C$22:$N$22,0))/1000,0)*SUMIFS('Regional split'!$F$4:$F$6,'Regional split'!$B$4:$B$6,Y$4)*SUMIFS('Data manipulation'!$V$47:$V$50,'Data manipulation'!$X$47:$X$50,$E12,'Data manipulation'!$Y$47:$Y$50,$D12)</f>
        <v>8.016260416189044E-3</v>
      </c>
      <c r="Z12" s="436">
        <f>_xlfn.IFNA(INDEX('Data manipulation'!$C$111:$N$128,MATCH($U12,'Data manipulation'!$B$23:$B$40,0),MATCH($W12,'Data manipulation'!$C$22:$N$22,0))/1000,0)*SUMIFS('Regional split'!$F$4:$F$6,'Regional split'!$B$4:$B$6,Z$4)*SUMIFS('Data manipulation'!$V$47:$V$50,'Data manipulation'!$X$47:$X$50,$E12,'Data manipulation'!$Y$47:$Y$50,$D12)</f>
        <v>2.5383205364942808E-2</v>
      </c>
      <c r="AA12" s="447">
        <f t="shared" si="3"/>
        <v>0.31557326004668274</v>
      </c>
      <c r="AB12" s="252">
        <f t="shared" si="3"/>
        <v>8.016260416189044E-3</v>
      </c>
      <c r="AC12" s="448">
        <f t="shared" si="3"/>
        <v>2.5383205364942808E-2</v>
      </c>
    </row>
    <row r="13" spans="2:29" ht="1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1">
        <f t="shared" si="4"/>
        <v>58.5</v>
      </c>
      <c r="J13" s="251">
        <f t="shared" si="0"/>
        <v>1.5</v>
      </c>
      <c r="K13" s="251">
        <f t="shared" si="1"/>
        <v>4.8</v>
      </c>
      <c r="L13" s="466">
        <v>1</v>
      </c>
      <c r="M13" s="466">
        <v>1</v>
      </c>
      <c r="N13" s="466">
        <v>1</v>
      </c>
      <c r="O13" s="244">
        <f t="shared" si="9"/>
        <v>3.1536000000000002E-2</v>
      </c>
      <c r="P13" s="462">
        <v>0.1</v>
      </c>
      <c r="Q13" s="246">
        <v>30</v>
      </c>
      <c r="R13" s="227"/>
      <c r="S13" s="227"/>
      <c r="T13" s="269"/>
      <c r="U13" s="227" t="s">
        <v>79</v>
      </c>
      <c r="V13" s="255" t="s">
        <v>190</v>
      </c>
      <c r="W13" s="247">
        <v>2015</v>
      </c>
      <c r="X13" s="436">
        <f>_xlfn.IFNA(INDEX('Data manipulation'!$C$111:$N$128,MATCH($U13,'Data manipulation'!$B$23:$B$40,0),MATCH($W13,'Data manipulation'!$C$22:$N$22,0))/1000,0)*SUMIFS('Regional split'!$F$4:$F$6,'Regional split'!$B$4:$B$6,X$4)*SUMIFS('Data manipulation'!$V$47:$V$50,'Data manipulation'!$X$47:$X$50,$E13,'Data manipulation'!$Y$47:$Y$50,$D13)</f>
        <v>0.18071874328052981</v>
      </c>
      <c r="Y13" s="436">
        <f>_xlfn.IFNA(INDEX('Data manipulation'!$C$111:$N$128,MATCH($U13,'Data manipulation'!$B$23:$B$40,0),MATCH($W13,'Data manipulation'!$C$22:$N$22,0))/1000,0)*SUMIFS('Regional split'!$F$4:$F$6,'Regional split'!$B$4:$B$6,Y$4)*SUMIFS('Data manipulation'!$V$47:$V$50,'Data manipulation'!$X$47:$X$50,$E13,'Data manipulation'!$Y$47:$Y$50,$D13)</f>
        <v>4.5906567242384117E-3</v>
      </c>
      <c r="Z13" s="436">
        <f>_xlfn.IFNA(INDEX('Data manipulation'!$C$111:$N$128,MATCH($U13,'Data manipulation'!$B$23:$B$40,0),MATCH($W13,'Data manipulation'!$C$22:$N$22,0))/1000,0)*SUMIFS('Regional split'!$F$4:$F$6,'Regional split'!$B$4:$B$6,Z$4)*SUMIFS('Data manipulation'!$V$47:$V$50,'Data manipulation'!$X$47:$X$50,$E13,'Data manipulation'!$Y$47:$Y$50,$D13)</f>
        <v>1.4536152313112585E-2</v>
      </c>
      <c r="AA13" s="447">
        <f t="shared" ref="AA13:AA20" si="10">X13*L13</f>
        <v>0.18071874328052981</v>
      </c>
      <c r="AB13" s="252">
        <f t="shared" ref="AB13:AB20" si="11">Y13*M13</f>
        <v>4.5906567242384117E-3</v>
      </c>
      <c r="AC13" s="448">
        <f t="shared" ref="AC13:AC20" si="12">Z13*N13</f>
        <v>1.4536152313112585E-2</v>
      </c>
    </row>
    <row r="14" spans="2:29" ht="1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1">
        <f t="shared" si="4"/>
        <v>4.5</v>
      </c>
      <c r="J14" s="251">
        <f t="shared" si="0"/>
        <v>0.2</v>
      </c>
      <c r="K14" s="251">
        <f t="shared" si="1"/>
        <v>0.4</v>
      </c>
      <c r="L14" s="466">
        <v>1</v>
      </c>
      <c r="M14" s="466">
        <v>1</v>
      </c>
      <c r="N14" s="466">
        <v>1</v>
      </c>
      <c r="O14" s="244">
        <f t="shared" si="9"/>
        <v>3.1536000000000002E-2</v>
      </c>
      <c r="P14" s="462">
        <v>0.1</v>
      </c>
      <c r="Q14" s="246">
        <v>30</v>
      </c>
      <c r="R14" s="227"/>
      <c r="S14" s="227"/>
      <c r="T14" s="269"/>
      <c r="U14" s="227" t="s">
        <v>79</v>
      </c>
      <c r="V14" s="255" t="s">
        <v>190</v>
      </c>
      <c r="W14" s="247">
        <v>2015</v>
      </c>
      <c r="X14" s="436">
        <f>_xlfn.IFNA(INDEX('Data manipulation'!$C$111:$N$128,MATCH($U14,'Data manipulation'!$B$23:$B$40,0),MATCH($W14,'Data manipulation'!$C$22:$N$22,0))/1000,0)*SUMIFS('Regional split'!$F$4:$F$6,'Regional split'!$B$4:$B$6,X$4)*SUMIFS('Data manipulation'!$V$47:$V$50,'Data manipulation'!$X$47:$X$50,$E14,'Data manipulation'!$Y$47:$Y$50,$D14)</f>
        <v>1.3690813884888622E-2</v>
      </c>
      <c r="Y14" s="436">
        <f>_xlfn.IFNA(INDEX('Data manipulation'!$C$111:$N$128,MATCH($U14,'Data manipulation'!$B$23:$B$40,0),MATCH($W14,'Data manipulation'!$C$22:$N$22,0))/1000,0)*SUMIFS('Regional split'!$F$4:$F$6,'Regional split'!$B$4:$B$6,Y$4)*SUMIFS('Data manipulation'!$V$47:$V$50,'Data manipulation'!$X$47:$X$50,$E14,'Data manipulation'!$Y$47:$Y$50,$D14)</f>
        <v>3.4777702456351606E-4</v>
      </c>
      <c r="Z14" s="436">
        <f>_xlfn.IFNA(INDEX('Data manipulation'!$C$111:$N$128,MATCH($U14,'Data manipulation'!$B$23:$B$40,0),MATCH($W14,'Data manipulation'!$C$22:$N$22,0))/1000,0)*SUMIFS('Regional split'!$F$4:$F$6,'Regional split'!$B$4:$B$6,Z$4)*SUMIFS('Data manipulation'!$V$47:$V$50,'Data manipulation'!$X$47:$X$50,$E14,'Data manipulation'!$Y$47:$Y$50,$D14)</f>
        <v>1.1012236600842866E-3</v>
      </c>
      <c r="AA14" s="447">
        <f t="shared" si="10"/>
        <v>1.3690813884888622E-2</v>
      </c>
      <c r="AB14" s="252">
        <f t="shared" si="11"/>
        <v>3.4777702456351606E-4</v>
      </c>
      <c r="AC14" s="448">
        <f t="shared" si="12"/>
        <v>1.1012236600842866E-3</v>
      </c>
    </row>
    <row r="15" spans="2:29" ht="1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1">
        <f>ROUNDUP(AA15/($O15*$P15)*$I$2,1)</f>
        <v>47.9</v>
      </c>
      <c r="J15" s="251">
        <f t="shared" ref="J15:J18" si="14">ROUNDUP(AB15/($O15*$P15)*$I$2,1)</f>
        <v>1.3</v>
      </c>
      <c r="K15" s="251">
        <f t="shared" ref="K15:K18" si="15">ROUNDUP(AC15/($O15*$P15)*$I$2,1)</f>
        <v>3.9</v>
      </c>
      <c r="L15" s="466">
        <v>1</v>
      </c>
      <c r="M15" s="466">
        <v>1</v>
      </c>
      <c r="N15" s="466">
        <v>1</v>
      </c>
      <c r="O15" s="244">
        <f t="shared" si="9"/>
        <v>3.1536000000000002E-2</v>
      </c>
      <c r="P15" s="462">
        <v>0.1</v>
      </c>
      <c r="Q15" s="246">
        <v>30</v>
      </c>
      <c r="R15" s="227"/>
      <c r="S15" s="227"/>
      <c r="T15" s="269"/>
      <c r="U15" s="227" t="s">
        <v>79</v>
      </c>
      <c r="V15" s="255" t="s">
        <v>190</v>
      </c>
      <c r="W15" s="247">
        <v>2018</v>
      </c>
      <c r="X15" s="436">
        <f>_xlfn.IFNA(INDEX('Data manipulation'!$C$111:$N$128,MATCH($U15,'Data manipulation'!$B$23:$B$40,0),MATCH($W15,'Data manipulation'!$C$22:$N$22,0))/1000,0)*SUMIFS('Regional split'!$F$4:$F$6,'Regional split'!$B$4:$B$6,X$4)*SUMIFS('Data manipulation'!$V$47:$V$50,'Data manipulation'!$X$47:$X$50,$E15,'Data manipulation'!$Y$47:$Y$50,$D15)</f>
        <v>0.14789858098013245</v>
      </c>
      <c r="Y15" s="436">
        <f>_xlfn.IFNA(INDEX('Data manipulation'!$C$111:$N$128,MATCH($U15,'Data manipulation'!$B$23:$B$40,0),MATCH($W15,'Data manipulation'!$C$22:$N$22,0))/1000,0)*SUMIFS('Regional split'!$F$4:$F$6,'Regional split'!$B$4:$B$6,Y$4)*SUMIFS('Data manipulation'!$V$47:$V$50,'Data manipulation'!$X$47:$X$50,$E15,'Data manipulation'!$Y$47:$Y$50,$D15)</f>
        <v>3.7569518410596027E-3</v>
      </c>
      <c r="Z15" s="436">
        <f>_xlfn.IFNA(INDEX('Data manipulation'!$C$111:$N$128,MATCH($U15,'Data manipulation'!$B$23:$B$40,0),MATCH($W15,'Data manipulation'!$C$22:$N$22,0))/1000,0)*SUMIFS('Regional split'!$F$4:$F$6,'Regional split'!$B$4:$B$6,Z$4)*SUMIFS('Data manipulation'!$V$47:$V$50,'Data manipulation'!$X$47:$X$50,$E15,'Data manipulation'!$Y$47:$Y$50,$D15)</f>
        <v>1.1896255258278145E-2</v>
      </c>
      <c r="AA15" s="447">
        <f t="shared" si="10"/>
        <v>0.14789858098013245</v>
      </c>
      <c r="AB15" s="252">
        <f t="shared" si="11"/>
        <v>3.7569518410596027E-3</v>
      </c>
      <c r="AC15" s="448">
        <f t="shared" si="12"/>
        <v>1.1896255258278145E-2</v>
      </c>
    </row>
    <row r="16" spans="2:29" ht="1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60">
        <v>2018</v>
      </c>
      <c r="I16" s="251">
        <f t="shared" ref="I16:I18" si="17">ROUNDUP(AA16/($O16*$P16)*$I$2,1)</f>
        <v>86.199999999999989</v>
      </c>
      <c r="J16" s="251">
        <f t="shared" si="14"/>
        <v>2.2000000000000002</v>
      </c>
      <c r="K16" s="251">
        <f t="shared" si="15"/>
        <v>7</v>
      </c>
      <c r="L16" s="466">
        <v>1</v>
      </c>
      <c r="M16" s="466">
        <v>1</v>
      </c>
      <c r="N16" s="466">
        <v>1</v>
      </c>
      <c r="O16" s="244">
        <f t="shared" si="9"/>
        <v>3.1536000000000002E-2</v>
      </c>
      <c r="P16" s="462">
        <v>0.1</v>
      </c>
      <c r="Q16" s="246">
        <v>30</v>
      </c>
      <c r="R16" s="227"/>
      <c r="S16" s="227"/>
      <c r="T16" s="269"/>
      <c r="U16" s="227" t="s">
        <v>79</v>
      </c>
      <c r="V16" s="255" t="s">
        <v>190</v>
      </c>
      <c r="W16" s="247">
        <v>2018</v>
      </c>
      <c r="X16" s="436">
        <f>_xlfn.IFNA(INDEX('Data manipulation'!$C$111:$N$128,MATCH($U16,'Data manipulation'!$B$23:$B$40,0),MATCH($W16,'Data manipulation'!$C$22:$N$22,0))/1000,0)*SUMIFS('Regional split'!$F$4:$F$6,'Regional split'!$B$4:$B$6,X$4)*SUMIFS('Data manipulation'!$V$47:$V$50,'Data manipulation'!$X$47:$X$50,$E16,'Data manipulation'!$Y$47:$Y$50,$D16)</f>
        <v>0.26633299153062912</v>
      </c>
      <c r="Y16" s="436">
        <f>_xlfn.IFNA(INDEX('Data manipulation'!$C$111:$N$128,MATCH($U16,'Data manipulation'!$B$23:$B$40,0),MATCH($W16,'Data manipulation'!$C$22:$N$22,0))/1000,0)*SUMIFS('Regional split'!$F$4:$F$6,'Regional split'!$B$4:$B$6,Y$4)*SUMIFS('Data manipulation'!$V$47:$V$50,'Data manipulation'!$X$47:$X$50,$E16,'Data manipulation'!$Y$47:$Y$50,$D16)</f>
        <v>6.7654484325331129E-3</v>
      </c>
      <c r="Z16" s="436">
        <f>_xlfn.IFNA(INDEX('Data manipulation'!$C$111:$N$128,MATCH($U16,'Data manipulation'!$B$23:$B$40,0),MATCH($W16,'Data manipulation'!$C$22:$N$22,0))/1000,0)*SUMIFS('Regional split'!$F$4:$F$6,'Regional split'!$B$4:$B$6,Z$4)*SUMIFS('Data manipulation'!$V$47:$V$50,'Data manipulation'!$X$47:$X$50,$E16,'Data manipulation'!$Y$47:$Y$50,$D16)</f>
        <v>2.1422553414321192E-2</v>
      </c>
      <c r="AA16" s="447">
        <f t="shared" si="10"/>
        <v>0.26633299153062912</v>
      </c>
      <c r="AB16" s="252">
        <f t="shared" si="11"/>
        <v>6.7654484325331129E-3</v>
      </c>
      <c r="AC16" s="448">
        <f t="shared" si="12"/>
        <v>2.1422553414321192E-2</v>
      </c>
    </row>
    <row r="17" spans="2:29" ht="1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1">
        <f t="shared" si="17"/>
        <v>49.4</v>
      </c>
      <c r="J17" s="251">
        <f t="shared" si="14"/>
        <v>1.3</v>
      </c>
      <c r="K17" s="251">
        <f t="shared" si="15"/>
        <v>4</v>
      </c>
      <c r="L17" s="466">
        <v>1</v>
      </c>
      <c r="M17" s="466">
        <v>1</v>
      </c>
      <c r="N17" s="466">
        <v>1</v>
      </c>
      <c r="O17" s="244">
        <f t="shared" si="9"/>
        <v>3.1536000000000002E-2</v>
      </c>
      <c r="P17" s="462">
        <v>0.1</v>
      </c>
      <c r="Q17" s="246">
        <v>30</v>
      </c>
      <c r="R17" s="227"/>
      <c r="S17" s="227"/>
      <c r="T17" s="269"/>
      <c r="U17" s="227" t="s">
        <v>79</v>
      </c>
      <c r="V17" s="255" t="s">
        <v>190</v>
      </c>
      <c r="W17" s="247">
        <v>2018</v>
      </c>
      <c r="X17" s="436">
        <f>_xlfn.IFNA(INDEX('Data manipulation'!$C$111:$N$128,MATCH($U17,'Data manipulation'!$B$23:$B$40,0),MATCH($W17,'Data manipulation'!$C$22:$N$22,0))/1000,0)*SUMIFS('Regional split'!$F$4:$F$6,'Regional split'!$B$4:$B$6,X$4)*SUMIFS('Data manipulation'!$V$47:$V$50,'Data manipulation'!$X$47:$X$50,$E17,'Data manipulation'!$Y$47:$Y$50,$D17)</f>
        <v>0.15252041163576158</v>
      </c>
      <c r="Y17" s="436">
        <f>_xlfn.IFNA(INDEX('Data manipulation'!$C$111:$N$128,MATCH($U17,'Data manipulation'!$B$23:$B$40,0),MATCH($W17,'Data manipulation'!$C$22:$N$22,0))/1000,0)*SUMIFS('Regional split'!$F$4:$F$6,'Regional split'!$B$4:$B$6,Y$4)*SUMIFS('Data manipulation'!$V$47:$V$50,'Data manipulation'!$X$47:$X$50,$E17,'Data manipulation'!$Y$47:$Y$50,$D17)</f>
        <v>3.8743565860927154E-3</v>
      </c>
      <c r="Z17" s="436">
        <f>_xlfn.IFNA(INDEX('Data manipulation'!$C$111:$N$128,MATCH($U17,'Data manipulation'!$B$23:$B$40,0),MATCH($W17,'Data manipulation'!$C$22:$N$22,0))/1000,0)*SUMIFS('Regional split'!$F$4:$F$6,'Regional split'!$B$4:$B$6,Z$4)*SUMIFS('Data manipulation'!$V$47:$V$50,'Data manipulation'!$X$47:$X$50,$E17,'Data manipulation'!$Y$47:$Y$50,$D17)</f>
        <v>1.2268013235099339E-2</v>
      </c>
      <c r="AA17" s="447">
        <f t="shared" ref="AA17:AA18" si="19">X17*L17</f>
        <v>0.15252041163576158</v>
      </c>
      <c r="AB17" s="252">
        <f t="shared" ref="AB17:AB18" si="20">Y17*M17</f>
        <v>3.8743565860927154E-3</v>
      </c>
      <c r="AC17" s="448">
        <f t="shared" ref="AC17:AC18" si="21">Z17*N17</f>
        <v>1.2268013235099339E-2</v>
      </c>
    </row>
    <row r="18" spans="2:29" ht="1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60">
        <v>2018</v>
      </c>
      <c r="I18" s="251">
        <f t="shared" si="17"/>
        <v>3.8000000000000003</v>
      </c>
      <c r="J18" s="251">
        <f t="shared" si="14"/>
        <v>0.1</v>
      </c>
      <c r="K18" s="251">
        <f t="shared" si="15"/>
        <v>0.4</v>
      </c>
      <c r="L18" s="466">
        <v>1</v>
      </c>
      <c r="M18" s="466">
        <v>1</v>
      </c>
      <c r="N18" s="466">
        <v>1</v>
      </c>
      <c r="O18" s="244">
        <f t="shared" si="9"/>
        <v>3.1536000000000002E-2</v>
      </c>
      <c r="P18" s="462">
        <v>0.1</v>
      </c>
      <c r="Q18" s="246">
        <v>30</v>
      </c>
      <c r="R18" s="227"/>
      <c r="S18" s="227"/>
      <c r="T18" s="269"/>
      <c r="U18" s="227" t="s">
        <v>79</v>
      </c>
      <c r="V18" s="255" t="s">
        <v>190</v>
      </c>
      <c r="W18" s="247">
        <v>2018</v>
      </c>
      <c r="X18" s="436">
        <f>_xlfn.IFNA(INDEX('Data manipulation'!$C$111:$N$128,MATCH($U18,'Data manipulation'!$B$23:$B$40,0),MATCH($W18,'Data manipulation'!$C$22:$N$22,0))/1000,0)*SUMIFS('Regional split'!$F$4:$F$6,'Regional split'!$B$4:$B$6,X$4)*SUMIFS('Data manipulation'!$V$47:$V$50,'Data manipulation'!$X$47:$X$50,$E18,'Data manipulation'!$Y$47:$Y$50,$D18)</f>
        <v>1.1554576639072847E-2</v>
      </c>
      <c r="Y18" s="436">
        <f>_xlfn.IFNA(INDEX('Data manipulation'!$C$111:$N$128,MATCH($U18,'Data manipulation'!$B$23:$B$40,0),MATCH($W18,'Data manipulation'!$C$22:$N$22,0))/1000,0)*SUMIFS('Regional split'!$F$4:$F$6,'Regional split'!$B$4:$B$6,Y$4)*SUMIFS('Data manipulation'!$V$47:$V$50,'Data manipulation'!$X$47:$X$50,$E18,'Data manipulation'!$Y$47:$Y$50,$D18)</f>
        <v>2.9351186258278145E-4</v>
      </c>
      <c r="Z18" s="436">
        <f>_xlfn.IFNA(INDEX('Data manipulation'!$C$111:$N$128,MATCH($U18,'Data manipulation'!$B$23:$B$40,0),MATCH($W18,'Data manipulation'!$C$22:$N$22,0))/1000,0)*SUMIFS('Regional split'!$F$4:$F$6,'Regional split'!$B$4:$B$6,Z$4)*SUMIFS('Data manipulation'!$V$47:$V$50,'Data manipulation'!$X$47:$X$50,$E18,'Data manipulation'!$Y$47:$Y$50,$D18)</f>
        <v>9.2939494205298017E-4</v>
      </c>
      <c r="AA18" s="447">
        <f t="shared" si="19"/>
        <v>1.1554576639072847E-2</v>
      </c>
      <c r="AB18" s="252">
        <f t="shared" si="20"/>
        <v>2.9351186258278145E-4</v>
      </c>
      <c r="AC18" s="448">
        <f t="shared" si="21"/>
        <v>9.2939494205298017E-4</v>
      </c>
    </row>
    <row r="19" spans="2:29" ht="1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84">
        <f>H15+Q19</f>
        <v>2048</v>
      </c>
      <c r="I19" s="251">
        <v>0</v>
      </c>
      <c r="J19" s="251">
        <v>0</v>
      </c>
      <c r="K19" s="251">
        <v>0</v>
      </c>
      <c r="L19" s="466">
        <v>1</v>
      </c>
      <c r="M19" s="466">
        <v>1</v>
      </c>
      <c r="N19" s="466">
        <v>1</v>
      </c>
      <c r="O19" s="244">
        <f t="shared" si="9"/>
        <v>3.1536000000000002E-2</v>
      </c>
      <c r="P19" s="462">
        <v>0.1</v>
      </c>
      <c r="Q19" s="246">
        <v>30</v>
      </c>
      <c r="R19" s="227"/>
      <c r="S19" s="227"/>
      <c r="T19" s="269"/>
      <c r="U19" s="227" t="s">
        <v>79</v>
      </c>
      <c r="V19" s="255" t="s">
        <v>190</v>
      </c>
      <c r="W19" s="247">
        <v>2018</v>
      </c>
      <c r="X19" s="436">
        <f>_xlfn.IFNA(INDEX('Data manipulation'!$C$111:$N$128,MATCH($U19,'Data manipulation'!$B$23:$B$40,0),MATCH($W19,'Data manipulation'!$C$22:$N$22,0))/1000,0)*SUMIFS('Regional split'!$F$4:$F$6,'Regional split'!$B$4:$B$6,X$4)*SUMIFS('Data manipulation'!$V$47:$V$50,'Data manipulation'!$X$47:$X$50,$E19,'Data manipulation'!$Y$47:$Y$50,$D19)</f>
        <v>0.14789858098013245</v>
      </c>
      <c r="Y19" s="436">
        <f>_xlfn.IFNA(INDEX('Data manipulation'!$C$111:$N$128,MATCH($U19,'Data manipulation'!$B$23:$B$40,0),MATCH($W19,'Data manipulation'!$C$22:$N$22,0))/1000,0)*SUMIFS('Regional split'!$F$4:$F$6,'Regional split'!$B$4:$B$6,Y$4)*SUMIFS('Data manipulation'!$V$47:$V$50,'Data manipulation'!$X$47:$X$50,$E19,'Data manipulation'!$Y$47:$Y$50,$D19)</f>
        <v>3.7569518410596027E-3</v>
      </c>
      <c r="Z19" s="436">
        <f>_xlfn.IFNA(INDEX('Data manipulation'!$C$111:$N$128,MATCH($U19,'Data manipulation'!$B$23:$B$40,0),MATCH($W19,'Data manipulation'!$C$22:$N$22,0))/1000,0)*SUMIFS('Regional split'!$F$4:$F$6,'Regional split'!$B$4:$B$6,Z$4)*SUMIFS('Data manipulation'!$V$47:$V$50,'Data manipulation'!$X$47:$X$50,$E19,'Data manipulation'!$Y$47:$Y$50,$D19)</f>
        <v>1.1896255258278145E-2</v>
      </c>
      <c r="AA19" s="447">
        <f t="shared" si="10"/>
        <v>0.14789858098013245</v>
      </c>
      <c r="AB19" s="252">
        <f t="shared" si="11"/>
        <v>3.7569518410596027E-3</v>
      </c>
      <c r="AC19" s="448">
        <f t="shared" si="12"/>
        <v>1.1896255258278145E-2</v>
      </c>
    </row>
    <row r="20" spans="2:29" ht="1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84">
        <f>H16+Q20</f>
        <v>2048</v>
      </c>
      <c r="I20" s="251">
        <v>0</v>
      </c>
      <c r="J20" s="251">
        <v>0</v>
      </c>
      <c r="K20" s="251">
        <v>0</v>
      </c>
      <c r="L20" s="466">
        <v>1</v>
      </c>
      <c r="M20" s="466">
        <v>1</v>
      </c>
      <c r="N20" s="466">
        <v>1</v>
      </c>
      <c r="O20" s="244">
        <f t="shared" si="9"/>
        <v>3.1536000000000002E-2</v>
      </c>
      <c r="P20" s="462">
        <v>0.1</v>
      </c>
      <c r="Q20" s="246">
        <v>30</v>
      </c>
      <c r="R20" s="227"/>
      <c r="S20" s="227"/>
      <c r="T20" s="269"/>
      <c r="U20" s="227" t="s">
        <v>79</v>
      </c>
      <c r="V20" s="255" t="s">
        <v>190</v>
      </c>
      <c r="W20" s="247">
        <v>2018</v>
      </c>
      <c r="X20" s="436">
        <f>_xlfn.IFNA(INDEX('Data manipulation'!$C$111:$N$128,MATCH($U20,'Data manipulation'!$B$23:$B$40,0),MATCH($W20,'Data manipulation'!$C$22:$N$22,0))/1000,0)*SUMIFS('Regional split'!$F$4:$F$6,'Regional split'!$B$4:$B$6,X$4)*SUMIFS('Data manipulation'!$V$47:$V$50,'Data manipulation'!$X$47:$X$50,$E20,'Data manipulation'!$Y$47:$Y$50,$D20)</f>
        <v>0.26633299153062912</v>
      </c>
      <c r="Y20" s="436">
        <f>_xlfn.IFNA(INDEX('Data manipulation'!$C$111:$N$128,MATCH($U20,'Data manipulation'!$B$23:$B$40,0),MATCH($W20,'Data manipulation'!$C$22:$N$22,0))/1000,0)*SUMIFS('Regional split'!$F$4:$F$6,'Regional split'!$B$4:$B$6,Y$4)*SUMIFS('Data manipulation'!$V$47:$V$50,'Data manipulation'!$X$47:$X$50,$E20,'Data manipulation'!$Y$47:$Y$50,$D20)</f>
        <v>6.7654484325331129E-3</v>
      </c>
      <c r="Z20" s="436">
        <f>_xlfn.IFNA(INDEX('Data manipulation'!$C$111:$N$128,MATCH($U20,'Data manipulation'!$B$23:$B$40,0),MATCH($W20,'Data manipulation'!$C$22:$N$22,0))/1000,0)*SUMIFS('Regional split'!$F$4:$F$6,'Regional split'!$B$4:$B$6,Z$4)*SUMIFS('Data manipulation'!$V$47:$V$50,'Data manipulation'!$X$47:$X$50,$E20,'Data manipulation'!$Y$47:$Y$50,$D20)</f>
        <v>2.1422553414321192E-2</v>
      </c>
      <c r="AA20" s="447">
        <f t="shared" si="10"/>
        <v>0.26633299153062912</v>
      </c>
      <c r="AB20" s="252">
        <f t="shared" si="11"/>
        <v>6.7654484325331129E-3</v>
      </c>
      <c r="AC20" s="448">
        <f t="shared" si="12"/>
        <v>2.1422553414321192E-2</v>
      </c>
    </row>
    <row r="21" spans="2:29" ht="1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84">
        <f>H17+Q21</f>
        <v>2048</v>
      </c>
      <c r="I21" s="251">
        <v>0</v>
      </c>
      <c r="J21" s="251">
        <v>0</v>
      </c>
      <c r="K21" s="251">
        <v>0</v>
      </c>
      <c r="L21" s="466">
        <v>1</v>
      </c>
      <c r="M21" s="466">
        <v>1</v>
      </c>
      <c r="N21" s="466">
        <v>1</v>
      </c>
      <c r="O21" s="244">
        <f t="shared" si="9"/>
        <v>3.1536000000000002E-2</v>
      </c>
      <c r="P21" s="462">
        <v>0.1</v>
      </c>
      <c r="Q21" s="246">
        <v>30</v>
      </c>
      <c r="R21" s="227"/>
      <c r="S21" s="227"/>
      <c r="T21" s="269"/>
      <c r="U21" s="227" t="s">
        <v>79</v>
      </c>
      <c r="V21" s="255" t="s">
        <v>190</v>
      </c>
      <c r="W21" s="247">
        <v>2018</v>
      </c>
      <c r="X21" s="436">
        <f>_xlfn.IFNA(INDEX('Data manipulation'!$C$111:$N$128,MATCH($U21,'Data manipulation'!$B$23:$B$40,0),MATCH($W21,'Data manipulation'!$C$22:$N$22,0))/1000,0)*SUMIFS('Regional split'!$F$4:$F$6,'Regional split'!$B$4:$B$6,X$4)*SUMIFS('Data manipulation'!$V$47:$V$50,'Data manipulation'!$X$47:$X$50,$E21,'Data manipulation'!$Y$47:$Y$50,$D21)</f>
        <v>0.15252041163576158</v>
      </c>
      <c r="Y21" s="436">
        <f>_xlfn.IFNA(INDEX('Data manipulation'!$C$111:$N$128,MATCH($U21,'Data manipulation'!$B$23:$B$40,0),MATCH($W21,'Data manipulation'!$C$22:$N$22,0))/1000,0)*SUMIFS('Regional split'!$F$4:$F$6,'Regional split'!$B$4:$B$6,Y$4)*SUMIFS('Data manipulation'!$V$47:$V$50,'Data manipulation'!$X$47:$X$50,$E21,'Data manipulation'!$Y$47:$Y$50,$D21)</f>
        <v>3.8743565860927154E-3</v>
      </c>
      <c r="Z21" s="436">
        <f>_xlfn.IFNA(INDEX('Data manipulation'!$C$111:$N$128,MATCH($U21,'Data manipulation'!$B$23:$B$40,0),MATCH($W21,'Data manipulation'!$C$22:$N$22,0))/1000,0)*SUMIFS('Regional split'!$F$4:$F$6,'Regional split'!$B$4:$B$6,Z$4)*SUMIFS('Data manipulation'!$V$47:$V$50,'Data manipulation'!$X$47:$X$50,$E21,'Data manipulation'!$Y$47:$Y$50,$D21)</f>
        <v>1.2268013235099339E-2</v>
      </c>
      <c r="AA21" s="447">
        <f t="shared" ref="AA21:AA22" si="26">X21*L21</f>
        <v>0.15252041163576158</v>
      </c>
      <c r="AB21" s="252">
        <f t="shared" ref="AB21:AB22" si="27">Y21*M21</f>
        <v>3.8743565860927154E-3</v>
      </c>
      <c r="AC21" s="448">
        <f t="shared" ref="AC21:AC22" si="28">Z21*N21</f>
        <v>1.2268013235099339E-2</v>
      </c>
    </row>
    <row r="22" spans="2:29" ht="1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84">
        <f>H18+Q22</f>
        <v>2048</v>
      </c>
      <c r="I22" s="251">
        <v>0</v>
      </c>
      <c r="J22" s="251">
        <v>0</v>
      </c>
      <c r="K22" s="251">
        <v>0</v>
      </c>
      <c r="L22" s="466">
        <v>1</v>
      </c>
      <c r="M22" s="466">
        <v>1</v>
      </c>
      <c r="N22" s="466">
        <v>1</v>
      </c>
      <c r="O22" s="244">
        <f t="shared" si="9"/>
        <v>3.1536000000000002E-2</v>
      </c>
      <c r="P22" s="462">
        <v>0.1</v>
      </c>
      <c r="Q22" s="246">
        <v>30</v>
      </c>
      <c r="R22" s="227"/>
      <c r="S22" s="227"/>
      <c r="T22" s="269"/>
      <c r="U22" s="227" t="s">
        <v>79</v>
      </c>
      <c r="V22" s="255" t="s">
        <v>190</v>
      </c>
      <c r="W22" s="247">
        <v>2018</v>
      </c>
      <c r="X22" s="436">
        <f>_xlfn.IFNA(INDEX('Data manipulation'!$C$111:$N$128,MATCH($U22,'Data manipulation'!$B$23:$B$40,0),MATCH($W22,'Data manipulation'!$C$22:$N$22,0))/1000,0)*SUMIFS('Regional split'!$F$4:$F$6,'Regional split'!$B$4:$B$6,X$4)*SUMIFS('Data manipulation'!$V$47:$V$50,'Data manipulation'!$X$47:$X$50,$E22,'Data manipulation'!$Y$47:$Y$50,$D22)</f>
        <v>1.1554576639072847E-2</v>
      </c>
      <c r="Y22" s="436">
        <f>_xlfn.IFNA(INDEX('Data manipulation'!$C$111:$N$128,MATCH($U22,'Data manipulation'!$B$23:$B$40,0),MATCH($W22,'Data manipulation'!$C$22:$N$22,0))/1000,0)*SUMIFS('Regional split'!$F$4:$F$6,'Regional split'!$B$4:$B$6,Y$4)*SUMIFS('Data manipulation'!$V$47:$V$50,'Data manipulation'!$X$47:$X$50,$E22,'Data manipulation'!$Y$47:$Y$50,$D22)</f>
        <v>2.9351186258278145E-4</v>
      </c>
      <c r="Z22" s="436">
        <f>_xlfn.IFNA(INDEX('Data manipulation'!$C$111:$N$128,MATCH($U22,'Data manipulation'!$B$23:$B$40,0),MATCH($W22,'Data manipulation'!$C$22:$N$22,0))/1000,0)*SUMIFS('Regional split'!$F$4:$F$6,'Regional split'!$B$4:$B$6,Z$4)*SUMIFS('Data manipulation'!$V$47:$V$50,'Data manipulation'!$X$47:$X$50,$E22,'Data manipulation'!$Y$47:$Y$50,$D22)</f>
        <v>9.2939494205298017E-4</v>
      </c>
      <c r="AA22" s="447">
        <f t="shared" si="26"/>
        <v>1.1554576639072847E-2</v>
      </c>
      <c r="AB22" s="252">
        <f t="shared" si="27"/>
        <v>2.9351186258278145E-4</v>
      </c>
      <c r="AC22" s="448">
        <f t="shared" si="28"/>
        <v>9.2939494205298017E-4</v>
      </c>
    </row>
    <row r="23" spans="2:29" ht="19">
      <c r="B23" s="227"/>
      <c r="C23" s="227"/>
      <c r="F23" s="230"/>
      <c r="G23" s="230"/>
      <c r="H23" s="230"/>
      <c r="I23" s="264"/>
      <c r="J23" s="264"/>
      <c r="K23" s="264"/>
      <c r="L23" s="265"/>
      <c r="M23" s="265"/>
      <c r="N23" s="265"/>
      <c r="O23" s="266"/>
      <c r="P23" s="265"/>
      <c r="Q23" s="265"/>
      <c r="R23" s="227"/>
      <c r="S23" s="227"/>
      <c r="T23" s="227"/>
      <c r="U23" s="227"/>
      <c r="V23" s="227"/>
      <c r="W23" s="227"/>
      <c r="X23" s="227"/>
      <c r="Y23" s="227"/>
      <c r="Z23" s="227"/>
      <c r="AA23" s="227"/>
      <c r="AB23" s="227"/>
      <c r="AC23" s="233"/>
    </row>
    <row r="24" spans="2:29" ht="19">
      <c r="B24" s="227"/>
      <c r="C24" s="227"/>
      <c r="D24" s="525"/>
      <c r="E24" s="233"/>
      <c r="F24" s="230"/>
      <c r="G24" s="230"/>
      <c r="H24" s="230"/>
      <c r="I24" s="264"/>
      <c r="J24" s="264"/>
      <c r="K24" s="264"/>
      <c r="L24" s="265"/>
      <c r="M24" s="265"/>
      <c r="N24" s="265"/>
      <c r="O24" s="266"/>
      <c r="P24" s="265"/>
      <c r="Q24" s="265"/>
      <c r="R24" s="227"/>
      <c r="S24" s="227"/>
      <c r="T24" s="227"/>
      <c r="U24" s="227"/>
      <c r="V24" s="227"/>
      <c r="W24" s="227"/>
      <c r="X24" s="227"/>
      <c r="Y24" s="227"/>
      <c r="Z24" s="227"/>
      <c r="AA24" s="227"/>
      <c r="AB24" s="227"/>
      <c r="AC24" s="233"/>
    </row>
    <row r="25" spans="2:29" ht="19">
      <c r="B25" s="227"/>
      <c r="C25" s="227"/>
      <c r="D25" s="525"/>
      <c r="E25" s="233"/>
      <c r="F25" s="230"/>
      <c r="G25" s="230"/>
      <c r="H25" s="230"/>
      <c r="I25" s="264"/>
      <c r="J25" s="264"/>
      <c r="K25" s="264"/>
      <c r="L25" s="265"/>
      <c r="M25" s="265"/>
      <c r="N25" s="265"/>
      <c r="O25" s="266"/>
      <c r="P25" s="265" t="s">
        <v>729</v>
      </c>
      <c r="Q25" s="265"/>
      <c r="R25" s="227"/>
      <c r="S25" s="227"/>
      <c r="T25" s="227"/>
      <c r="U25" s="227"/>
      <c r="V25" s="227"/>
      <c r="W25" s="227"/>
      <c r="X25" s="227"/>
      <c r="Y25" s="227"/>
      <c r="Z25" s="227"/>
      <c r="AA25" s="227"/>
      <c r="AB25" s="227"/>
      <c r="AC25" s="233"/>
    </row>
    <row r="26" spans="2:29">
      <c r="D26" s="525"/>
      <c r="E26" s="233"/>
    </row>
    <row r="27" spans="2:29">
      <c r="D27" s="525"/>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50"/>
      <c r="E115" s="550"/>
    </row>
    <row r="116" spans="4:5">
      <c r="D116" s="550"/>
      <c r="E116" s="550"/>
    </row>
    <row r="117" spans="4:5">
      <c r="D117" s="550"/>
      <c r="E117" s="550"/>
    </row>
    <row r="118" spans="4:5">
      <c r="D118" s="550"/>
      <c r="E118" s="550"/>
    </row>
    <row r="119" spans="4:5">
      <c r="D119" s="550"/>
      <c r="E119" s="550"/>
    </row>
    <row r="120" spans="4:5">
      <c r="D120" s="550"/>
      <c r="E120" s="550"/>
    </row>
    <row r="121" spans="4:5">
      <c r="D121" s="550"/>
      <c r="E121" s="550"/>
    </row>
    <row r="122" spans="4:5">
      <c r="D122" s="550"/>
      <c r="E122" s="550"/>
    </row>
    <row r="123" spans="4:5">
      <c r="D123" s="550"/>
      <c r="E123" s="550"/>
    </row>
    <row r="124" spans="4:5">
      <c r="D124" s="550"/>
      <c r="E124" s="550"/>
    </row>
    <row r="125" spans="4:5">
      <c r="D125" s="550"/>
      <c r="E125" s="550"/>
    </row>
    <row r="126" spans="4:5">
      <c r="D126" s="550"/>
      <c r="E126" s="550"/>
    </row>
    <row r="127" spans="4:5">
      <c r="D127" s="550"/>
      <c r="E127" s="550"/>
    </row>
    <row r="128" spans="4:5">
      <c r="D128" s="550"/>
      <c r="E128" s="550"/>
    </row>
    <row r="129" spans="4:5">
      <c r="D129" s="550"/>
      <c r="E129" s="550"/>
    </row>
    <row r="130" spans="4:5">
      <c r="D130" s="550"/>
      <c r="E130" s="550"/>
    </row>
    <row r="131" spans="4:5">
      <c r="D131" s="550"/>
      <c r="E131" s="550"/>
    </row>
    <row r="132" spans="4:5">
      <c r="D132" s="550"/>
      <c r="E132" s="550"/>
    </row>
    <row r="133" spans="4:5">
      <c r="D133" s="550"/>
      <c r="E133" s="550"/>
    </row>
    <row r="134" spans="4:5">
      <c r="D134" s="550"/>
      <c r="E134" s="550"/>
    </row>
    <row r="135" spans="4:5">
      <c r="D135" s="550"/>
      <c r="E135" s="550"/>
    </row>
    <row r="136" spans="4:5">
      <c r="D136" s="550"/>
      <c r="E136" s="550"/>
    </row>
    <row r="137" spans="4:5">
      <c r="D137" s="550"/>
      <c r="E137" s="550"/>
    </row>
    <row r="138" spans="4:5">
      <c r="D138" s="550"/>
      <c r="E138" s="550"/>
    </row>
    <row r="139" spans="4:5">
      <c r="D139" s="550"/>
      <c r="E139" s="550"/>
    </row>
    <row r="140" spans="4:5">
      <c r="D140" s="550"/>
      <c r="E140" s="550"/>
    </row>
    <row r="141" spans="4:5">
      <c r="D141" s="550"/>
      <c r="E141" s="550"/>
    </row>
    <row r="142" spans="4:5">
      <c r="D142" s="550"/>
      <c r="E142" s="550"/>
    </row>
    <row r="143" spans="4:5">
      <c r="D143" s="550"/>
      <c r="E143" s="550"/>
    </row>
    <row r="144" spans="4:5">
      <c r="D144" s="550"/>
      <c r="E144" s="550"/>
    </row>
    <row r="145" spans="4:5">
      <c r="D145" s="550"/>
      <c r="E145" s="550"/>
    </row>
    <row r="146" spans="4:5">
      <c r="D146" s="550"/>
      <c r="E146" s="550"/>
    </row>
    <row r="147" spans="4:5">
      <c r="D147" s="550"/>
      <c r="E147" s="550"/>
    </row>
    <row r="148" spans="4:5">
      <c r="D148" s="550"/>
      <c r="E148" s="550"/>
    </row>
    <row r="149" spans="4:5">
      <c r="D149" s="550"/>
      <c r="E149" s="550"/>
    </row>
    <row r="150" spans="4:5">
      <c r="D150" s="550"/>
      <c r="E150" s="550"/>
    </row>
    <row r="151" spans="4:5">
      <c r="D151" s="550"/>
      <c r="E151" s="550"/>
    </row>
    <row r="152" spans="4:5">
      <c r="D152" s="550"/>
      <c r="E152" s="550"/>
    </row>
    <row r="153" spans="4:5">
      <c r="D153" s="550"/>
      <c r="E153" s="550"/>
    </row>
    <row r="154" spans="4:5">
      <c r="D154" s="550"/>
      <c r="E154" s="550"/>
    </row>
    <row r="155" spans="4:5">
      <c r="D155" s="550"/>
      <c r="E155" s="550"/>
    </row>
    <row r="156" spans="4:5">
      <c r="D156" s="550"/>
      <c r="E156" s="550"/>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A98" zoomScale="70" zoomScaleNormal="70" workbookViewId="0">
      <selection activeCell="H136" sqref="H136:H145"/>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1.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2.83203125" style="227"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738</v>
      </c>
      <c r="C1" s="227" t="s">
        <v>808</v>
      </c>
      <c r="F1" s="228"/>
      <c r="G1" s="229" t="s">
        <v>181</v>
      </c>
      <c r="H1" s="229"/>
      <c r="I1" s="272">
        <v>1.05</v>
      </c>
      <c r="J1" s="272"/>
      <c r="K1" s="272"/>
      <c r="O1" s="231"/>
      <c r="U1" s="233"/>
      <c r="V1" s="296"/>
      <c r="W1" s="233"/>
      <c r="X1" s="233"/>
      <c r="Y1" s="233" t="s">
        <v>760</v>
      </c>
      <c r="Z1" s="245">
        <f>SUM('Data manipulation'!F23:F40)/1000</f>
        <v>85.480349999999987</v>
      </c>
      <c r="AA1" s="233"/>
      <c r="AB1" s="233"/>
      <c r="AD1" s="227"/>
    </row>
    <row r="2" spans="2:53" ht="15">
      <c r="B2" s="226"/>
      <c r="F2" s="228"/>
      <c r="G2" s="229"/>
      <c r="H2" s="229"/>
      <c r="I2" s="272"/>
      <c r="J2" s="272"/>
      <c r="K2" s="272"/>
      <c r="P2" s="227"/>
      <c r="Q2" s="227"/>
      <c r="R2" s="233"/>
      <c r="S2" s="233"/>
      <c r="T2" s="296"/>
      <c r="U2" s="233"/>
      <c r="V2" s="233"/>
      <c r="W2" s="267" t="s">
        <v>194</v>
      </c>
      <c r="X2" s="233"/>
      <c r="Y2" s="233" t="s">
        <v>106</v>
      </c>
      <c r="Z2" s="532">
        <f>SUM(Y6:AA45)</f>
        <v>85.56583034999997</v>
      </c>
      <c r="AD2" s="227"/>
    </row>
    <row r="3" spans="2:53" ht="15" thickBot="1">
      <c r="H3" s="234" t="s">
        <v>8</v>
      </c>
      <c r="J3" s="234"/>
      <c r="K3" s="234"/>
      <c r="L3" s="234"/>
      <c r="M3" s="234"/>
      <c r="N3" s="234"/>
      <c r="O3" s="235"/>
      <c r="P3" s="227"/>
      <c r="Q3" s="233"/>
      <c r="R3" s="233"/>
      <c r="S3" s="233"/>
      <c r="T3" s="269"/>
      <c r="U3" s="233"/>
      <c r="V3" s="233"/>
      <c r="W3" s="268">
        <v>3.5999999999999999E-3</v>
      </c>
      <c r="X3" s="233"/>
      <c r="Y3" s="440" t="s">
        <v>829</v>
      </c>
      <c r="Z3" s="441" t="s">
        <v>830</v>
      </c>
      <c r="AA3" s="442" t="s">
        <v>831</v>
      </c>
      <c r="AB3" s="440" t="s">
        <v>829</v>
      </c>
      <c r="AC3" s="441" t="s">
        <v>830</v>
      </c>
      <c r="AD3" s="442" t="s">
        <v>831</v>
      </c>
      <c r="AG3" s="236"/>
      <c r="AH3" s="237"/>
      <c r="AI3" s="237"/>
      <c r="AJ3" s="237"/>
      <c r="AK3" s="237"/>
      <c r="AL3" s="237"/>
    </row>
    <row r="4" spans="2:53" ht="15">
      <c r="B4" s="238" t="s">
        <v>2</v>
      </c>
      <c r="C4" s="238" t="s">
        <v>26</v>
      </c>
      <c r="D4" s="423" t="s">
        <v>755</v>
      </c>
      <c r="E4" s="423" t="s">
        <v>756</v>
      </c>
      <c r="F4" s="238" t="s">
        <v>14</v>
      </c>
      <c r="G4" s="238" t="s">
        <v>15</v>
      </c>
      <c r="H4" s="423" t="s">
        <v>108</v>
      </c>
      <c r="I4" s="239" t="s">
        <v>832</v>
      </c>
      <c r="J4" s="239" t="s">
        <v>833</v>
      </c>
      <c r="K4" s="239" t="s">
        <v>834</v>
      </c>
      <c r="L4" s="240" t="s">
        <v>835</v>
      </c>
      <c r="M4" s="240" t="s">
        <v>836</v>
      </c>
      <c r="N4" s="240" t="s">
        <v>837</v>
      </c>
      <c r="O4" s="238" t="s">
        <v>0</v>
      </c>
      <c r="P4" s="238" t="s">
        <v>184</v>
      </c>
      <c r="Q4" s="239" t="s">
        <v>107</v>
      </c>
      <c r="R4" s="227" t="s">
        <v>828</v>
      </c>
      <c r="Y4" s="274" t="s">
        <v>81</v>
      </c>
      <c r="Z4" s="273" t="s">
        <v>81</v>
      </c>
      <c r="AA4" s="443" t="s">
        <v>81</v>
      </c>
      <c r="AB4" s="274" t="s">
        <v>77</v>
      </c>
      <c r="AC4" s="273" t="s">
        <v>77</v>
      </c>
      <c r="AD4" s="443" t="s">
        <v>77</v>
      </c>
      <c r="AG4" s="241"/>
      <c r="AH4" s="237"/>
      <c r="AI4" s="237"/>
      <c r="AJ4" s="237"/>
      <c r="AK4" s="237"/>
      <c r="AL4" s="237"/>
    </row>
    <row r="5" spans="2:53" ht="15" thickBot="1">
      <c r="B5" s="242" t="s">
        <v>27</v>
      </c>
      <c r="C5" s="242"/>
      <c r="D5" s="243"/>
      <c r="E5" s="243"/>
      <c r="F5" s="242"/>
      <c r="G5" s="242"/>
      <c r="H5" s="243"/>
      <c r="I5" s="243" t="s">
        <v>65</v>
      </c>
      <c r="J5" s="243" t="s">
        <v>65</v>
      </c>
      <c r="K5" s="243" t="s">
        <v>65</v>
      </c>
      <c r="L5" s="243" t="s">
        <v>75</v>
      </c>
      <c r="M5" s="243" t="s">
        <v>75</v>
      </c>
      <c r="N5" s="243" t="s">
        <v>75</v>
      </c>
      <c r="O5" s="242"/>
      <c r="P5" s="242" t="s">
        <v>754</v>
      </c>
      <c r="Q5" s="242" t="s">
        <v>108</v>
      </c>
      <c r="X5" s="227" t="s">
        <v>108</v>
      </c>
      <c r="Y5" s="276" t="s">
        <v>48</v>
      </c>
      <c r="Z5" s="461" t="s">
        <v>48</v>
      </c>
      <c r="AA5" s="444" t="s">
        <v>48</v>
      </c>
      <c r="AB5" s="276" t="s">
        <v>76</v>
      </c>
      <c r="AC5" s="275" t="s">
        <v>76</v>
      </c>
      <c r="AD5" s="444" t="s">
        <v>76</v>
      </c>
      <c r="AG5" s="241"/>
      <c r="AH5" s="237"/>
      <c r="AI5" s="237"/>
      <c r="AJ5" s="237"/>
      <c r="AK5" s="237"/>
      <c r="AL5" s="237"/>
    </row>
    <row r="6" spans="2:53" ht="15" customHeight="1">
      <c r="B6" s="227" t="str">
        <f>Processes!D45</f>
        <v>RHTUDNGAE1</v>
      </c>
      <c r="C6" s="227" t="str">
        <f>Processes!E45</f>
        <v>Residential Heating Technology Urban Detached - Natural Gas - Existing 1</v>
      </c>
      <c r="D6" s="227" t="s">
        <v>713</v>
      </c>
      <c r="E6" s="227" t="s">
        <v>116</v>
      </c>
      <c r="F6" s="230" t="str">
        <f>Commodities!$C$18&amp;","&amp;Commodities!$C$33</f>
        <v>RESNGA,RESSNG</v>
      </c>
      <c r="G6" s="230" t="str">
        <f>Commodities!$C$39</f>
        <v>RESHUDB</v>
      </c>
      <c r="H6" s="230">
        <v>2010</v>
      </c>
      <c r="I6" s="251">
        <f>ROUNDUP(AB6/($O6*$P6)*$R6,1)</f>
        <v>2911.2999999999997</v>
      </c>
      <c r="J6" s="251">
        <f>ROUNDUP(AC6/($O6*$P6)*$R6,1)</f>
        <v>74</v>
      </c>
      <c r="K6" s="251">
        <f>ROUNDUP(AD6/($O6*$P6)*$R6,1)</f>
        <v>234.2</v>
      </c>
      <c r="L6" s="465">
        <v>0.72</v>
      </c>
      <c r="M6" s="465">
        <v>0.72</v>
      </c>
      <c r="N6" s="465">
        <v>0.72</v>
      </c>
      <c r="O6" s="244">
        <f>31.536/1000</f>
        <v>3.1536000000000002E-2</v>
      </c>
      <c r="P6" s="462">
        <v>0.15</v>
      </c>
      <c r="Q6" s="246">
        <v>22</v>
      </c>
      <c r="R6" s="227">
        <v>1.05</v>
      </c>
      <c r="T6" s="269">
        <f>SUM(I6:K6)*O6*P6/L6</f>
        <v>21.152114999999998</v>
      </c>
      <c r="U6" s="269"/>
      <c r="V6" s="227" t="str">
        <f>'Data manipulation'!B36</f>
        <v>Natural gas</v>
      </c>
      <c r="W6" s="247" t="s">
        <v>187</v>
      </c>
      <c r="X6" s="247">
        <v>2010</v>
      </c>
      <c r="Y6" s="439">
        <f>_xlfn.IFNA(INDEX('Data manipulation'!$C$23:$O$40,MATCH($V6,'Data manipulation'!$B$23:$B$40,0),MATCH($X6,'Data manipulation'!$C$22:$O$22,0))/1000,0)*SUMIFS('Regional split'!$F$4:$F$6,'Regional split'!$B$4:$B$6,Y$3)*SUMIFS('Data manipulation'!$V$40:$V$43,'Data manipulation'!$X$40:$X$43,$E6,'Data manipulation'!$Y$40:$Y$43,$D6)</f>
        <v>18.216072853562178</v>
      </c>
      <c r="Z6" s="271">
        <f>_xlfn.IFNA(INDEX('Data manipulation'!$C$23:$O$40,MATCH($V6,'Data manipulation'!$B$23:$B$40,0),MATCH($X6,'Data manipulation'!$C$22:$O$22,0))/1000,0)*SUMIFS('Regional split'!$F$4:$F$6,'Regional split'!$B$4:$B$6,Z$3)*SUMIFS('Data manipulation'!$V$40:$V$43,'Data manipulation'!$X$40:$X$43,$E6,'Data manipulation'!$Y$40:$Y$43,$D6)</f>
        <v>0.46272863465309089</v>
      </c>
      <c r="AA6" s="457">
        <f>_xlfn.IFNA(INDEX('Data manipulation'!$C$23:$O$40,MATCH($V6,'Data manipulation'!$B$23:$B$40,0),MATCH($X6,'Data manipulation'!$C$22:$O$22,0))/1000,0)*SUMIFS('Regional split'!$F$4:$F$6,'Regional split'!$B$4:$B$6,AA$3)*SUMIFS('Data manipulation'!$V$40:$V$43,'Data manipulation'!$X$40:$X$43,$E6,'Data manipulation'!$Y$40:$Y$43,$D6)</f>
        <v>1.4652138717847272</v>
      </c>
      <c r="AB6" s="445">
        <f>Y6*L6</f>
        <v>13.115572454564768</v>
      </c>
      <c r="AC6" s="277">
        <f t="shared" ref="AC6:AC65" si="0">Z6*M6</f>
        <v>0.33316461695022542</v>
      </c>
      <c r="AD6" s="446">
        <f t="shared" ref="AD6:AD65" si="1">AA6*N6</f>
        <v>1.0549539876850036</v>
      </c>
      <c r="AG6" s="248"/>
      <c r="AH6" s="237"/>
      <c r="AI6" s="249"/>
      <c r="AJ6" s="250"/>
      <c r="AK6" s="250"/>
      <c r="AL6" s="237"/>
    </row>
    <row r="7" spans="2:53" ht="15" customHeight="1">
      <c r="B7" s="227" t="str">
        <f>Processes!D46</f>
        <v>RHTUDDSLE1</v>
      </c>
      <c r="C7" s="227" t="str">
        <f>Processes!E46</f>
        <v>Residential Heating Technology Urban Detached - Diesel - Existing 1</v>
      </c>
      <c r="D7" s="227" t="s">
        <v>713</v>
      </c>
      <c r="E7" s="227" t="s">
        <v>116</v>
      </c>
      <c r="F7" s="230" t="str">
        <f>Commodities!$C$20&amp;","&amp;Commodities!$C$34</f>
        <v>RESDSL,RESDSB</v>
      </c>
      <c r="G7" s="230" t="str">
        <f>Commodities!$C$39</f>
        <v>RESHUDB</v>
      </c>
      <c r="H7" s="230">
        <v>2010</v>
      </c>
      <c r="I7" s="251">
        <f t="shared" ref="I7:I13" si="2">ROUNDUP(AB7/($O7*$P7)*$R7,1)</f>
        <v>2.4</v>
      </c>
      <c r="J7" s="251">
        <f t="shared" ref="J7:J13" si="3">ROUNDUP(AC7/($O7*$P7)*$R7,1)</f>
        <v>0.1</v>
      </c>
      <c r="K7" s="251">
        <f t="shared" ref="K7:K13" si="4">ROUNDUP(AD7/($O7*$P7)*$R7,1)</f>
        <v>0.2</v>
      </c>
      <c r="L7" s="466">
        <v>0.71</v>
      </c>
      <c r="M7" s="466">
        <v>0.71</v>
      </c>
      <c r="N7" s="466">
        <v>0.71</v>
      </c>
      <c r="O7" s="244">
        <f>31.536/1000</f>
        <v>3.1536000000000002E-2</v>
      </c>
      <c r="P7" s="462">
        <v>0.15</v>
      </c>
      <c r="Q7" s="246">
        <v>20</v>
      </c>
      <c r="R7" s="227">
        <v>1.05</v>
      </c>
      <c r="T7" s="269">
        <f t="shared" ref="T7:T70" si="5">SUM(I7:K7)*O7*P7/L7</f>
        <v>1.7988845070422536E-2</v>
      </c>
      <c r="V7" s="227" t="str">
        <f>'Data manipulation'!B29</f>
        <v>Other kerosene</v>
      </c>
      <c r="W7" s="255" t="s">
        <v>728</v>
      </c>
      <c r="X7" s="247">
        <v>2010</v>
      </c>
      <c r="Y7" s="436">
        <f>_xlfn.IFNA(INDEX('Data manipulation'!$C$23:$O$40,MATCH($V7,'Data manipulation'!$B$23:$B$40,0),MATCH($X7,'Data manipulation'!$C$22:$O$22,0))/1000,0)*SUMIFS('Regional split'!$F$4:$F$6,'Regional split'!$B$4:$B$6,Y$3)*SUMIFS('Data manipulation'!$V$40:$V$43,'Data manipulation'!$X$40:$X$43,$E7,'Data manipulation'!$Y$40:$Y$43,$D7)</f>
        <v>1.4954820130909088E-2</v>
      </c>
      <c r="Z7" s="271">
        <f>_xlfn.IFNA(INDEX('Data manipulation'!$C$23:$O$40,MATCH($V7,'Data manipulation'!$B$23:$B$40,0),MATCH($X7,'Data manipulation'!$C$22:$O$22,0))/1000,0)*SUMIFS('Regional split'!$F$4:$F$6,'Regional split'!$B$4:$B$6,Z$3)*SUMIFS('Data manipulation'!$V$40:$V$43,'Data manipulation'!$X$40:$X$43,$E7,'Data manipulation'!$Y$40:$Y$43,$D7)</f>
        <v>3.7988558545454541E-4</v>
      </c>
      <c r="AA7" s="458">
        <f>_xlfn.IFNA(INDEX('Data manipulation'!$C$23:$O$40,MATCH($V7,'Data manipulation'!$B$23:$B$40,0),MATCH($X7,'Data manipulation'!$C$22:$O$22,0))/1000,0)*SUMIFS('Regional split'!$F$4:$F$6,'Regional split'!$B$4:$B$6,AA$3)*SUMIFS('Data manipulation'!$V$40:$V$43,'Data manipulation'!$X$40:$X$43,$E7,'Data manipulation'!$Y$40:$Y$43,$D7)</f>
        <v>1.2028942836363635E-3</v>
      </c>
      <c r="AB7" s="447">
        <f t="shared" ref="AB7:AB65" si="6">Y7*L7</f>
        <v>1.0617922292945453E-2</v>
      </c>
      <c r="AC7" s="252">
        <f t="shared" si="0"/>
        <v>2.6971876567272722E-4</v>
      </c>
      <c r="AD7" s="448">
        <f t="shared" si="1"/>
        <v>8.5405494138181802E-4</v>
      </c>
      <c r="AG7" s="248"/>
      <c r="AH7" s="237"/>
      <c r="AI7" s="249"/>
      <c r="AJ7" s="250"/>
      <c r="AK7" s="250"/>
      <c r="AL7" s="237"/>
      <c r="BA7" s="253"/>
    </row>
    <row r="8" spans="2:53" ht="15" customHeight="1">
      <c r="B8" s="227" t="str">
        <f>Processes!D47</f>
        <v>RHTUDWPEE1</v>
      </c>
      <c r="C8" s="227" t="str">
        <f>Processes!E47</f>
        <v>Residential Heating Technology Urban Detached - Wood pellets - Existing 1</v>
      </c>
      <c r="D8" s="227" t="s">
        <v>713</v>
      </c>
      <c r="E8" s="227" t="s">
        <v>116</v>
      </c>
      <c r="F8" s="230" t="str">
        <f>Commodities!$C$22</f>
        <v>RESWPE</v>
      </c>
      <c r="G8" s="230" t="str">
        <f>Commodities!$C$39</f>
        <v>RESHUDB</v>
      </c>
      <c r="H8" s="230">
        <v>2010</v>
      </c>
      <c r="I8" s="251">
        <f t="shared" si="2"/>
        <v>16.600000000000001</v>
      </c>
      <c r="J8" s="251">
        <f t="shared" si="3"/>
        <v>0.5</v>
      </c>
      <c r="K8" s="251">
        <f t="shared" si="4"/>
        <v>1.4000000000000001</v>
      </c>
      <c r="L8" s="466">
        <v>0.61</v>
      </c>
      <c r="M8" s="466">
        <v>0.61</v>
      </c>
      <c r="N8" s="466">
        <v>0.61</v>
      </c>
      <c r="O8" s="244">
        <f t="shared" ref="O8:O25" si="7">31.536/1000</f>
        <v>3.1536000000000002E-2</v>
      </c>
      <c r="P8" s="462">
        <v>0.15</v>
      </c>
      <c r="Q8" s="246">
        <v>20</v>
      </c>
      <c r="R8" s="227">
        <v>1.05</v>
      </c>
      <c r="T8" s="269">
        <f t="shared" si="5"/>
        <v>0.14346295081967214</v>
      </c>
      <c r="U8" s="269"/>
      <c r="V8" s="227" t="str">
        <f>'Data manipulation'!B30</f>
        <v>Diesel fuel</v>
      </c>
      <c r="W8" s="255" t="s">
        <v>728</v>
      </c>
      <c r="X8" s="247">
        <v>2010</v>
      </c>
      <c r="Y8" s="436">
        <f>_xlfn.IFNA(INDEX('Data manipulation'!$C$23:$O$40,MATCH($V8,'Data manipulation'!$B$23:$B$40,0),MATCH($X8,'Data manipulation'!$C$22:$O$22,0))/1000,0)*SUMIFS('Regional split'!$F$4:$F$6,'Regional split'!$B$4:$B$6,Y$3)*SUMIFS('Data manipulation'!$V$40:$V$43,'Data manipulation'!$X$40:$X$43,$E8,'Data manipulation'!$Y$40:$Y$43,$D8)</f>
        <v>0.1224396960872727</v>
      </c>
      <c r="Z8" s="271">
        <f>_xlfn.IFNA(INDEX('Data manipulation'!$C$23:$O$40,MATCH($V8,'Data manipulation'!$B$23:$B$40,0),MATCH($X8,'Data manipulation'!$C$22:$O$22,0))/1000,0)*SUMIFS('Regional split'!$F$4:$F$6,'Regional split'!$B$4:$B$6,Z$3)*SUMIFS('Data manipulation'!$V$40:$V$43,'Data manipulation'!$X$40:$X$43,$E8,'Data manipulation'!$Y$40:$Y$43,$D8)</f>
        <v>3.1102397236363634E-3</v>
      </c>
      <c r="AA8" s="458">
        <f>_xlfn.IFNA(INDEX('Data manipulation'!$C$23:$O$40,MATCH($V8,'Data manipulation'!$B$23:$B$40,0),MATCH($X8,'Data manipulation'!$C$22:$O$22,0))/1000,0)*SUMIFS('Regional split'!$F$4:$F$6,'Regional split'!$B$4:$B$6,AA$3)*SUMIFS('Data manipulation'!$V$40:$V$43,'Data manipulation'!$X$40:$X$43,$E8,'Data manipulation'!$Y$40:$Y$43,$D8)</f>
        <v>9.8484641890909091E-3</v>
      </c>
      <c r="AB8" s="447">
        <f>Y8*L8</f>
        <v>7.4688214613236353E-2</v>
      </c>
      <c r="AC8" s="252">
        <f t="shared" si="0"/>
        <v>1.8972462314181817E-3</v>
      </c>
      <c r="AD8" s="448">
        <f t="shared" si="1"/>
        <v>6.007563155345454E-3</v>
      </c>
      <c r="BA8" s="254"/>
    </row>
    <row r="9" spans="2:53" ht="15" customHeight="1">
      <c r="B9" s="227" t="str">
        <f>Processes!D48</f>
        <v>RHTUDFIWE1</v>
      </c>
      <c r="C9" s="227" t="str">
        <f>Processes!E48</f>
        <v>Residential Heating Technology Urban Detached - Fire wood - Existing 1</v>
      </c>
      <c r="D9" s="227" t="s">
        <v>713</v>
      </c>
      <c r="E9" s="227" t="s">
        <v>116</v>
      </c>
      <c r="F9" s="230" t="str">
        <f>Commodities!$C$23</f>
        <v>RESFIW</v>
      </c>
      <c r="G9" s="230" t="str">
        <f>Commodities!$C$39</f>
        <v>RESHUDB</v>
      </c>
      <c r="H9" s="230">
        <v>2010</v>
      </c>
      <c r="I9" s="251">
        <f t="shared" si="2"/>
        <v>101.8</v>
      </c>
      <c r="J9" s="251">
        <f t="shared" si="3"/>
        <v>2.6</v>
      </c>
      <c r="K9" s="251">
        <f t="shared" si="4"/>
        <v>8.1999999999999993</v>
      </c>
      <c r="L9" s="466">
        <v>0.65000022993955098</v>
      </c>
      <c r="M9" s="466">
        <v>0.65000022993955098</v>
      </c>
      <c r="N9" s="466">
        <v>0.65000022993955098</v>
      </c>
      <c r="O9" s="244">
        <f t="shared" si="7"/>
        <v>3.1536000000000002E-2</v>
      </c>
      <c r="P9" s="462">
        <v>0.15</v>
      </c>
      <c r="Q9" s="246">
        <v>20</v>
      </c>
      <c r="R9" s="227">
        <v>1.05</v>
      </c>
      <c r="T9" s="269">
        <f t="shared" si="5"/>
        <v>0.81945054088601621</v>
      </c>
      <c r="U9" s="269"/>
      <c r="V9" s="227" t="str">
        <f>'Data manipulation'!B39</f>
        <v>Wood</v>
      </c>
      <c r="W9" s="255" t="s">
        <v>197</v>
      </c>
      <c r="X9" s="247">
        <v>2010</v>
      </c>
      <c r="Y9" s="436">
        <f>_xlfn.IFNA(INDEX('Data manipulation'!$C$23:$O$40,MATCH($V9,'Data manipulation'!$B$23:$B$40,0),MATCH($X9,'Data manipulation'!$C$22:$O$22,0))/1000,0)*SUMIFS('Regional split'!$F$4:$F$6,'Regional split'!$B$4:$B$6,Y$3)*SUMIFS('Data manipulation'!$V$40:$V$43,'Data manipulation'!$X$40:$X$43,$E9,'Data manipulation'!$Y$40:$Y$43,$D9)</f>
        <v>0.70500633477818175</v>
      </c>
      <c r="Z9" s="271">
        <f>_xlfn.IFNA(INDEX('Data manipulation'!$C$23:$O$40,MATCH($V9,'Data manipulation'!$B$23:$B$40,0),MATCH($X9,'Data manipulation'!$C$22:$O$22,0))/1000,0)*SUMIFS('Regional split'!$F$4:$F$6,'Regional split'!$B$4:$B$6,Z$3)*SUMIFS('Data manipulation'!$V$40:$V$43,'Data manipulation'!$X$40:$X$43,$E9,'Data manipulation'!$Y$40:$Y$43,$D9)</f>
        <v>1.7908723869090908E-2</v>
      </c>
      <c r="AA9" s="458">
        <f>_xlfn.IFNA(INDEX('Data manipulation'!$C$23:$O$40,MATCH($V9,'Data manipulation'!$B$23:$B$40,0),MATCH($X9,'Data manipulation'!$C$22:$O$22,0))/1000,0)*SUMIFS('Regional split'!$F$4:$F$6,'Regional split'!$B$4:$B$6,AA$3)*SUMIFS('Data manipulation'!$V$40:$V$43,'Data manipulation'!$X$40:$X$43,$E9,'Data manipulation'!$Y$40:$Y$43,$D9)</f>
        <v>5.6707341352727272E-2</v>
      </c>
      <c r="AB9" s="447">
        <f t="shared" si="6"/>
        <v>0.45825427971465821</v>
      </c>
      <c r="AC9" s="252">
        <f t="shared" si="0"/>
        <v>1.1640674632833015E-2</v>
      </c>
      <c r="AD9" s="448">
        <f t="shared" si="1"/>
        <v>3.6859784918533332E-2</v>
      </c>
      <c r="BA9" s="253"/>
    </row>
    <row r="10" spans="2:53" ht="15" customHeight="1">
      <c r="B10" s="233" t="str">
        <f>Processes!D49</f>
        <v>RHTUDSTRE1</v>
      </c>
      <c r="C10" s="233" t="str">
        <f>Processes!E49</f>
        <v>Residential Heating Technology Urban Detached - Straw - Existing 1</v>
      </c>
      <c r="D10" s="233" t="s">
        <v>713</v>
      </c>
      <c r="E10" s="233" t="s">
        <v>116</v>
      </c>
      <c r="F10" s="230" t="str">
        <f>Commodities!$C$24</f>
        <v>RESSTR</v>
      </c>
      <c r="G10" s="230" t="str">
        <f>Commodities!$C$39</f>
        <v>RESHUDB</v>
      </c>
      <c r="H10" s="230">
        <v>2010</v>
      </c>
      <c r="I10" s="251">
        <f t="shared" si="2"/>
        <v>0</v>
      </c>
      <c r="J10" s="251">
        <f t="shared" si="3"/>
        <v>0</v>
      </c>
      <c r="K10" s="251">
        <f t="shared" si="4"/>
        <v>0</v>
      </c>
      <c r="L10" s="466">
        <v>0.61</v>
      </c>
      <c r="M10" s="466">
        <v>0.61</v>
      </c>
      <c r="N10" s="466">
        <v>0.61</v>
      </c>
      <c r="O10" s="244">
        <f t="shared" si="7"/>
        <v>3.1536000000000002E-2</v>
      </c>
      <c r="P10" s="462">
        <v>0.15</v>
      </c>
      <c r="Q10" s="246">
        <v>20</v>
      </c>
      <c r="R10" s="227">
        <v>1.05</v>
      </c>
      <c r="T10" s="269">
        <f t="shared" si="5"/>
        <v>0</v>
      </c>
      <c r="U10" s="269"/>
      <c r="W10" s="255" t="s">
        <v>188</v>
      </c>
      <c r="X10" s="247">
        <v>2010</v>
      </c>
      <c r="Y10" s="436">
        <f>_xlfn.IFNA(INDEX('Data manipulation'!$C$23:$O$40,MATCH($V10,'Data manipulation'!$B$23:$B$40,0),MATCH($X10,'Data manipulation'!$C$22:$O$22,0))/1000,0)*SUMIFS('Regional split'!$F$4:$F$6,'Regional split'!$B$4:$B$6,Y$3)*SUMIFS('Data manipulation'!$V$40:$V$43,'Data manipulation'!$X$40:$X$43,$E10,'Data manipulation'!$Y$40:$Y$43,$D10)</f>
        <v>0</v>
      </c>
      <c r="Z10" s="271">
        <f>_xlfn.IFNA(INDEX('Data manipulation'!$C$23:$O$40,MATCH($V10,'Data manipulation'!$B$23:$B$40,0),MATCH($X10,'Data manipulation'!$C$22:$O$22,0))/1000,0)*SUMIFS('Regional split'!$F$4:$F$6,'Regional split'!$B$4:$B$6,Z$3)*SUMIFS('Data manipulation'!$V$40:$V$43,'Data manipulation'!$X$40:$X$43,$E10,'Data manipulation'!$Y$40:$Y$43,$D10)</f>
        <v>0</v>
      </c>
      <c r="AA10" s="458">
        <f>_xlfn.IFNA(INDEX('Data manipulation'!$C$23:$O$40,MATCH($V10,'Data manipulation'!$B$23:$B$40,0),MATCH($X10,'Data manipulation'!$C$22:$O$22,0))/1000,0)*SUMIFS('Regional split'!$F$4:$F$6,'Regional split'!$B$4:$B$6,AA$3)*SUMIFS('Data manipulation'!$V$40:$V$43,'Data manipulation'!$X$40:$X$43,$E10,'Data manipulation'!$Y$40:$Y$43,$D10)</f>
        <v>0</v>
      </c>
      <c r="AB10" s="447">
        <f t="shared" si="6"/>
        <v>0</v>
      </c>
      <c r="AC10" s="252">
        <f t="shared" si="0"/>
        <v>0</v>
      </c>
      <c r="AD10" s="448">
        <f t="shared" si="1"/>
        <v>0</v>
      </c>
      <c r="BA10" s="253"/>
    </row>
    <row r="11" spans="2:53" ht="15" customHeight="1">
      <c r="B11" s="233" t="str">
        <f>Processes!D50</f>
        <v>RHTUDSOLE1</v>
      </c>
      <c r="C11" s="233" t="str">
        <f>Processes!E50</f>
        <v>Residential Heating Technology Urban Detached - Solar - Existing 1</v>
      </c>
      <c r="D11" s="233" t="s">
        <v>713</v>
      </c>
      <c r="E11" s="233" t="s">
        <v>116</v>
      </c>
      <c r="F11" s="230" t="str">
        <f>Commodities!$C$26</f>
        <v>RESSOL</v>
      </c>
      <c r="G11" s="230" t="str">
        <f>Commodities!$C$39</f>
        <v>RESHUDB</v>
      </c>
      <c r="H11" s="230">
        <v>2010</v>
      </c>
      <c r="I11" s="251">
        <f t="shared" si="2"/>
        <v>0</v>
      </c>
      <c r="J11" s="251">
        <f t="shared" si="3"/>
        <v>0</v>
      </c>
      <c r="K11" s="251">
        <f t="shared" si="4"/>
        <v>0</v>
      </c>
      <c r="L11" s="466">
        <v>1</v>
      </c>
      <c r="M11" s="466">
        <v>1</v>
      </c>
      <c r="N11" s="466">
        <v>1</v>
      </c>
      <c r="O11" s="244">
        <f t="shared" si="7"/>
        <v>3.1536000000000002E-2</v>
      </c>
      <c r="P11" s="462">
        <v>0.15</v>
      </c>
      <c r="Q11" s="246">
        <v>20</v>
      </c>
      <c r="R11" s="227">
        <v>1.05</v>
      </c>
      <c r="T11" s="269">
        <f t="shared" si="5"/>
        <v>0</v>
      </c>
      <c r="U11" s="269"/>
      <c r="W11" s="255" t="s">
        <v>189</v>
      </c>
      <c r="X11" s="247">
        <v>2010</v>
      </c>
      <c r="Y11" s="436">
        <f>_xlfn.IFNA(INDEX('Data manipulation'!$C$23:$O$40,MATCH($V11,'Data manipulation'!$B$23:$B$40,0),MATCH($X11,'Data manipulation'!$C$22:$O$22,0))/1000,0)*SUMIFS('Regional split'!$F$4:$F$6,'Regional split'!$B$4:$B$6,Y$3)*SUMIFS('Data manipulation'!$V$40:$V$43,'Data manipulation'!$X$40:$X$43,$E11,'Data manipulation'!$Y$40:$Y$43,$D11)</f>
        <v>0</v>
      </c>
      <c r="Z11" s="271">
        <f>_xlfn.IFNA(INDEX('Data manipulation'!$C$23:$O$40,MATCH($V11,'Data manipulation'!$B$23:$B$40,0),MATCH($X11,'Data manipulation'!$C$22:$O$22,0))/1000,0)*SUMIFS('Regional split'!$F$4:$F$6,'Regional split'!$B$4:$B$6,Z$3)*SUMIFS('Data manipulation'!$V$40:$V$43,'Data manipulation'!$X$40:$X$43,$E11,'Data manipulation'!$Y$40:$Y$43,$D11)</f>
        <v>0</v>
      </c>
      <c r="AA11" s="458">
        <f>_xlfn.IFNA(INDEX('Data manipulation'!$C$23:$O$40,MATCH($V11,'Data manipulation'!$B$23:$B$40,0),MATCH($X11,'Data manipulation'!$C$22:$O$22,0))/1000,0)*SUMIFS('Regional split'!$F$4:$F$6,'Regional split'!$B$4:$B$6,AA$3)*SUMIFS('Data manipulation'!$V$40:$V$43,'Data manipulation'!$X$40:$X$43,$E11,'Data manipulation'!$Y$40:$Y$43,$D11)</f>
        <v>0</v>
      </c>
      <c r="AB11" s="447">
        <f t="shared" si="6"/>
        <v>0</v>
      </c>
      <c r="AC11" s="252">
        <f t="shared" si="0"/>
        <v>0</v>
      </c>
      <c r="AD11" s="448">
        <f t="shared" si="1"/>
        <v>0</v>
      </c>
      <c r="BA11" s="253"/>
    </row>
    <row r="12" spans="2:53" ht="15" customHeight="1">
      <c r="B12" s="233" t="str">
        <f>Processes!D51</f>
        <v>RHTUDELCHE1</v>
      </c>
      <c r="C12" s="233" t="str">
        <f>Processes!E51</f>
        <v>Residential Heating Technology Urban Detached - Electricity Heating - Existing 1</v>
      </c>
      <c r="D12" s="233" t="s">
        <v>713</v>
      </c>
      <c r="E12" s="233" t="s">
        <v>116</v>
      </c>
      <c r="F12" s="230" t="str">
        <f>Commodities!$C$27</f>
        <v>RESELCH</v>
      </c>
      <c r="G12" s="230" t="str">
        <f>Commodities!$C$39</f>
        <v>RESHUDB</v>
      </c>
      <c r="H12" s="230">
        <v>2010</v>
      </c>
      <c r="I12" s="251">
        <f t="shared" si="2"/>
        <v>0</v>
      </c>
      <c r="J12" s="251">
        <f t="shared" si="3"/>
        <v>0</v>
      </c>
      <c r="K12" s="251">
        <f t="shared" si="4"/>
        <v>0</v>
      </c>
      <c r="L12" s="466">
        <v>1</v>
      </c>
      <c r="M12" s="466">
        <v>1</v>
      </c>
      <c r="N12" s="466">
        <v>1</v>
      </c>
      <c r="O12" s="244">
        <f t="shared" si="7"/>
        <v>3.1536000000000002E-2</v>
      </c>
      <c r="P12" s="462">
        <v>0.15</v>
      </c>
      <c r="Q12" s="246">
        <v>30</v>
      </c>
      <c r="R12" s="227">
        <v>1.05</v>
      </c>
      <c r="T12" s="269">
        <f t="shared" si="5"/>
        <v>0</v>
      </c>
      <c r="U12" s="269"/>
      <c r="V12" s="227" t="str">
        <f>'Data manipulation'!B38</f>
        <v>Electricity</v>
      </c>
      <c r="W12" s="255" t="s">
        <v>190</v>
      </c>
      <c r="X12" s="247">
        <v>2010</v>
      </c>
      <c r="Y12" s="436">
        <f>_xlfn.IFNA(INDEX('Data manipulation'!$C$23:$O$40,MATCH($V12,'Data manipulation'!$B$23:$B$40,0),MATCH($X12,'Data manipulation'!$C$22:$O$22,0))/1000,0)*SUMIFS('Regional split'!$F$4:$F$6,'Regional split'!$B$4:$B$6,Y$3)*SUMIFS('Data manipulation'!$V$40:$V$43,'Data manipulation'!$X$40:$X$43,$E12,'Data manipulation'!$Y$40:$Y$43,$D12)</f>
        <v>0</v>
      </c>
      <c r="Z12" s="271">
        <f>_xlfn.IFNA(INDEX('Data manipulation'!$C$23:$O$40,MATCH($V12,'Data manipulation'!$B$23:$B$40,0),MATCH($X12,'Data manipulation'!$C$22:$O$22,0))/1000,0)*SUMIFS('Regional split'!$F$4:$F$6,'Regional split'!$B$4:$B$6,Z$3)*SUMIFS('Data manipulation'!$V$40:$V$43,'Data manipulation'!$X$40:$X$43,$E12,'Data manipulation'!$Y$40:$Y$43,$D12)</f>
        <v>0</v>
      </c>
      <c r="AA12" s="458">
        <f>_xlfn.IFNA(INDEX('Data manipulation'!$C$23:$O$40,MATCH($V12,'Data manipulation'!$B$23:$B$40,0),MATCH($X12,'Data manipulation'!$C$22:$O$22,0))/1000,0)*SUMIFS('Regional split'!$F$4:$F$6,'Regional split'!$B$4:$B$6,AA$3)*SUMIFS('Data manipulation'!$V$40:$V$43,'Data manipulation'!$X$40:$X$43,$E12,'Data manipulation'!$Y$40:$Y$43,$D12)</f>
        <v>0</v>
      </c>
      <c r="AB12" s="447">
        <f t="shared" si="6"/>
        <v>0</v>
      </c>
      <c r="AC12" s="252">
        <f t="shared" si="0"/>
        <v>0</v>
      </c>
      <c r="AD12" s="448">
        <f t="shared" si="1"/>
        <v>0</v>
      </c>
      <c r="BA12" s="253"/>
    </row>
    <row r="13" spans="2:53" ht="15" customHeight="1">
      <c r="B13" s="233" t="str">
        <f>Processes!D52</f>
        <v>RHTUDELCHE2</v>
      </c>
      <c r="C13" s="233" t="str">
        <f>Processes!E52</f>
        <v>Residential Heating Technology Urban Detached - Electricity Heating - Existing 2</v>
      </c>
      <c r="D13" s="233" t="s">
        <v>713</v>
      </c>
      <c r="E13" s="233" t="s">
        <v>116</v>
      </c>
      <c r="F13" s="230" t="str">
        <f>Commodities!$C$27</f>
        <v>RESELCH</v>
      </c>
      <c r="G13" s="230" t="str">
        <f>Commodities!$C$39</f>
        <v>RESHUDB</v>
      </c>
      <c r="H13" s="230">
        <v>2010</v>
      </c>
      <c r="I13" s="251">
        <f t="shared" si="2"/>
        <v>0</v>
      </c>
      <c r="J13" s="251">
        <f t="shared" si="3"/>
        <v>0</v>
      </c>
      <c r="K13" s="251">
        <f t="shared" si="4"/>
        <v>0</v>
      </c>
      <c r="L13" s="466">
        <v>2.3149999999999999</v>
      </c>
      <c r="M13" s="466">
        <v>2.3149999999999999</v>
      </c>
      <c r="N13" s="466">
        <v>2.3149999999999999</v>
      </c>
      <c r="O13" s="244">
        <f t="shared" si="7"/>
        <v>3.1536000000000002E-2</v>
      </c>
      <c r="P13" s="462">
        <v>0.15</v>
      </c>
      <c r="Q13" s="246">
        <v>30</v>
      </c>
      <c r="R13" s="227">
        <v>1.05</v>
      </c>
      <c r="T13" s="269">
        <f t="shared" si="5"/>
        <v>0</v>
      </c>
      <c r="U13" s="269"/>
      <c r="W13" s="255" t="s">
        <v>191</v>
      </c>
      <c r="X13" s="247">
        <v>2010</v>
      </c>
      <c r="Y13" s="436">
        <f>_xlfn.IFNA(INDEX('Data manipulation'!$C$23:$O$40,MATCH($V13,'Data manipulation'!$B$23:$B$40,0),MATCH($X13,'Data manipulation'!$C$22:$O$22,0))/1000,0)*SUMIFS('Regional split'!$F$4:$F$6,'Regional split'!$B$4:$B$6,Y$3)*SUMIFS('Data manipulation'!$V$40:$V$43,'Data manipulation'!$X$40:$X$43,$E13,'Data manipulation'!$Y$40:$Y$43,$D13)</f>
        <v>0</v>
      </c>
      <c r="Z13" s="271">
        <f>_xlfn.IFNA(INDEX('Data manipulation'!$C$23:$O$40,MATCH($V13,'Data manipulation'!$B$23:$B$40,0),MATCH($X13,'Data manipulation'!$C$22:$O$22,0))/1000,0)*SUMIFS('Regional split'!$F$4:$F$6,'Regional split'!$B$4:$B$6,Z$3)*SUMIFS('Data manipulation'!$V$40:$V$43,'Data manipulation'!$X$40:$X$43,$E13,'Data manipulation'!$Y$40:$Y$43,$D13)</f>
        <v>0</v>
      </c>
      <c r="AA13" s="458">
        <f>_xlfn.IFNA(INDEX('Data manipulation'!$C$23:$O$40,MATCH($V13,'Data manipulation'!$B$23:$B$40,0),MATCH($X13,'Data manipulation'!$C$22:$O$22,0))/1000,0)*SUMIFS('Regional split'!$F$4:$F$6,'Regional split'!$B$4:$B$6,AA$3)*SUMIFS('Data manipulation'!$V$40:$V$43,'Data manipulation'!$X$40:$X$43,$E13,'Data manipulation'!$Y$40:$Y$43,$D13)</f>
        <v>0</v>
      </c>
      <c r="AB13" s="447">
        <f t="shared" si="6"/>
        <v>0</v>
      </c>
      <c r="AC13" s="252">
        <f t="shared" si="0"/>
        <v>0</v>
      </c>
      <c r="AD13" s="448">
        <f t="shared" si="1"/>
        <v>0</v>
      </c>
      <c r="BA13" s="254"/>
    </row>
    <row r="14" spans="2:53" ht="15">
      <c r="B14" s="233" t="str">
        <f>Processes!D53</f>
        <v>RHTUDHCEE1</v>
      </c>
      <c r="C14" s="233" t="str">
        <f>Processes!E53</f>
        <v>Residential Heating Technology Urban Detached - District heating Central - Existing 1</v>
      </c>
      <c r="D14" s="233" t="s">
        <v>713</v>
      </c>
      <c r="E14" s="233" t="s">
        <v>116</v>
      </c>
      <c r="F14" s="230" t="str">
        <f>Commodities!$C$30</f>
        <v>RESHCE</v>
      </c>
      <c r="G14" s="230" t="str">
        <f>Commodities!$C$35</f>
        <v>RESHUDX</v>
      </c>
      <c r="H14" s="230">
        <v>2010</v>
      </c>
      <c r="I14" s="583">
        <f>ROUNDUP(AB14/($O14*$P14)*$I$1,1)+ROUNDUP(AC14/($O14*$P14)*$I$1,1)+ROUNDUP(AD14/($O14*$P14)*$I$1,1)+ROUNDUP(AB24/($O24*$P24)*$I$1,1)+ROUNDUP(AC24/($O24*$P24)*$I$1,1)+ROUNDUP(AD24/($O24*$P24)*$I$1,1)</f>
        <v>211.89999999999998</v>
      </c>
      <c r="J14" s="583">
        <v>0</v>
      </c>
      <c r="K14" s="583">
        <v>0</v>
      </c>
      <c r="L14" s="466">
        <v>0.95</v>
      </c>
      <c r="M14" s="466">
        <v>0.95</v>
      </c>
      <c r="N14" s="466">
        <v>0.95</v>
      </c>
      <c r="O14" s="244">
        <f t="shared" si="7"/>
        <v>3.1536000000000002E-2</v>
      </c>
      <c r="P14" s="462">
        <v>0.15</v>
      </c>
      <c r="Q14" s="246">
        <v>30</v>
      </c>
      <c r="R14" s="227">
        <v>1.05</v>
      </c>
      <c r="T14" s="269">
        <f t="shared" si="5"/>
        <v>1.0551281684210527</v>
      </c>
      <c r="U14" s="269"/>
      <c r="V14" s="227" t="str">
        <f>'Data manipulation'!B37</f>
        <v>Heat</v>
      </c>
      <c r="W14" s="255" t="s">
        <v>192</v>
      </c>
      <c r="X14" s="247">
        <v>2010</v>
      </c>
      <c r="Y14" s="436">
        <f>_xlfn.IFNA(INDEX('Data manipulation'!$C$23:$O$40,MATCH($V14,'Data manipulation'!$B$23:$B$40,0),MATCH($X14,'Data manipulation'!$C$22:$O$22,0))/1000,0)*SUMIFS('Regional split'!$F$4:$F$6,'Regional split'!$B$4:$B$6,Y$3)*SUMIFS('Data manipulation'!$V$40:$V$43,'Data manipulation'!$X$40:$X$43,$E14,'Data manipulation'!$Y$40:$Y$43,$D14)</f>
        <v>0.31743110469818181</v>
      </c>
      <c r="Z14" s="271">
        <f>_xlfn.IFNA(INDEX('Data manipulation'!$C$23:$O$40,MATCH($V14,'Data manipulation'!$B$23:$B$40,0),MATCH($X14,'Data manipulation'!$C$22:$O$22,0))/1000,0)*SUMIFS('Regional split'!$F$4:$F$6,'Regional split'!$B$4:$B$6,Z$3)*SUMIFS('Data manipulation'!$V$40:$V$43,'Data manipulation'!$X$40:$X$43,$E14,'Data manipulation'!$Y$40:$Y$43,$D14)</f>
        <v>8.0634537890909089E-3</v>
      </c>
      <c r="AA14" s="458">
        <f>_xlfn.IFNA(INDEX('Data manipulation'!$C$23:$O$40,MATCH($V14,'Data manipulation'!$B$23:$B$40,0),MATCH($X14,'Data manipulation'!$C$22:$O$22,0))/1000,0)*SUMIFS('Regional split'!$F$4:$F$6,'Regional split'!$B$4:$B$6,AA$3)*SUMIFS('Data manipulation'!$V$40:$V$43,'Data manipulation'!$X$40:$X$43,$E14,'Data manipulation'!$Y$40:$Y$43,$D14)</f>
        <v>2.5532641512727276E-2</v>
      </c>
      <c r="AB14" s="447">
        <f t="shared" si="6"/>
        <v>0.30155954946327268</v>
      </c>
      <c r="AC14" s="252">
        <f t="shared" si="0"/>
        <v>7.6602810996363631E-3</v>
      </c>
      <c r="AD14" s="448">
        <f t="shared" si="1"/>
        <v>2.4256009437090911E-2</v>
      </c>
      <c r="BA14" s="253"/>
    </row>
    <row r="15" spans="2:53" ht="15" customHeight="1" thickBot="1">
      <c r="B15" s="256" t="str">
        <f>Processes!D54</f>
        <v>RHTUDLPGE1</v>
      </c>
      <c r="C15" s="256" t="str">
        <f>Processes!E54</f>
        <v>Residential Heating Technology Urban Detached - LPG - Existing 1</v>
      </c>
      <c r="D15" s="546" t="s">
        <v>713</v>
      </c>
      <c r="E15" s="546" t="s">
        <v>116</v>
      </c>
      <c r="F15" s="257" t="str">
        <f>Commodities!$C$19</f>
        <v>RESLPG</v>
      </c>
      <c r="G15" s="257" t="str">
        <f>G13</f>
        <v>RESHUDB</v>
      </c>
      <c r="H15" s="424">
        <v>2010</v>
      </c>
      <c r="I15" s="298">
        <f t="shared" ref="I15" si="8">ROUNDUP(AB15/($O15*$P15)*$R15,1)</f>
        <v>87.1</v>
      </c>
      <c r="J15" s="298">
        <f t="shared" ref="J15" si="9">ROUNDUP(AC15/($O15*$P15)*$R15,1)</f>
        <v>2.3000000000000003</v>
      </c>
      <c r="K15" s="298">
        <f t="shared" ref="K15" si="10">ROUNDUP(AD15/($O15*$P15)*$R15,1)</f>
        <v>7</v>
      </c>
      <c r="L15" s="467">
        <v>0.95</v>
      </c>
      <c r="M15" s="467">
        <v>0.95</v>
      </c>
      <c r="N15" s="467">
        <v>0.95</v>
      </c>
      <c r="O15" s="258">
        <f t="shared" si="7"/>
        <v>3.1536000000000002E-2</v>
      </c>
      <c r="P15" s="463">
        <v>0.15</v>
      </c>
      <c r="Q15" s="259">
        <v>30</v>
      </c>
      <c r="R15" s="227">
        <v>1.05</v>
      </c>
      <c r="T15" s="269">
        <f t="shared" si="5"/>
        <v>0.48001111578947364</v>
      </c>
      <c r="U15" s="269"/>
      <c r="V15" s="432" t="str">
        <f>'Data manipulation'!B26</f>
        <v>Liquefied gases</v>
      </c>
      <c r="W15" s="429" t="s">
        <v>769</v>
      </c>
      <c r="X15" s="433">
        <v>2010</v>
      </c>
      <c r="Y15" s="437">
        <f>_xlfn.IFNA(INDEX('Data manipulation'!$C$23:$O$40,MATCH($V15,'Data manipulation'!$B$23:$B$40,0),MATCH($X15,'Data manipulation'!$C$22:$O$22,0))/1000,0)*SUMIFS('Regional split'!$F$4:$F$6,'Regional split'!$B$4:$B$6,Y$3)*SUMIFS('Data manipulation'!$V$40:$V$43,'Data manipulation'!$X$40:$X$43,$E15,'Data manipulation'!$Y$40:$Y$43,$D15)</f>
        <v>0.41269053094690905</v>
      </c>
      <c r="Z15" s="434">
        <f>_xlfn.IFNA(INDEX('Data manipulation'!$C$23:$O$40,MATCH($V15,'Data manipulation'!$B$23:$B$40,0),MATCH($X15,'Data manipulation'!$C$22:$O$22,0))/1000,0)*SUMIFS('Regional split'!$F$4:$F$6,'Regional split'!$B$4:$B$6,Z$3)*SUMIFS('Data manipulation'!$V$40:$V$43,'Data manipulation'!$X$40:$X$43,$E15,'Data manipulation'!$Y$40:$Y$43,$D15)</f>
        <v>1.0483254401454546E-2</v>
      </c>
      <c r="AA15" s="459">
        <f>_xlfn.IFNA(INDEX('Data manipulation'!$C$23:$O$40,MATCH($V15,'Data manipulation'!$B$23:$B$40,0),MATCH($X15,'Data manipulation'!$C$22:$O$22,0))/1000,0)*SUMIFS('Regional split'!$F$4:$F$6,'Regional split'!$B$4:$B$6,AA$3)*SUMIFS('Data manipulation'!$V$40:$V$43,'Data manipulation'!$X$40:$X$43,$E15,'Data manipulation'!$Y$40:$Y$43,$D15)</f>
        <v>3.3194854651636366E-2</v>
      </c>
      <c r="AB15" s="449">
        <f t="shared" si="6"/>
        <v>0.39205600439956356</v>
      </c>
      <c r="AC15" s="278">
        <f t="shared" si="0"/>
        <v>9.9590916813818188E-3</v>
      </c>
      <c r="AD15" s="450">
        <f t="shared" si="1"/>
        <v>3.1535111919054545E-2</v>
      </c>
      <c r="BA15" s="253"/>
    </row>
    <row r="16" spans="2:53" ht="15" customHeight="1">
      <c r="B16" s="233" t="str">
        <f>Processes!D55</f>
        <v>RHTRDNGAE1</v>
      </c>
      <c r="C16" s="233" t="str">
        <f>Processes!E55</f>
        <v>Residential Heating Technology Rural Detached - Natural Gas - Existing 1</v>
      </c>
      <c r="D16" s="233" t="s">
        <v>714</v>
      </c>
      <c r="E16" s="233" t="s">
        <v>116</v>
      </c>
      <c r="F16" s="230" t="str">
        <f>Commodities!$C$18&amp;","&amp;Commodities!$C$33</f>
        <v>RESNGA,RESSNG</v>
      </c>
      <c r="G16" s="260" t="str">
        <f>Commodities!$C$40</f>
        <v>RESHRDB</v>
      </c>
      <c r="H16" s="260">
        <v>2010</v>
      </c>
      <c r="I16" s="251">
        <f>ROUNDUP(AB16/($O16*$P16)*$R16,1)</f>
        <v>5752.3</v>
      </c>
      <c r="J16" s="251">
        <f>ROUNDUP(AC16/($O16*$P16)*$R16,1)</f>
        <v>146.19999999999999</v>
      </c>
      <c r="K16" s="251">
        <f>ROUNDUP(AD16/($O16*$P16)*$R16,1)</f>
        <v>462.70000000000005</v>
      </c>
      <c r="L16" s="466">
        <v>0.79</v>
      </c>
      <c r="M16" s="466">
        <v>0.79</v>
      </c>
      <c r="N16" s="466">
        <v>0.79</v>
      </c>
      <c r="O16" s="244">
        <f t="shared" si="7"/>
        <v>3.1536000000000002E-2</v>
      </c>
      <c r="P16" s="462">
        <v>0.15</v>
      </c>
      <c r="Q16" s="246">
        <v>25</v>
      </c>
      <c r="R16" s="227">
        <v>1.05</v>
      </c>
      <c r="T16" s="269">
        <f t="shared" si="5"/>
        <v>38.089899341772146</v>
      </c>
      <c r="U16" s="269"/>
      <c r="V16" s="227" t="s">
        <v>80</v>
      </c>
      <c r="W16" s="255" t="s">
        <v>187</v>
      </c>
      <c r="X16" s="247">
        <v>2010</v>
      </c>
      <c r="Y16" s="436">
        <f>_xlfn.IFNA(INDEX('Data manipulation'!$C$23:$O$40,MATCH($V16,'Data manipulation'!$B$23:$B$40,0),MATCH($X16,'Data manipulation'!$C$22:$O$22,0))/1000,0)*SUMIFS('Regional split'!$F$4:$F$6,'Regional split'!$B$4:$B$6,Y$3)*SUMIFS('Data manipulation'!$V$40:$V$43,'Data manipulation'!$X$40:$X$43,$E16,'Data manipulation'!$Y$40:$Y$43,$D16)</f>
        <v>32.803162443328766</v>
      </c>
      <c r="Z16" s="271">
        <f>_xlfn.IFNA(INDEX('Data manipulation'!$C$23:$O$40,MATCH($V16,'Data manipulation'!$B$23:$B$40,0),MATCH($X16,'Data manipulation'!$C$22:$O$22,0))/1000,0)*SUMIFS('Regional split'!$F$4:$F$6,'Regional split'!$B$4:$B$6,Z$3)*SUMIFS('Data manipulation'!$V$40:$V$43,'Data manipulation'!$X$40:$X$43,$E16,'Data manipulation'!$Y$40:$Y$43,$D16)</f>
        <v>0.83327304912138633</v>
      </c>
      <c r="AA16" s="458">
        <f>_xlfn.IFNA(INDEX('Data manipulation'!$C$23:$O$40,MATCH($V16,'Data manipulation'!$B$23:$B$40,0),MATCH($X16,'Data manipulation'!$C$22:$O$22,0))/1000,0)*SUMIFS('Regional split'!$F$4:$F$6,'Regional split'!$B$4:$B$6,AA$3)*SUMIFS('Data manipulation'!$V$40:$V$43,'Data manipulation'!$X$40:$X$43,$E16,'Data manipulation'!$Y$40:$Y$43,$D16)</f>
        <v>2.6385296675498409</v>
      </c>
      <c r="AB16" s="447">
        <f>Y16*L16</f>
        <v>25.914498330229726</v>
      </c>
      <c r="AC16" s="279">
        <f t="shared" si="0"/>
        <v>0.65828570880589521</v>
      </c>
      <c r="AD16" s="451">
        <f t="shared" si="1"/>
        <v>2.0844384373643745</v>
      </c>
      <c r="BA16" s="253"/>
    </row>
    <row r="17" spans="2:53" ht="15" customHeight="1">
      <c r="B17" s="233" t="str">
        <f>Processes!D56</f>
        <v>RHTRDDSLE1</v>
      </c>
      <c r="C17" s="233" t="str">
        <f>Processes!E56</f>
        <v>Residential Heating Technology Rural Detached - Diesel - Existing 1</v>
      </c>
      <c r="D17" s="233" t="s">
        <v>714</v>
      </c>
      <c r="E17" s="233" t="s">
        <v>116</v>
      </c>
      <c r="F17" s="230" t="str">
        <f>Commodities!$C$20&amp;","&amp;Commodities!$C$34</f>
        <v>RESDSL,RESDSB</v>
      </c>
      <c r="G17" s="260" t="str">
        <f>Commodities!$C$40</f>
        <v>RESHRDB</v>
      </c>
      <c r="H17" s="260">
        <v>2010</v>
      </c>
      <c r="I17" s="251">
        <f t="shared" ref="I17:I23" si="11">ROUNDUP(AB17/($O17*$P17)*$R17,1)</f>
        <v>4.8</v>
      </c>
      <c r="J17" s="251">
        <f t="shared" ref="J17:J23" si="12">ROUNDUP(AC17/($O17*$P17)*$R17,1)</f>
        <v>0.2</v>
      </c>
      <c r="K17" s="251">
        <f t="shared" ref="K17:K23" si="13">ROUNDUP(AD17/($O17*$P17)*$R17,1)</f>
        <v>0.4</v>
      </c>
      <c r="L17" s="466">
        <v>0.79</v>
      </c>
      <c r="M17" s="466">
        <v>0.79</v>
      </c>
      <c r="N17" s="466">
        <v>0.79</v>
      </c>
      <c r="O17" s="244">
        <f t="shared" si="7"/>
        <v>3.1536000000000002E-2</v>
      </c>
      <c r="P17" s="462">
        <v>0.15</v>
      </c>
      <c r="Q17" s="246">
        <v>20</v>
      </c>
      <c r="R17" s="227">
        <v>1.05</v>
      </c>
      <c r="T17" s="269">
        <f t="shared" si="5"/>
        <v>3.2334379746835444E-2</v>
      </c>
      <c r="V17" s="227" t="s">
        <v>213</v>
      </c>
      <c r="W17" s="255" t="s">
        <v>728</v>
      </c>
      <c r="X17" s="247">
        <v>2010</v>
      </c>
      <c r="Y17" s="436">
        <f>_xlfn.IFNA(INDEX('Data manipulation'!$C$23:$O$40,MATCH($V17,'Data manipulation'!$B$23:$B$40,0),MATCH($X17,'Data manipulation'!$C$22:$O$22,0))/1000,0)*SUMIFS('Regional split'!$F$4:$F$6,'Regional split'!$B$4:$B$6,Y$3)*SUMIFS('Data manipulation'!$V$40:$V$43,'Data manipulation'!$X$40:$X$43,$E17,'Data manipulation'!$Y$40:$Y$43,$D17)</f>
        <v>2.693035968886363E-2</v>
      </c>
      <c r="Z17" s="271">
        <f>_xlfn.IFNA(INDEX('Data manipulation'!$C$23:$O$40,MATCH($V17,'Data manipulation'!$B$23:$B$40,0),MATCH($X17,'Data manipulation'!$C$22:$O$22,0))/1000,0)*SUMIFS('Regional split'!$F$4:$F$6,'Regional split'!$B$4:$B$6,Z$3)*SUMIFS('Data manipulation'!$V$40:$V$43,'Data manipulation'!$X$40:$X$43,$E17,'Data manipulation'!$Y$40:$Y$43,$D17)</f>
        <v>6.8409083943181816E-4</v>
      </c>
      <c r="AA17" s="458">
        <f>_xlfn.IFNA(INDEX('Data manipulation'!$C$23:$O$40,MATCH($V17,'Data manipulation'!$B$23:$B$40,0),MATCH($X17,'Data manipulation'!$C$22:$O$22,0))/1000,0)*SUMIFS('Regional split'!$F$4:$F$6,'Regional split'!$B$4:$B$6,AA$3)*SUMIFS('Data manipulation'!$V$40:$V$43,'Data manipulation'!$X$40:$X$43,$E17,'Data manipulation'!$Y$40:$Y$43,$D17)</f>
        <v>2.1661494717045452E-3</v>
      </c>
      <c r="AB17" s="447">
        <f t="shared" si="6"/>
        <v>2.1274984154202269E-2</v>
      </c>
      <c r="AC17" s="252">
        <f t="shared" si="0"/>
        <v>5.4043176315113632E-4</v>
      </c>
      <c r="AD17" s="448">
        <f t="shared" si="1"/>
        <v>1.7112580826465907E-3</v>
      </c>
      <c r="AV17" s="261"/>
      <c r="BA17" s="253"/>
    </row>
    <row r="18" spans="2:53" ht="15" customHeight="1">
      <c r="B18" s="233" t="str">
        <f>Processes!D57</f>
        <v>RHTRDWPEE1</v>
      </c>
      <c r="C18" s="233" t="str">
        <f>Processes!E57</f>
        <v>Residential Heating Technology Rural Detached - Wood pellets - Existing 1</v>
      </c>
      <c r="D18" s="233" t="s">
        <v>714</v>
      </c>
      <c r="E18" s="233" t="s">
        <v>116</v>
      </c>
      <c r="F18" s="230" t="str">
        <f>Commodities!$C$22</f>
        <v>RESWPE</v>
      </c>
      <c r="G18" s="260" t="str">
        <f>Commodities!$C$40</f>
        <v>RESHRDB</v>
      </c>
      <c r="H18" s="260">
        <v>2010</v>
      </c>
      <c r="I18" s="251">
        <f t="shared" si="11"/>
        <v>32.800000000000004</v>
      </c>
      <c r="J18" s="251">
        <f t="shared" si="12"/>
        <v>0.9</v>
      </c>
      <c r="K18" s="251">
        <f t="shared" si="13"/>
        <v>2.7</v>
      </c>
      <c r="L18" s="466">
        <v>0.67</v>
      </c>
      <c r="M18" s="466">
        <v>0.67</v>
      </c>
      <c r="N18" s="466">
        <v>0.67</v>
      </c>
      <c r="O18" s="244">
        <f>31.536/1000</f>
        <v>3.1536000000000002E-2</v>
      </c>
      <c r="P18" s="462">
        <v>0.15</v>
      </c>
      <c r="Q18" s="246">
        <v>20</v>
      </c>
      <c r="R18" s="227">
        <v>1.05</v>
      </c>
      <c r="T18" s="269">
        <f t="shared" si="5"/>
        <v>0.25699486567164181</v>
      </c>
      <c r="U18" s="269"/>
      <c r="V18" s="227" t="s">
        <v>214</v>
      </c>
      <c r="W18" s="255" t="s">
        <v>728</v>
      </c>
      <c r="X18" s="247">
        <v>2010</v>
      </c>
      <c r="Y18" s="436">
        <f>_xlfn.IFNA(INDEX('Data manipulation'!$C$23:$O$40,MATCH($V18,'Data manipulation'!$B$23:$B$40,0),MATCH($X18,'Data manipulation'!$C$22:$O$22,0))/1000,0)*SUMIFS('Regional split'!$F$4:$F$6,'Regional split'!$B$4:$B$6,Y$3)*SUMIFS('Data manipulation'!$V$40:$V$43,'Data manipulation'!$X$40:$X$43,$E18,'Data manipulation'!$Y$40:$Y$43,$D18)</f>
        <v>0.22048710896965906</v>
      </c>
      <c r="Z18" s="271">
        <f>_xlfn.IFNA(INDEX('Data manipulation'!$C$23:$O$40,MATCH($V18,'Data manipulation'!$B$23:$B$40,0),MATCH($X18,'Data manipulation'!$C$22:$O$22,0))/1000,0)*SUMIFS('Regional split'!$F$4:$F$6,'Regional split'!$B$4:$B$6,Z$3)*SUMIFS('Data manipulation'!$V$40:$V$43,'Data manipulation'!$X$40:$X$43,$E18,'Data manipulation'!$Y$40:$Y$43,$D18)</f>
        <v>5.6008613773295447E-3</v>
      </c>
      <c r="AA18" s="458">
        <f>_xlfn.IFNA(INDEX('Data manipulation'!$C$23:$O$40,MATCH($V18,'Data manipulation'!$B$23:$B$40,0),MATCH($X18,'Data manipulation'!$C$22:$O$22,0))/1000,0)*SUMIFS('Regional split'!$F$4:$F$6,'Regional split'!$B$4:$B$6,AA$3)*SUMIFS('Data manipulation'!$V$40:$V$43,'Data manipulation'!$X$40:$X$43,$E18,'Data manipulation'!$Y$40:$Y$43,$D18)</f>
        <v>1.7734929653011364E-2</v>
      </c>
      <c r="AB18" s="447">
        <f t="shared" si="6"/>
        <v>0.14772636300967157</v>
      </c>
      <c r="AC18" s="252">
        <f t="shared" si="0"/>
        <v>3.7525771228107954E-3</v>
      </c>
      <c r="AD18" s="448">
        <f t="shared" si="1"/>
        <v>1.1882402867517614E-2</v>
      </c>
      <c r="AV18" s="261"/>
      <c r="BA18" s="254"/>
    </row>
    <row r="19" spans="2:53" ht="15" customHeight="1">
      <c r="B19" s="233" t="str">
        <f>Processes!D58</f>
        <v>RHTRDFIWE1</v>
      </c>
      <c r="C19" s="233" t="str">
        <f>Processes!E58</f>
        <v>Residential Heating Technology Rural Detached - Fire wood - Existing 1</v>
      </c>
      <c r="D19" s="233" t="s">
        <v>714</v>
      </c>
      <c r="E19" s="233" t="s">
        <v>116</v>
      </c>
      <c r="F19" s="230" t="str">
        <f>Commodities!$C$23</f>
        <v>RESFIW</v>
      </c>
      <c r="G19" s="260" t="str">
        <f>Commodities!$C$40</f>
        <v>RESHRDB</v>
      </c>
      <c r="H19" s="260">
        <v>2010</v>
      </c>
      <c r="I19" s="251">
        <f t="shared" si="11"/>
        <v>188.9</v>
      </c>
      <c r="J19" s="251">
        <f t="shared" si="12"/>
        <v>4.8</v>
      </c>
      <c r="K19" s="251">
        <f t="shared" si="13"/>
        <v>15.2</v>
      </c>
      <c r="L19" s="466">
        <v>0.67</v>
      </c>
      <c r="M19" s="466">
        <v>0.67</v>
      </c>
      <c r="N19" s="466">
        <v>0.67</v>
      </c>
      <c r="O19" s="244">
        <f>31.536/1000</f>
        <v>3.1536000000000002E-2</v>
      </c>
      <c r="P19" s="462">
        <v>0.15</v>
      </c>
      <c r="Q19" s="246">
        <v>20</v>
      </c>
      <c r="R19" s="227">
        <v>1.05</v>
      </c>
      <c r="T19" s="269">
        <f t="shared" si="5"/>
        <v>1.4748963582089554</v>
      </c>
      <c r="U19" s="269"/>
      <c r="V19" s="227" t="s">
        <v>221</v>
      </c>
      <c r="W19" s="255" t="s">
        <v>197</v>
      </c>
      <c r="X19" s="247">
        <v>2010</v>
      </c>
      <c r="Y19" s="436">
        <f>_xlfn.IFNA(INDEX('Data manipulation'!$C$23:$O$40,MATCH($V19,'Data manipulation'!$B$23:$B$40,0),MATCH($X19,'Data manipulation'!$C$22:$O$22,0))/1000,0)*SUMIFS('Regional split'!$F$4:$F$6,'Regional split'!$B$4:$B$6,Y$3)*SUMIFS('Data manipulation'!$V$40:$V$43,'Data manipulation'!$X$40:$X$43,$E19,'Data manipulation'!$Y$40:$Y$43,$D19)</f>
        <v>1.2695621887997728</v>
      </c>
      <c r="Z19" s="271">
        <f>_xlfn.IFNA(INDEX('Data manipulation'!$C$23:$O$40,MATCH($V19,'Data manipulation'!$B$23:$B$40,0),MATCH($X19,'Data manipulation'!$C$22:$O$22,0))/1000,0)*SUMIFS('Regional split'!$F$4:$F$6,'Regional split'!$B$4:$B$6,Z$3)*SUMIFS('Data manipulation'!$V$40:$V$43,'Data manipulation'!$X$40:$X$43,$E19,'Data manipulation'!$Y$40:$Y$43,$D19)</f>
        <v>3.2249694154886363E-2</v>
      </c>
      <c r="AA19" s="458">
        <f>_xlfn.IFNA(INDEX('Data manipulation'!$C$23:$O$40,MATCH($V19,'Data manipulation'!$B$23:$B$40,0),MATCH($X19,'Data manipulation'!$C$22:$O$22,0))/1000,0)*SUMIFS('Regional split'!$F$4:$F$6,'Regional split'!$B$4:$B$6,AA$3)*SUMIFS('Data manipulation'!$V$40:$V$43,'Data manipulation'!$X$40:$X$43,$E19,'Data manipulation'!$Y$40:$Y$43,$D19)</f>
        <v>0.1021175170453409</v>
      </c>
      <c r="AB19" s="447">
        <f t="shared" si="6"/>
        <v>0.85060666649584782</v>
      </c>
      <c r="AC19" s="252">
        <f t="shared" si="0"/>
        <v>2.1607295083773865E-2</v>
      </c>
      <c r="AD19" s="448">
        <f t="shared" si="1"/>
        <v>6.8418736420378407E-2</v>
      </c>
      <c r="AV19" s="261"/>
      <c r="BA19" s="254"/>
    </row>
    <row r="20" spans="2:53" ht="15" customHeight="1">
      <c r="B20" s="233" t="str">
        <f>Processes!D59</f>
        <v>RHTRDSTRE1</v>
      </c>
      <c r="C20" s="233" t="str">
        <f>Processes!E59</f>
        <v>Residential Heating Technology Rural Detached - Straw - Existing 1</v>
      </c>
      <c r="D20" s="233" t="s">
        <v>714</v>
      </c>
      <c r="E20" s="233" t="s">
        <v>116</v>
      </c>
      <c r="F20" s="230" t="str">
        <f>Commodities!$C$24</f>
        <v>RESSTR</v>
      </c>
      <c r="G20" s="260" t="str">
        <f>Commodities!$C$40</f>
        <v>RESHRDB</v>
      </c>
      <c r="H20" s="260">
        <v>2010</v>
      </c>
      <c r="I20" s="251">
        <f t="shared" si="11"/>
        <v>0</v>
      </c>
      <c r="J20" s="251">
        <f t="shared" si="12"/>
        <v>0</v>
      </c>
      <c r="K20" s="251">
        <f t="shared" si="13"/>
        <v>0</v>
      </c>
      <c r="L20" s="466">
        <v>0.61</v>
      </c>
      <c r="M20" s="466">
        <v>0.61</v>
      </c>
      <c r="N20" s="466">
        <v>0.61</v>
      </c>
      <c r="O20" s="244">
        <f t="shared" si="7"/>
        <v>3.1536000000000002E-2</v>
      </c>
      <c r="P20" s="462">
        <v>0.15</v>
      </c>
      <c r="Q20" s="246">
        <v>20</v>
      </c>
      <c r="R20" s="227">
        <v>1.05</v>
      </c>
      <c r="T20" s="269">
        <f t="shared" si="5"/>
        <v>0</v>
      </c>
      <c r="U20" s="269"/>
      <c r="W20" s="255" t="s">
        <v>188</v>
      </c>
      <c r="X20" s="247">
        <v>2010</v>
      </c>
      <c r="Y20" s="436">
        <f>_xlfn.IFNA(INDEX('Data manipulation'!$C$23:$O$40,MATCH($V20,'Data manipulation'!$B$23:$B$40,0),MATCH($X20,'Data manipulation'!$C$22:$O$22,0))/1000,0)*SUMIFS('Regional split'!$F$4:$F$6,'Regional split'!$B$4:$B$6,Y$3)*SUMIFS('Data manipulation'!$V$40:$V$43,'Data manipulation'!$X$40:$X$43,$E20,'Data manipulation'!$Y$40:$Y$43,$D20)</f>
        <v>0</v>
      </c>
      <c r="Z20" s="271">
        <f>_xlfn.IFNA(INDEX('Data manipulation'!$C$23:$O$40,MATCH($V20,'Data manipulation'!$B$23:$B$40,0),MATCH($X20,'Data manipulation'!$C$22:$O$22,0))/1000,0)*SUMIFS('Regional split'!$F$4:$F$6,'Regional split'!$B$4:$B$6,Z$3)*SUMIFS('Data manipulation'!$V$40:$V$43,'Data manipulation'!$X$40:$X$43,$E20,'Data manipulation'!$Y$40:$Y$43,$D20)</f>
        <v>0</v>
      </c>
      <c r="AA20" s="458">
        <f>_xlfn.IFNA(INDEX('Data manipulation'!$C$23:$O$40,MATCH($V20,'Data manipulation'!$B$23:$B$40,0),MATCH($X20,'Data manipulation'!$C$22:$O$22,0))/1000,0)*SUMIFS('Regional split'!$F$4:$F$6,'Regional split'!$B$4:$B$6,AA$3)*SUMIFS('Data manipulation'!$V$40:$V$43,'Data manipulation'!$X$40:$X$43,$E20,'Data manipulation'!$Y$40:$Y$43,$D20)</f>
        <v>0</v>
      </c>
      <c r="AB20" s="447">
        <f t="shared" si="6"/>
        <v>0</v>
      </c>
      <c r="AC20" s="252">
        <f t="shared" si="0"/>
        <v>0</v>
      </c>
      <c r="AD20" s="448">
        <f t="shared" si="1"/>
        <v>0</v>
      </c>
      <c r="AV20" s="261"/>
      <c r="BA20" s="253"/>
    </row>
    <row r="21" spans="2:53" ht="15" customHeight="1">
      <c r="B21" s="233" t="str">
        <f>Processes!D60</f>
        <v>RHTRDSOLE1</v>
      </c>
      <c r="C21" s="233" t="str">
        <f>Processes!E60</f>
        <v>Residential Heating Technology Rural Detached - Solar - Existing 1</v>
      </c>
      <c r="D21" s="233" t="s">
        <v>714</v>
      </c>
      <c r="E21" s="233" t="s">
        <v>116</v>
      </c>
      <c r="F21" s="230" t="str">
        <f>Commodities!$C$26</f>
        <v>RESSOL</v>
      </c>
      <c r="G21" s="260" t="str">
        <f>Commodities!$C$40</f>
        <v>RESHRDB</v>
      </c>
      <c r="H21" s="260">
        <v>2010</v>
      </c>
      <c r="I21" s="251">
        <f t="shared" si="11"/>
        <v>0</v>
      </c>
      <c r="J21" s="251">
        <f t="shared" si="12"/>
        <v>0</v>
      </c>
      <c r="K21" s="251">
        <f t="shared" si="13"/>
        <v>0</v>
      </c>
      <c r="L21" s="466">
        <v>1</v>
      </c>
      <c r="M21" s="466">
        <v>1</v>
      </c>
      <c r="N21" s="466">
        <v>1</v>
      </c>
      <c r="O21" s="244">
        <f t="shared" si="7"/>
        <v>3.1536000000000002E-2</v>
      </c>
      <c r="P21" s="462">
        <v>0.15</v>
      </c>
      <c r="Q21" s="246">
        <v>20</v>
      </c>
      <c r="R21" s="227">
        <v>1.05</v>
      </c>
      <c r="T21" s="269">
        <f t="shared" si="5"/>
        <v>0</v>
      </c>
      <c r="U21" s="269"/>
      <c r="W21" s="255" t="s">
        <v>189</v>
      </c>
      <c r="X21" s="247">
        <v>2010</v>
      </c>
      <c r="Y21" s="436">
        <f>_xlfn.IFNA(INDEX('Data manipulation'!$C$23:$O$40,MATCH($V21,'Data manipulation'!$B$23:$B$40,0),MATCH($X21,'Data manipulation'!$C$22:$O$22,0))/1000,0)*SUMIFS('Regional split'!$F$4:$F$6,'Regional split'!$B$4:$B$6,Y$3)*SUMIFS('Data manipulation'!$V$40:$V$43,'Data manipulation'!$X$40:$X$43,$E21,'Data manipulation'!$Y$40:$Y$43,$D21)</f>
        <v>0</v>
      </c>
      <c r="Z21" s="271">
        <f>_xlfn.IFNA(INDEX('Data manipulation'!$C$23:$O$40,MATCH($V21,'Data manipulation'!$B$23:$B$40,0),MATCH($X21,'Data manipulation'!$C$22:$O$22,0))/1000,0)*SUMIFS('Regional split'!$F$4:$F$6,'Regional split'!$B$4:$B$6,Z$3)*SUMIFS('Data manipulation'!$V$40:$V$43,'Data manipulation'!$X$40:$X$43,$E21,'Data manipulation'!$Y$40:$Y$43,$D21)</f>
        <v>0</v>
      </c>
      <c r="AA21" s="458">
        <f>_xlfn.IFNA(INDEX('Data manipulation'!$C$23:$O$40,MATCH($V21,'Data manipulation'!$B$23:$B$40,0),MATCH($X21,'Data manipulation'!$C$22:$O$22,0))/1000,0)*SUMIFS('Regional split'!$F$4:$F$6,'Regional split'!$B$4:$B$6,AA$3)*SUMIFS('Data manipulation'!$V$40:$V$43,'Data manipulation'!$X$40:$X$43,$E21,'Data manipulation'!$Y$40:$Y$43,$D21)</f>
        <v>0</v>
      </c>
      <c r="AB21" s="447">
        <f t="shared" si="6"/>
        <v>0</v>
      </c>
      <c r="AC21" s="252">
        <f t="shared" si="0"/>
        <v>0</v>
      </c>
      <c r="AD21" s="448">
        <f t="shared" si="1"/>
        <v>0</v>
      </c>
      <c r="AV21" s="261"/>
      <c r="BA21" s="253"/>
    </row>
    <row r="22" spans="2:53" ht="15" customHeight="1">
      <c r="B22" s="233" t="str">
        <f>Processes!D61</f>
        <v>RHTRDELCHE1</v>
      </c>
      <c r="C22" s="233" t="str">
        <f>Processes!E61</f>
        <v>Residential Heating Technology Rural Detached - Electricity Heating - Existing 1</v>
      </c>
      <c r="D22" s="233" t="s">
        <v>714</v>
      </c>
      <c r="E22" s="233" t="s">
        <v>116</v>
      </c>
      <c r="F22" s="230" t="str">
        <f>Commodities!$C$27</f>
        <v>RESELCH</v>
      </c>
      <c r="G22" s="260" t="str">
        <f>Commodities!$C$40</f>
        <v>RESHRDB</v>
      </c>
      <c r="H22" s="260">
        <v>2010</v>
      </c>
      <c r="I22" s="251">
        <f t="shared" si="11"/>
        <v>0</v>
      </c>
      <c r="J22" s="251">
        <f t="shared" si="12"/>
        <v>0</v>
      </c>
      <c r="K22" s="251">
        <f t="shared" si="13"/>
        <v>0</v>
      </c>
      <c r="L22" s="466">
        <v>1</v>
      </c>
      <c r="M22" s="466">
        <v>1</v>
      </c>
      <c r="N22" s="466">
        <v>1</v>
      </c>
      <c r="O22" s="244">
        <f t="shared" si="7"/>
        <v>3.1536000000000002E-2</v>
      </c>
      <c r="P22" s="462">
        <v>0.15</v>
      </c>
      <c r="Q22" s="246">
        <v>30</v>
      </c>
      <c r="R22" s="227">
        <v>1.05</v>
      </c>
      <c r="T22" s="269">
        <f t="shared" si="5"/>
        <v>0</v>
      </c>
      <c r="U22" s="269"/>
      <c r="V22" s="227" t="str">
        <f>V12</f>
        <v>Electricity</v>
      </c>
      <c r="W22" s="255" t="s">
        <v>190</v>
      </c>
      <c r="X22" s="247">
        <v>2010</v>
      </c>
      <c r="Y22" s="436">
        <f>_xlfn.IFNA(INDEX('Data manipulation'!$C$23:$O$40,MATCH($V22,'Data manipulation'!$B$23:$B$40,0),MATCH($X22,'Data manipulation'!$C$22:$O$22,0))/1000,0)*SUMIFS('Regional split'!$F$4:$F$6,'Regional split'!$B$4:$B$6,Y$3)*SUMIFS('Data manipulation'!$V$40:$V$43,'Data manipulation'!$X$40:$X$43,$E22,'Data manipulation'!$Y$40:$Y$43,$D22)</f>
        <v>0</v>
      </c>
      <c r="Z22" s="271">
        <f>_xlfn.IFNA(INDEX('Data manipulation'!$C$23:$O$40,MATCH($V22,'Data manipulation'!$B$23:$B$40,0),MATCH($X22,'Data manipulation'!$C$22:$O$22,0))/1000,0)*SUMIFS('Regional split'!$F$4:$F$6,'Regional split'!$B$4:$B$6,Z$3)*SUMIFS('Data manipulation'!$V$40:$V$43,'Data manipulation'!$X$40:$X$43,$E22,'Data manipulation'!$Y$40:$Y$43,$D22)</f>
        <v>0</v>
      </c>
      <c r="AA22" s="458">
        <f>_xlfn.IFNA(INDEX('Data manipulation'!$C$23:$O$40,MATCH($V22,'Data manipulation'!$B$23:$B$40,0),MATCH($X22,'Data manipulation'!$C$22:$O$22,0))/1000,0)*SUMIFS('Regional split'!$F$4:$F$6,'Regional split'!$B$4:$B$6,AA$3)*SUMIFS('Data manipulation'!$V$40:$V$43,'Data manipulation'!$X$40:$X$43,$E22,'Data manipulation'!$Y$40:$Y$43,$D22)</f>
        <v>0</v>
      </c>
      <c r="AB22" s="447">
        <f t="shared" si="6"/>
        <v>0</v>
      </c>
      <c r="AC22" s="252">
        <f t="shared" si="0"/>
        <v>0</v>
      </c>
      <c r="AD22" s="448">
        <f t="shared" si="1"/>
        <v>0</v>
      </c>
      <c r="AV22" s="261"/>
      <c r="BA22" s="253"/>
    </row>
    <row r="23" spans="2:53" ht="15" customHeight="1">
      <c r="B23" s="233" t="str">
        <f>Processes!D62</f>
        <v>RHTRDELCHE2</v>
      </c>
      <c r="C23" s="233" t="str">
        <f>Processes!E62</f>
        <v>Residential Heating Technology Rural Detached - Electricity Heating - Existing 2</v>
      </c>
      <c r="D23" s="233" t="s">
        <v>714</v>
      </c>
      <c r="E23" s="233" t="s">
        <v>116</v>
      </c>
      <c r="F23" s="230" t="str">
        <f>Commodities!$C$27</f>
        <v>RESELCH</v>
      </c>
      <c r="G23" s="260" t="str">
        <f>Commodities!$C$40</f>
        <v>RESHRDB</v>
      </c>
      <c r="H23" s="260">
        <v>2010</v>
      </c>
      <c r="I23" s="251">
        <f t="shared" si="11"/>
        <v>0</v>
      </c>
      <c r="J23" s="251">
        <f t="shared" si="12"/>
        <v>0</v>
      </c>
      <c r="K23" s="251">
        <f t="shared" si="13"/>
        <v>0</v>
      </c>
      <c r="L23" s="466">
        <v>2.3149999999999999</v>
      </c>
      <c r="M23" s="466">
        <v>2.3149999999999999</v>
      </c>
      <c r="N23" s="466">
        <v>2.3149999999999999</v>
      </c>
      <c r="O23" s="244">
        <f t="shared" si="7"/>
        <v>3.1536000000000002E-2</v>
      </c>
      <c r="P23" s="462">
        <v>0.15</v>
      </c>
      <c r="Q23" s="246">
        <v>30</v>
      </c>
      <c r="R23" s="227">
        <v>1.05</v>
      </c>
      <c r="T23" s="269">
        <f t="shared" si="5"/>
        <v>0</v>
      </c>
      <c r="U23" s="269"/>
      <c r="W23" s="255" t="s">
        <v>191</v>
      </c>
      <c r="X23" s="247">
        <v>2010</v>
      </c>
      <c r="Y23" s="436">
        <f>_xlfn.IFNA(INDEX('Data manipulation'!$C$23:$O$40,MATCH($V23,'Data manipulation'!$B$23:$B$40,0),MATCH($X23,'Data manipulation'!$C$22:$O$22,0))/1000,0)*SUMIFS('Regional split'!$F$4:$F$6,'Regional split'!$B$4:$B$6,Y$3)*SUMIFS('Data manipulation'!$V$40:$V$43,'Data manipulation'!$X$40:$X$43,$E23,'Data manipulation'!$Y$40:$Y$43,$D23)</f>
        <v>0</v>
      </c>
      <c r="Z23" s="271">
        <f>_xlfn.IFNA(INDEX('Data manipulation'!$C$23:$O$40,MATCH($V23,'Data manipulation'!$B$23:$B$40,0),MATCH($X23,'Data manipulation'!$C$22:$O$22,0))/1000,0)*SUMIFS('Regional split'!$F$4:$F$6,'Regional split'!$B$4:$B$6,Z$3)*SUMIFS('Data manipulation'!$V$40:$V$43,'Data manipulation'!$X$40:$X$43,$E23,'Data manipulation'!$Y$40:$Y$43,$D23)</f>
        <v>0</v>
      </c>
      <c r="AA23" s="458">
        <f>_xlfn.IFNA(INDEX('Data manipulation'!$C$23:$O$40,MATCH($V23,'Data manipulation'!$B$23:$B$40,0),MATCH($X23,'Data manipulation'!$C$22:$O$22,0))/1000,0)*SUMIFS('Regional split'!$F$4:$F$6,'Regional split'!$B$4:$B$6,AA$3)*SUMIFS('Data manipulation'!$V$40:$V$43,'Data manipulation'!$X$40:$X$43,$E23,'Data manipulation'!$Y$40:$Y$43,$D23)</f>
        <v>0</v>
      </c>
      <c r="AB23" s="447">
        <f t="shared" si="6"/>
        <v>0</v>
      </c>
      <c r="AC23" s="252">
        <f t="shared" si="0"/>
        <v>0</v>
      </c>
      <c r="AD23" s="448">
        <f t="shared" si="1"/>
        <v>0</v>
      </c>
      <c r="AV23" s="261"/>
      <c r="BA23" s="253"/>
    </row>
    <row r="24" spans="2:53" ht="15" customHeight="1">
      <c r="B24" s="233" t="str">
        <f>Processes!D63</f>
        <v>RHTRDHCEE1</v>
      </c>
      <c r="C24" s="233" t="str">
        <f>Processes!E63</f>
        <v>Residential Heating Technology Rural Detached - District heating Central - Existing 1</v>
      </c>
      <c r="D24" s="233" t="s">
        <v>714</v>
      </c>
      <c r="E24" s="233" t="s">
        <v>116</v>
      </c>
      <c r="F24" s="230" t="str">
        <f>Commodities!$C$32</f>
        <v>RESHDE</v>
      </c>
      <c r="G24" s="262" t="str">
        <f>Commodities!$C$36</f>
        <v>RESHRDX</v>
      </c>
      <c r="H24" s="262">
        <v>2010</v>
      </c>
      <c r="I24" s="583">
        <v>0</v>
      </c>
      <c r="J24" s="583">
        <v>0</v>
      </c>
      <c r="K24" s="583">
        <v>0</v>
      </c>
      <c r="L24" s="466">
        <v>0.98</v>
      </c>
      <c r="M24" s="466">
        <v>0.98</v>
      </c>
      <c r="N24" s="466">
        <v>0.98</v>
      </c>
      <c r="O24" s="244">
        <f t="shared" si="7"/>
        <v>3.1536000000000002E-2</v>
      </c>
      <c r="P24" s="462">
        <v>0.15</v>
      </c>
      <c r="Q24" s="246">
        <v>30</v>
      </c>
      <c r="R24" s="227">
        <v>1.05</v>
      </c>
      <c r="T24" s="269">
        <f t="shared" si="5"/>
        <v>0</v>
      </c>
      <c r="U24" s="269"/>
      <c r="V24" s="227" t="s">
        <v>220</v>
      </c>
      <c r="W24" s="255" t="s">
        <v>192</v>
      </c>
      <c r="X24" s="247">
        <v>2010</v>
      </c>
      <c r="Y24" s="436">
        <f>_xlfn.IFNA(INDEX('Data manipulation'!$C$23:$O$40,MATCH($V24,'Data manipulation'!$B$23:$B$40,0),MATCH($X24,'Data manipulation'!$C$22:$O$22,0))/1000,0)*SUMIFS('Regional split'!$F$4:$F$6,'Regional split'!$B$4:$B$6,Y$3)*SUMIFS('Data manipulation'!$V$40:$V$43,'Data manipulation'!$X$40:$X$43,$E24,'Data manipulation'!$Y$40:$Y$43,$D24)</f>
        <v>0.57162398150727267</v>
      </c>
      <c r="Z24" s="271">
        <f>_xlfn.IFNA(INDEX('Data manipulation'!$C$23:$O$40,MATCH($V24,'Data manipulation'!$B$23:$B$40,0),MATCH($X24,'Data manipulation'!$C$22:$O$22,0))/1000,0)*SUMIFS('Regional split'!$F$4:$F$6,'Regional split'!$B$4:$B$6,Z$3)*SUMIFS('Data manipulation'!$V$40:$V$43,'Data manipulation'!$X$40:$X$43,$E24,'Data manipulation'!$Y$40:$Y$43,$D24)</f>
        <v>1.4520516393636364E-2</v>
      </c>
      <c r="AA24" s="458">
        <f>_xlfn.IFNA(INDEX('Data manipulation'!$C$23:$O$40,MATCH($V24,'Data manipulation'!$B$23:$B$40,0),MATCH($X24,'Data manipulation'!$C$22:$O$22,0))/1000,0)*SUMIFS('Regional split'!$F$4:$F$6,'Regional split'!$B$4:$B$6,AA$3)*SUMIFS('Data manipulation'!$V$40:$V$43,'Data manipulation'!$X$40:$X$43,$E24,'Data manipulation'!$Y$40:$Y$43,$D24)</f>
        <v>4.5978702099090912E-2</v>
      </c>
      <c r="AB24" s="447">
        <f t="shared" si="6"/>
        <v>0.56019150187712718</v>
      </c>
      <c r="AC24" s="252">
        <f t="shared" si="0"/>
        <v>1.4230106065763637E-2</v>
      </c>
      <c r="AD24" s="448">
        <f t="shared" si="1"/>
        <v>4.5059128057109092E-2</v>
      </c>
      <c r="AV24" s="261"/>
      <c r="BA24" s="254"/>
    </row>
    <row r="25" spans="2:53" ht="15" customHeight="1" thickBot="1">
      <c r="B25" s="567" t="str">
        <f>Processes!D64</f>
        <v>RHTRDLPGE1</v>
      </c>
      <c r="C25" s="425" t="str">
        <f>Processes!E64</f>
        <v>Residential Heating Technology Rural Detached - LPG - Existing 1</v>
      </c>
      <c r="D25" s="547" t="s">
        <v>714</v>
      </c>
      <c r="E25" s="547" t="s">
        <v>116</v>
      </c>
      <c r="F25" s="548" t="str">
        <f>F15</f>
        <v>RESLPG</v>
      </c>
      <c r="G25" s="426" t="str">
        <f>G23</f>
        <v>RESHRDB</v>
      </c>
      <c r="H25" s="426">
        <v>2010</v>
      </c>
      <c r="I25" s="298">
        <f t="shared" ref="I25" si="14">ROUNDUP(AB25/($O25*$P25)*$R25,1)</f>
        <v>161.69999999999999</v>
      </c>
      <c r="J25" s="298">
        <f t="shared" ref="J25" si="15">ROUNDUP(AC25/($O25*$P25)*$R25,1)</f>
        <v>4.1999999999999993</v>
      </c>
      <c r="K25" s="298">
        <f t="shared" ref="K25" si="16">ROUNDUP(AD25/($O25*$P25)*$R25,1)</f>
        <v>13.1</v>
      </c>
      <c r="L25" s="468">
        <v>0.98</v>
      </c>
      <c r="M25" s="468">
        <v>0.98</v>
      </c>
      <c r="N25" s="468">
        <v>0.98</v>
      </c>
      <c r="O25" s="427">
        <f t="shared" si="7"/>
        <v>3.1536000000000002E-2</v>
      </c>
      <c r="P25" s="464">
        <v>0.15</v>
      </c>
      <c r="Q25" s="428">
        <v>30</v>
      </c>
      <c r="R25" s="227">
        <v>1.05</v>
      </c>
      <c r="T25" s="269">
        <f t="shared" si="5"/>
        <v>0.8640220408163265</v>
      </c>
      <c r="U25" s="269"/>
      <c r="V25" s="425" t="s">
        <v>210</v>
      </c>
      <c r="W25" s="429" t="s">
        <v>769</v>
      </c>
      <c r="X25" s="429">
        <v>2010</v>
      </c>
      <c r="Y25" s="438">
        <f>_xlfn.IFNA(INDEX('Data manipulation'!$C$23:$O$40,MATCH($V25,'Data manipulation'!$B$23:$B$40,0),MATCH($X25,'Data manipulation'!$C$22:$O$22,0))/1000,0)*SUMIFS('Regional split'!$F$4:$F$6,'Regional split'!$B$4:$B$6,Y$3)*SUMIFS('Data manipulation'!$V$40:$V$43,'Data manipulation'!$X$40:$X$43,$E25,'Data manipulation'!$Y$40:$Y$43,$D25)</f>
        <v>0.74316537018173867</v>
      </c>
      <c r="Z25" s="430">
        <f>_xlfn.IFNA(INDEX('Data manipulation'!$C$23:$O$40,MATCH($V25,'Data manipulation'!$B$23:$B$40,0),MATCH($X25,'Data manipulation'!$C$22:$O$22,0))/1000,0)*SUMIFS('Regional split'!$F$4:$F$6,'Regional split'!$B$4:$B$6,Z$3)*SUMIFS('Data manipulation'!$V$40:$V$43,'Data manipulation'!$X$40:$X$43,$E25,'Data manipulation'!$Y$40:$Y$43,$D25)</f>
        <v>1.8878047965119316E-2</v>
      </c>
      <c r="AA25" s="460">
        <f>_xlfn.IFNA(INDEX('Data manipulation'!$C$23:$O$40,MATCH($V25,'Data manipulation'!$B$23:$B$40,0),MATCH($X25,'Data manipulation'!$C$22:$O$22,0))/1000,0)*SUMIFS('Regional split'!$F$4:$F$6,'Regional split'!$B$4:$B$6,AA$3)*SUMIFS('Data manipulation'!$V$40:$V$43,'Data manipulation'!$X$40:$X$43,$E25,'Data manipulation'!$Y$40:$Y$43,$D25)</f>
        <v>5.9776671853142047E-2</v>
      </c>
      <c r="AB25" s="452">
        <f t="shared" si="6"/>
        <v>0.72830206277810383</v>
      </c>
      <c r="AC25" s="431">
        <f t="shared" si="0"/>
        <v>1.850048700581693E-2</v>
      </c>
      <c r="AD25" s="453">
        <f t="shared" si="1"/>
        <v>5.8581138416079204E-2</v>
      </c>
      <c r="AV25" s="261"/>
      <c r="BA25" s="253"/>
    </row>
    <row r="26" spans="2:53" ht="15" customHeight="1">
      <c r="B26" s="227" t="str">
        <f>Processes!D65</f>
        <v>RHTUMNGAE1</v>
      </c>
      <c r="C26" s="227" t="str">
        <f>Processes!E65</f>
        <v>Residential Heating Technology Urban Multi - Natural Gas - Existing 1</v>
      </c>
      <c r="D26" s="227" t="s">
        <v>713</v>
      </c>
      <c r="E26" s="227" t="s">
        <v>757</v>
      </c>
      <c r="F26" s="230" t="str">
        <f>Commodities!$C$18&amp;","&amp;Commodities!$C$33</f>
        <v>RESNGA,RESSNG</v>
      </c>
      <c r="G26" s="230" t="str">
        <f>Commodities!$C$41</f>
        <v>RESHUMB</v>
      </c>
      <c r="H26" s="230">
        <v>2010</v>
      </c>
      <c r="I26" s="251">
        <f>ROUNDUP(AB26/($O26*$P26)*$R26,1)</f>
        <v>3002.2999999999997</v>
      </c>
      <c r="J26" s="251">
        <f>ROUNDUP(AC26/($O26*$P26)*$R26,1)</f>
        <v>76.3</v>
      </c>
      <c r="K26" s="251">
        <f>ROUNDUP(AD26/($O26*$P26)*$R26,1)</f>
        <v>241.5</v>
      </c>
      <c r="L26" s="465">
        <v>0.72</v>
      </c>
      <c r="M26" s="465">
        <v>0.72</v>
      </c>
      <c r="N26" s="465">
        <v>0.72</v>
      </c>
      <c r="O26" s="244">
        <f>31.536/1000</f>
        <v>3.1536000000000002E-2</v>
      </c>
      <c r="P26" s="462">
        <v>0.15</v>
      </c>
      <c r="Q26" s="246">
        <v>22</v>
      </c>
      <c r="R26" s="227">
        <v>1.05</v>
      </c>
      <c r="T26" s="269">
        <f t="shared" si="5"/>
        <v>21.813056999999997</v>
      </c>
      <c r="U26" s="269"/>
      <c r="V26" s="227" t="str">
        <f>V16</f>
        <v>Natural gas</v>
      </c>
      <c r="W26" s="247" t="s">
        <v>187</v>
      </c>
      <c r="X26" s="247">
        <v>2010</v>
      </c>
      <c r="Y26" s="439">
        <f>_xlfn.IFNA(INDEX('Data manipulation'!$C$23:$O$40,MATCH($V26,'Data manipulation'!$B$23:$B$40,0),MATCH($X26,'Data manipulation'!$C$22:$O$22,0))/1000,0)*SUMIFS('Regional split'!$F$4:$F$6,'Regional split'!$B$4:$B$6,Y$3)*SUMIFS('Data manipulation'!$V$40:$V$43,'Data manipulation'!$X$40:$X$43,$E26,'Data manipulation'!$Y$40:$Y$43,$D26)</f>
        <v>18.785325130235996</v>
      </c>
      <c r="Z26" s="271">
        <f>_xlfn.IFNA(INDEX('Data manipulation'!$C$23:$O$40,MATCH($V26,'Data manipulation'!$B$23:$B$40,0),MATCH($X26,'Data manipulation'!$C$22:$O$22,0))/1000,0)*SUMIFS('Regional split'!$F$4:$F$6,'Regional split'!$B$4:$B$6,Z$3)*SUMIFS('Data manipulation'!$V$40:$V$43,'Data manipulation'!$X$40:$X$43,$E26,'Data manipulation'!$Y$40:$Y$43,$D26)</f>
        <v>0.47718890448599999</v>
      </c>
      <c r="AA26" s="457">
        <f>_xlfn.IFNA(INDEX('Data manipulation'!$C$23:$O$40,MATCH($V26,'Data manipulation'!$B$23:$B$40,0),MATCH($X26,'Data manipulation'!$C$22:$O$22,0))/1000,0)*SUMIFS('Regional split'!$F$4:$F$6,'Regional split'!$B$4:$B$6,AA$3)*SUMIFS('Data manipulation'!$V$40:$V$43,'Data manipulation'!$X$40:$X$43,$E26,'Data manipulation'!$Y$40:$Y$43,$D26)</f>
        <v>1.5110018052779999</v>
      </c>
      <c r="AB26" s="445">
        <f t="shared" ref="AB26:AB45" si="17">Y26*L26</f>
        <v>13.525434093769917</v>
      </c>
      <c r="AC26" s="277">
        <f t="shared" ref="AC26:AC45" si="18">Z26*M26</f>
        <v>0.34357601122991999</v>
      </c>
      <c r="AD26" s="446">
        <f t="shared" ref="AD26:AD45" si="19">AA26*N26</f>
        <v>1.0879212998001599</v>
      </c>
      <c r="AG26" s="248"/>
      <c r="AH26" s="237"/>
      <c r="AI26" s="249"/>
      <c r="AJ26" s="250"/>
      <c r="AK26" s="250"/>
      <c r="AL26" s="237"/>
    </row>
    <row r="27" spans="2:53" ht="15" customHeight="1">
      <c r="B27" s="227" t="str">
        <f>Processes!D66</f>
        <v>RHTUMDSLE1</v>
      </c>
      <c r="C27" s="227" t="str">
        <f>Processes!E66</f>
        <v>Residential Heating Technology Urban Multi - Diesel - Existing 1</v>
      </c>
      <c r="D27" s="227" t="s">
        <v>713</v>
      </c>
      <c r="E27" s="227" t="s">
        <v>757</v>
      </c>
      <c r="F27" s="230" t="str">
        <f>Commodities!$C$20&amp;","&amp;Commodities!$C$34</f>
        <v>RESDSL,RESDSB</v>
      </c>
      <c r="G27" s="230" t="str">
        <f>Commodities!$C$41</f>
        <v>RESHUMB</v>
      </c>
      <c r="H27" s="230">
        <v>2010</v>
      </c>
      <c r="I27" s="251">
        <f t="shared" ref="I27:I33" si="20">ROUNDUP(AB27/($O27*$P27)*$R27,1)</f>
        <v>2.5</v>
      </c>
      <c r="J27" s="251">
        <f t="shared" ref="J27:J33" si="21">ROUNDUP(AC27/($O27*$P27)*$R27,1)</f>
        <v>0.1</v>
      </c>
      <c r="K27" s="251">
        <f t="shared" ref="K27:K33" si="22">ROUNDUP(AD27/($O27*$P27)*$R27,1)</f>
        <v>0.2</v>
      </c>
      <c r="L27" s="466">
        <v>0.71</v>
      </c>
      <c r="M27" s="466">
        <v>0.71</v>
      </c>
      <c r="N27" s="466">
        <v>0.71</v>
      </c>
      <c r="O27" s="244">
        <f>31.536/1000</f>
        <v>3.1536000000000002E-2</v>
      </c>
      <c r="P27" s="462">
        <v>0.15</v>
      </c>
      <c r="Q27" s="246">
        <v>20</v>
      </c>
      <c r="R27" s="227">
        <v>1.05</v>
      </c>
      <c r="T27" s="269">
        <f t="shared" si="5"/>
        <v>1.8655098591549298E-2</v>
      </c>
      <c r="V27" s="227" t="str">
        <f>V17</f>
        <v>Other kerosene</v>
      </c>
      <c r="W27" s="255" t="s">
        <v>728</v>
      </c>
      <c r="X27" s="247">
        <v>2010</v>
      </c>
      <c r="Y27" s="436">
        <f>_xlfn.IFNA(INDEX('Data manipulation'!$C$23:$O$40,MATCH($V27,'Data manipulation'!$B$23:$B$40,0),MATCH($X27,'Data manipulation'!$C$22:$O$22,0))/1000,0)*SUMIFS('Regional split'!$F$4:$F$6,'Regional split'!$B$4:$B$6,Y$3)*SUMIFS('Data manipulation'!$V$40:$V$43,'Data manipulation'!$X$40:$X$43,$E27,'Data manipulation'!$Y$40:$Y$43,$D27)</f>
        <v>1.5422158259999997E-2</v>
      </c>
      <c r="Z27" s="271">
        <f>_xlfn.IFNA(INDEX('Data manipulation'!$C$23:$O$40,MATCH($V27,'Data manipulation'!$B$23:$B$40,0),MATCH($X27,'Data manipulation'!$C$22:$O$22,0))/1000,0)*SUMIFS('Regional split'!$F$4:$F$6,'Regional split'!$B$4:$B$6,Z$3)*SUMIFS('Data manipulation'!$V$40:$V$43,'Data manipulation'!$X$40:$X$43,$E27,'Data manipulation'!$Y$40:$Y$43,$D27)</f>
        <v>3.9175700999999997E-4</v>
      </c>
      <c r="AA27" s="458">
        <f>_xlfn.IFNA(INDEX('Data manipulation'!$C$23:$O$40,MATCH($V27,'Data manipulation'!$B$23:$B$40,0),MATCH($X27,'Data manipulation'!$C$22:$O$22,0))/1000,0)*SUMIFS('Regional split'!$F$4:$F$6,'Regional split'!$B$4:$B$6,AA$3)*SUMIFS('Data manipulation'!$V$40:$V$43,'Data manipulation'!$X$40:$X$43,$E27,'Data manipulation'!$Y$40:$Y$43,$D27)</f>
        <v>1.2404847299999999E-3</v>
      </c>
      <c r="AB27" s="447">
        <f t="shared" si="17"/>
        <v>1.0949732364599998E-2</v>
      </c>
      <c r="AC27" s="252">
        <f t="shared" si="18"/>
        <v>2.7814747709999999E-4</v>
      </c>
      <c r="AD27" s="448">
        <f t="shared" si="19"/>
        <v>8.8074415829999988E-4</v>
      </c>
      <c r="AG27" s="248"/>
      <c r="AH27" s="237"/>
      <c r="AI27" s="249"/>
      <c r="AJ27" s="250"/>
      <c r="AK27" s="250"/>
      <c r="AL27" s="237"/>
      <c r="BA27" s="253"/>
    </row>
    <row r="28" spans="2:53" ht="15" customHeight="1">
      <c r="B28" s="227" t="str">
        <f>Processes!D67</f>
        <v>RHTUMWPEE1</v>
      </c>
      <c r="C28" s="227" t="str">
        <f>Processes!E67</f>
        <v>Residential Heating Technology Urban Multi - Wood pellets - Existing 1</v>
      </c>
      <c r="D28" s="227" t="s">
        <v>713</v>
      </c>
      <c r="E28" s="227" t="s">
        <v>757</v>
      </c>
      <c r="F28" s="230" t="str">
        <f>Commodities!$C$22</f>
        <v>RESWPE</v>
      </c>
      <c r="G28" s="230" t="str">
        <f>Commodities!$C$41</f>
        <v>RESHUMB</v>
      </c>
      <c r="H28" s="230">
        <v>2010</v>
      </c>
      <c r="I28" s="251">
        <f t="shared" si="20"/>
        <v>17.100000000000001</v>
      </c>
      <c r="J28" s="251">
        <f t="shared" si="21"/>
        <v>0.5</v>
      </c>
      <c r="K28" s="251">
        <f t="shared" si="22"/>
        <v>1.4000000000000001</v>
      </c>
      <c r="L28" s="466">
        <v>0.61</v>
      </c>
      <c r="M28" s="466">
        <v>0.61</v>
      </c>
      <c r="N28" s="466">
        <v>0.61</v>
      </c>
      <c r="O28" s="244">
        <f t="shared" ref="O28:O45" si="23">31.536/1000</f>
        <v>3.1536000000000002E-2</v>
      </c>
      <c r="P28" s="462">
        <v>0.15</v>
      </c>
      <c r="Q28" s="246">
        <v>20</v>
      </c>
      <c r="R28" s="227">
        <v>1.05</v>
      </c>
      <c r="T28" s="269">
        <f t="shared" si="5"/>
        <v>0.14734032786885246</v>
      </c>
      <c r="U28" s="269"/>
      <c r="V28" s="227" t="str">
        <f>V18</f>
        <v>Diesel fuel</v>
      </c>
      <c r="W28" s="255" t="s">
        <v>728</v>
      </c>
      <c r="X28" s="247">
        <v>2010</v>
      </c>
      <c r="Y28" s="436">
        <f>_xlfn.IFNA(INDEX('Data manipulation'!$C$23:$O$40,MATCH($V28,'Data manipulation'!$B$23:$B$40,0),MATCH($X28,'Data manipulation'!$C$22:$O$22,0))/1000,0)*SUMIFS('Regional split'!$F$4:$F$6,'Regional split'!$B$4:$B$6,Y$3)*SUMIFS('Data manipulation'!$V$40:$V$43,'Data manipulation'!$X$40:$X$43,$E28,'Data manipulation'!$Y$40:$Y$43,$D28)</f>
        <v>0.12626593658999999</v>
      </c>
      <c r="Z28" s="271">
        <f>_xlfn.IFNA(INDEX('Data manipulation'!$C$23:$O$40,MATCH($V28,'Data manipulation'!$B$23:$B$40,0),MATCH($X28,'Data manipulation'!$C$22:$O$22,0))/1000,0)*SUMIFS('Regional split'!$F$4:$F$6,'Regional split'!$B$4:$B$6,Z$3)*SUMIFS('Data manipulation'!$V$40:$V$43,'Data manipulation'!$X$40:$X$43,$E28,'Data manipulation'!$Y$40:$Y$43,$D28)</f>
        <v>3.2074347149999996E-3</v>
      </c>
      <c r="AA28" s="458">
        <f>_xlfn.IFNA(INDEX('Data manipulation'!$C$23:$O$40,MATCH($V28,'Data manipulation'!$B$23:$B$40,0),MATCH($X28,'Data manipulation'!$C$22:$O$22,0))/1000,0)*SUMIFS('Regional split'!$F$4:$F$6,'Regional split'!$B$4:$B$6,AA$3)*SUMIFS('Data manipulation'!$V$40:$V$43,'Data manipulation'!$X$40:$X$43,$E28,'Data manipulation'!$Y$40:$Y$43,$D28)</f>
        <v>1.0156228695E-2</v>
      </c>
      <c r="AB28" s="447">
        <f t="shared" si="17"/>
        <v>7.7022221319899997E-2</v>
      </c>
      <c r="AC28" s="252">
        <f t="shared" si="18"/>
        <v>1.9565351761499997E-3</v>
      </c>
      <c r="AD28" s="448">
        <f t="shared" si="19"/>
        <v>6.1952995039500003E-3</v>
      </c>
      <c r="BA28" s="254"/>
    </row>
    <row r="29" spans="2:53" ht="15" customHeight="1">
      <c r="B29" s="227" t="str">
        <f>Processes!D68</f>
        <v>RHTUMFIWE1</v>
      </c>
      <c r="C29" s="227" t="str">
        <f>Processes!E68</f>
        <v>Residential Heating Technology Urban Multi - Fire wood - Existing 1</v>
      </c>
      <c r="D29" s="227" t="s">
        <v>713</v>
      </c>
      <c r="E29" s="227" t="s">
        <v>757</v>
      </c>
      <c r="F29" s="230" t="str">
        <f>Commodities!$C$23</f>
        <v>RESFIW</v>
      </c>
      <c r="G29" s="230" t="str">
        <f>Commodities!$C$41</f>
        <v>RESHUMB</v>
      </c>
      <c r="H29" s="230">
        <v>2010</v>
      </c>
      <c r="I29" s="251">
        <f t="shared" si="20"/>
        <v>104.89999999999999</v>
      </c>
      <c r="J29" s="251">
        <f t="shared" si="21"/>
        <v>2.7</v>
      </c>
      <c r="K29" s="251">
        <f t="shared" si="22"/>
        <v>8.5</v>
      </c>
      <c r="L29" s="466">
        <v>0.65000022993955098</v>
      </c>
      <c r="M29" s="466">
        <v>0.65000022993955098</v>
      </c>
      <c r="N29" s="466">
        <v>0.65000022993955098</v>
      </c>
      <c r="O29" s="244">
        <f t="shared" si="23"/>
        <v>3.1536000000000002E-2</v>
      </c>
      <c r="P29" s="462">
        <v>0.15</v>
      </c>
      <c r="Q29" s="246">
        <v>20</v>
      </c>
      <c r="R29" s="227">
        <v>1.05</v>
      </c>
      <c r="T29" s="269">
        <f t="shared" si="5"/>
        <v>0.84492191649082138</v>
      </c>
      <c r="U29" s="269"/>
      <c r="V29" s="227" t="str">
        <f>V19</f>
        <v>Wood</v>
      </c>
      <c r="W29" s="255" t="s">
        <v>197</v>
      </c>
      <c r="X29" s="247">
        <v>2010</v>
      </c>
      <c r="Y29" s="436">
        <f>_xlfn.IFNA(INDEX('Data manipulation'!$C$23:$O$40,MATCH($V29,'Data manipulation'!$B$23:$B$40,0),MATCH($X29,'Data manipulation'!$C$22:$O$22,0))/1000,0)*SUMIFS('Regional split'!$F$4:$F$6,'Regional split'!$B$4:$B$6,Y$3)*SUMIFS('Data manipulation'!$V$40:$V$43,'Data manipulation'!$X$40:$X$43,$E29,'Data manipulation'!$Y$40:$Y$43,$D29)</f>
        <v>0.72703778273999997</v>
      </c>
      <c r="Z29" s="271">
        <f>_xlfn.IFNA(INDEX('Data manipulation'!$C$23:$O$40,MATCH($V29,'Data manipulation'!$B$23:$B$40,0),MATCH($X29,'Data manipulation'!$C$22:$O$22,0))/1000,0)*SUMIFS('Regional split'!$F$4:$F$6,'Regional split'!$B$4:$B$6,Z$3)*SUMIFS('Data manipulation'!$V$40:$V$43,'Data manipulation'!$X$40:$X$43,$E29,'Data manipulation'!$Y$40:$Y$43,$D29)</f>
        <v>1.846837149E-2</v>
      </c>
      <c r="AA29" s="458">
        <f>_xlfn.IFNA(INDEX('Data manipulation'!$C$23:$O$40,MATCH($V29,'Data manipulation'!$B$23:$B$40,0),MATCH($X29,'Data manipulation'!$C$22:$O$22,0))/1000,0)*SUMIFS('Regional split'!$F$4:$F$6,'Regional split'!$B$4:$B$6,AA$3)*SUMIFS('Data manipulation'!$V$40:$V$43,'Data manipulation'!$X$40:$X$43,$E29,'Data manipulation'!$Y$40:$Y$43,$D29)</f>
        <v>5.8479445769999999E-2</v>
      </c>
      <c r="AB29" s="447">
        <f t="shared" si="17"/>
        <v>0.47257472595574129</v>
      </c>
      <c r="AC29" s="252">
        <f t="shared" si="18"/>
        <v>1.2004445715109047E-2</v>
      </c>
      <c r="AD29" s="448">
        <f t="shared" si="19"/>
        <v>3.8011653197237504E-2</v>
      </c>
      <c r="BA29" s="253"/>
    </row>
    <row r="30" spans="2:53" ht="15" customHeight="1">
      <c r="B30" s="233" t="str">
        <f>Processes!D69</f>
        <v>RHTUMSTRE1</v>
      </c>
      <c r="C30" s="233" t="str">
        <f>Processes!E69</f>
        <v>Residential Heating Technology Urban Multi - Straw - Existing 1</v>
      </c>
      <c r="D30" s="233" t="s">
        <v>713</v>
      </c>
      <c r="E30" s="233" t="s">
        <v>757</v>
      </c>
      <c r="F30" s="230" t="str">
        <f>Commodities!$C$24</f>
        <v>RESSTR</v>
      </c>
      <c r="G30" s="230" t="str">
        <f>Commodities!$C$41</f>
        <v>RESHUMB</v>
      </c>
      <c r="H30" s="230">
        <v>2010</v>
      </c>
      <c r="I30" s="251">
        <f t="shared" si="20"/>
        <v>0</v>
      </c>
      <c r="J30" s="251">
        <f t="shared" si="21"/>
        <v>0</v>
      </c>
      <c r="K30" s="251">
        <f t="shared" si="22"/>
        <v>0</v>
      </c>
      <c r="L30" s="466">
        <v>0.61</v>
      </c>
      <c r="M30" s="466">
        <v>0.61</v>
      </c>
      <c r="N30" s="466">
        <v>0.61</v>
      </c>
      <c r="O30" s="244">
        <f t="shared" si="23"/>
        <v>3.1536000000000002E-2</v>
      </c>
      <c r="P30" s="462">
        <v>0.15</v>
      </c>
      <c r="Q30" s="246">
        <v>20</v>
      </c>
      <c r="R30" s="227">
        <v>1.05</v>
      </c>
      <c r="T30" s="269">
        <f t="shared" si="5"/>
        <v>0</v>
      </c>
      <c r="U30" s="269"/>
      <c r="W30" s="255" t="s">
        <v>188</v>
      </c>
      <c r="X30" s="247">
        <v>2010</v>
      </c>
      <c r="Y30" s="436">
        <f>_xlfn.IFNA(INDEX('Data manipulation'!$C$23:$O$40,MATCH($V30,'Data manipulation'!$B$23:$B$40,0),MATCH($X30,'Data manipulation'!$C$22:$O$22,0))/1000,0)*SUMIFS('Regional split'!$F$4:$F$6,'Regional split'!$B$4:$B$6,Y$3)*SUMIFS('Data manipulation'!$V$40:$V$43,'Data manipulation'!$X$40:$X$43,$E30,'Data manipulation'!$Y$40:$Y$43,$D30)</f>
        <v>0</v>
      </c>
      <c r="Z30" s="271">
        <f>_xlfn.IFNA(INDEX('Data manipulation'!$C$23:$O$40,MATCH($V30,'Data manipulation'!$B$23:$B$40,0),MATCH($X30,'Data manipulation'!$C$22:$O$22,0))/1000,0)*SUMIFS('Regional split'!$F$4:$F$6,'Regional split'!$B$4:$B$6,Z$3)*SUMIFS('Data manipulation'!$V$40:$V$43,'Data manipulation'!$X$40:$X$43,$E30,'Data manipulation'!$Y$40:$Y$43,$D30)</f>
        <v>0</v>
      </c>
      <c r="AA30" s="458">
        <f>_xlfn.IFNA(INDEX('Data manipulation'!$C$23:$O$40,MATCH($V30,'Data manipulation'!$B$23:$B$40,0),MATCH($X30,'Data manipulation'!$C$22:$O$22,0))/1000,0)*SUMIFS('Regional split'!$F$4:$F$6,'Regional split'!$B$4:$B$6,AA$3)*SUMIFS('Data manipulation'!$V$40:$V$43,'Data manipulation'!$X$40:$X$43,$E30,'Data manipulation'!$Y$40:$Y$43,$D30)</f>
        <v>0</v>
      </c>
      <c r="AB30" s="447">
        <f t="shared" si="17"/>
        <v>0</v>
      </c>
      <c r="AC30" s="252">
        <f t="shared" si="18"/>
        <v>0</v>
      </c>
      <c r="AD30" s="448">
        <f t="shared" si="19"/>
        <v>0</v>
      </c>
      <c r="BA30" s="253"/>
    </row>
    <row r="31" spans="2:53" ht="15" customHeight="1">
      <c r="B31" s="233" t="str">
        <f>Processes!D70</f>
        <v>RHTUMSOLE1</v>
      </c>
      <c r="C31" s="233" t="str">
        <f>Processes!E70</f>
        <v>Residential Heating Technology Urban Multi - Solar - Existing 1</v>
      </c>
      <c r="D31" s="233" t="s">
        <v>713</v>
      </c>
      <c r="E31" s="233" t="s">
        <v>757</v>
      </c>
      <c r="F31" s="230" t="str">
        <f>Commodities!$C$26</f>
        <v>RESSOL</v>
      </c>
      <c r="G31" s="230" t="str">
        <f>Commodities!$C$41</f>
        <v>RESHUMB</v>
      </c>
      <c r="H31" s="230">
        <v>2010</v>
      </c>
      <c r="I31" s="251">
        <f t="shared" si="20"/>
        <v>0</v>
      </c>
      <c r="J31" s="251">
        <f t="shared" si="21"/>
        <v>0</v>
      </c>
      <c r="K31" s="251">
        <f t="shared" si="22"/>
        <v>0</v>
      </c>
      <c r="L31" s="466">
        <v>1</v>
      </c>
      <c r="M31" s="466">
        <v>1</v>
      </c>
      <c r="N31" s="466">
        <v>1</v>
      </c>
      <c r="O31" s="244">
        <f t="shared" si="23"/>
        <v>3.1536000000000002E-2</v>
      </c>
      <c r="P31" s="462">
        <v>0.15</v>
      </c>
      <c r="Q31" s="246">
        <v>20</v>
      </c>
      <c r="R31" s="227">
        <v>1.05</v>
      </c>
      <c r="T31" s="269">
        <f t="shared" si="5"/>
        <v>0</v>
      </c>
      <c r="U31" s="269"/>
      <c r="W31" s="255" t="s">
        <v>189</v>
      </c>
      <c r="X31" s="247">
        <v>2010</v>
      </c>
      <c r="Y31" s="436">
        <f>_xlfn.IFNA(INDEX('Data manipulation'!$C$23:$O$40,MATCH($V31,'Data manipulation'!$B$23:$B$40,0),MATCH($X31,'Data manipulation'!$C$22:$O$22,0))/1000,0)*SUMIFS('Regional split'!$F$4:$F$6,'Regional split'!$B$4:$B$6,Y$3)*SUMIFS('Data manipulation'!$V$40:$V$43,'Data manipulation'!$X$40:$X$43,$E31,'Data manipulation'!$Y$40:$Y$43,$D31)</f>
        <v>0</v>
      </c>
      <c r="Z31" s="271">
        <f>_xlfn.IFNA(INDEX('Data manipulation'!$C$23:$O$40,MATCH($V31,'Data manipulation'!$B$23:$B$40,0),MATCH($X31,'Data manipulation'!$C$22:$O$22,0))/1000,0)*SUMIFS('Regional split'!$F$4:$F$6,'Regional split'!$B$4:$B$6,Z$3)*SUMIFS('Data manipulation'!$V$40:$V$43,'Data manipulation'!$X$40:$X$43,$E31,'Data manipulation'!$Y$40:$Y$43,$D31)</f>
        <v>0</v>
      </c>
      <c r="AA31" s="458">
        <f>_xlfn.IFNA(INDEX('Data manipulation'!$C$23:$O$40,MATCH($V31,'Data manipulation'!$B$23:$B$40,0),MATCH($X31,'Data manipulation'!$C$22:$O$22,0))/1000,0)*SUMIFS('Regional split'!$F$4:$F$6,'Regional split'!$B$4:$B$6,AA$3)*SUMIFS('Data manipulation'!$V$40:$V$43,'Data manipulation'!$X$40:$X$43,$E31,'Data manipulation'!$Y$40:$Y$43,$D31)</f>
        <v>0</v>
      </c>
      <c r="AB31" s="447">
        <f t="shared" si="17"/>
        <v>0</v>
      </c>
      <c r="AC31" s="252">
        <f t="shared" si="18"/>
        <v>0</v>
      </c>
      <c r="AD31" s="448">
        <f t="shared" si="19"/>
        <v>0</v>
      </c>
      <c r="BA31" s="253"/>
    </row>
    <row r="32" spans="2:53" ht="15" customHeight="1">
      <c r="B32" s="233" t="str">
        <f>Processes!D71</f>
        <v>RHTUMELCHE1</v>
      </c>
      <c r="C32" s="233" t="str">
        <f>Processes!E71</f>
        <v>Residential Heating Technology Urban Multi - Electricity Heating - Existing 1</v>
      </c>
      <c r="D32" s="233" t="s">
        <v>713</v>
      </c>
      <c r="E32" s="233" t="s">
        <v>757</v>
      </c>
      <c r="F32" s="230" t="str">
        <f>Commodities!$C$27</f>
        <v>RESELCH</v>
      </c>
      <c r="G32" s="230" t="str">
        <f>Commodities!$C$41</f>
        <v>RESHUMB</v>
      </c>
      <c r="H32" s="230">
        <v>2010</v>
      </c>
      <c r="I32" s="251">
        <f t="shared" si="20"/>
        <v>0</v>
      </c>
      <c r="J32" s="251">
        <f t="shared" si="21"/>
        <v>0</v>
      </c>
      <c r="K32" s="251">
        <f t="shared" si="22"/>
        <v>0</v>
      </c>
      <c r="L32" s="466">
        <v>1</v>
      </c>
      <c r="M32" s="466">
        <v>1</v>
      </c>
      <c r="N32" s="466">
        <v>1</v>
      </c>
      <c r="O32" s="244">
        <f t="shared" si="23"/>
        <v>3.1536000000000002E-2</v>
      </c>
      <c r="P32" s="462">
        <v>0.15</v>
      </c>
      <c r="Q32" s="246">
        <v>30</v>
      </c>
      <c r="R32" s="227">
        <v>1.05</v>
      </c>
      <c r="T32" s="269">
        <f t="shared" si="5"/>
        <v>0</v>
      </c>
      <c r="U32" s="269"/>
      <c r="V32" s="227" t="str">
        <f>V22</f>
        <v>Electricity</v>
      </c>
      <c r="W32" s="255" t="s">
        <v>190</v>
      </c>
      <c r="X32" s="247">
        <v>2010</v>
      </c>
      <c r="Y32" s="436">
        <f>_xlfn.IFNA(INDEX('Data manipulation'!$C$23:$O$40,MATCH($V32,'Data manipulation'!$B$23:$B$40,0),MATCH($X32,'Data manipulation'!$C$22:$O$22,0))/1000,0)*SUMIFS('Regional split'!$F$4:$F$6,'Regional split'!$B$4:$B$6,Y$3)*SUMIFS('Data manipulation'!$V$40:$V$43,'Data manipulation'!$X$40:$X$43,$E32,'Data manipulation'!$Y$40:$Y$43,$D32)</f>
        <v>0</v>
      </c>
      <c r="Z32" s="271">
        <f>_xlfn.IFNA(INDEX('Data manipulation'!$C$23:$O$40,MATCH($V32,'Data manipulation'!$B$23:$B$40,0),MATCH($X32,'Data manipulation'!$C$22:$O$22,0))/1000,0)*SUMIFS('Regional split'!$F$4:$F$6,'Regional split'!$B$4:$B$6,Z$3)*SUMIFS('Data manipulation'!$V$40:$V$43,'Data manipulation'!$X$40:$X$43,$E32,'Data manipulation'!$Y$40:$Y$43,$D32)</f>
        <v>0</v>
      </c>
      <c r="AA32" s="458">
        <f>_xlfn.IFNA(INDEX('Data manipulation'!$C$23:$O$40,MATCH($V32,'Data manipulation'!$B$23:$B$40,0),MATCH($X32,'Data manipulation'!$C$22:$O$22,0))/1000,0)*SUMIFS('Regional split'!$F$4:$F$6,'Regional split'!$B$4:$B$6,AA$3)*SUMIFS('Data manipulation'!$V$40:$V$43,'Data manipulation'!$X$40:$X$43,$E32,'Data manipulation'!$Y$40:$Y$43,$D32)</f>
        <v>0</v>
      </c>
      <c r="AB32" s="447">
        <f>Y32*L32</f>
        <v>0</v>
      </c>
      <c r="AC32" s="252">
        <f t="shared" si="18"/>
        <v>0</v>
      </c>
      <c r="AD32" s="448">
        <f t="shared" si="19"/>
        <v>0</v>
      </c>
      <c r="BA32" s="253"/>
    </row>
    <row r="33" spans="2:53" ht="15" customHeight="1">
      <c r="B33" s="233" t="str">
        <f>Processes!D72</f>
        <v>RHTUMELCHE2</v>
      </c>
      <c r="C33" s="233" t="str">
        <f>Processes!E72</f>
        <v>Residential Heating Technology Urban Multi - Electricity Heating - Existing 2</v>
      </c>
      <c r="D33" s="233" t="s">
        <v>713</v>
      </c>
      <c r="E33" s="233" t="s">
        <v>757</v>
      </c>
      <c r="F33" s="230" t="str">
        <f>Commodities!$C$27</f>
        <v>RESELCH</v>
      </c>
      <c r="G33" s="230" t="str">
        <f>Commodities!$C$41</f>
        <v>RESHUMB</v>
      </c>
      <c r="H33" s="230">
        <v>2010</v>
      </c>
      <c r="I33" s="251">
        <f t="shared" si="20"/>
        <v>0</v>
      </c>
      <c r="J33" s="251">
        <f t="shared" si="21"/>
        <v>0</v>
      </c>
      <c r="K33" s="251">
        <f t="shared" si="22"/>
        <v>0</v>
      </c>
      <c r="L33" s="466">
        <v>2.3149999999999999</v>
      </c>
      <c r="M33" s="466">
        <v>2.3149999999999999</v>
      </c>
      <c r="N33" s="466">
        <v>2.3149999999999999</v>
      </c>
      <c r="O33" s="244">
        <f t="shared" si="23"/>
        <v>3.1536000000000002E-2</v>
      </c>
      <c r="P33" s="462">
        <v>0.15</v>
      </c>
      <c r="Q33" s="246">
        <v>30</v>
      </c>
      <c r="R33" s="227">
        <v>1.05</v>
      </c>
      <c r="T33" s="269">
        <f t="shared" si="5"/>
        <v>0</v>
      </c>
      <c r="U33" s="269"/>
      <c r="W33" s="255" t="s">
        <v>191</v>
      </c>
      <c r="X33" s="247">
        <v>2010</v>
      </c>
      <c r="Y33" s="436">
        <f>_xlfn.IFNA(INDEX('Data manipulation'!$C$23:$O$40,MATCH($V33,'Data manipulation'!$B$23:$B$40,0),MATCH($X33,'Data manipulation'!$C$22:$O$22,0))/1000,0)*SUMIFS('Regional split'!$F$4:$F$6,'Regional split'!$B$4:$B$6,Y$3)*SUMIFS('Data manipulation'!$V$40:$V$43,'Data manipulation'!$X$40:$X$43,$E33,'Data manipulation'!$Y$40:$Y$43,$D33)</f>
        <v>0</v>
      </c>
      <c r="Z33" s="271">
        <f>_xlfn.IFNA(INDEX('Data manipulation'!$C$23:$O$40,MATCH($V33,'Data manipulation'!$B$23:$B$40,0),MATCH($X33,'Data manipulation'!$C$22:$O$22,0))/1000,0)*SUMIFS('Regional split'!$F$4:$F$6,'Regional split'!$B$4:$B$6,Z$3)*SUMIFS('Data manipulation'!$V$40:$V$43,'Data manipulation'!$X$40:$X$43,$E33,'Data manipulation'!$Y$40:$Y$43,$D33)</f>
        <v>0</v>
      </c>
      <c r="AA33" s="458">
        <f>_xlfn.IFNA(INDEX('Data manipulation'!$C$23:$O$40,MATCH($V33,'Data manipulation'!$B$23:$B$40,0),MATCH($X33,'Data manipulation'!$C$22:$O$22,0))/1000,0)*SUMIFS('Regional split'!$F$4:$F$6,'Regional split'!$B$4:$B$6,AA$3)*SUMIFS('Data manipulation'!$V$40:$V$43,'Data manipulation'!$X$40:$X$43,$E33,'Data manipulation'!$Y$40:$Y$43,$D33)</f>
        <v>0</v>
      </c>
      <c r="AB33" s="447">
        <f t="shared" si="17"/>
        <v>0</v>
      </c>
      <c r="AC33" s="252">
        <f t="shared" si="18"/>
        <v>0</v>
      </c>
      <c r="AD33" s="448">
        <f t="shared" si="19"/>
        <v>0</v>
      </c>
      <c r="BA33" s="254"/>
    </row>
    <row r="34" spans="2:53" ht="15">
      <c r="B34" s="233" t="str">
        <f>Processes!D73</f>
        <v>RHTUMHCEE1</v>
      </c>
      <c r="C34" s="233" t="str">
        <f>Processes!E73</f>
        <v>Residential Heating Technology Urban Multi - District heating Central - Existing 1</v>
      </c>
      <c r="D34" s="233" t="s">
        <v>713</v>
      </c>
      <c r="E34" s="233" t="s">
        <v>757</v>
      </c>
      <c r="F34" s="230" t="str">
        <f>Commodities!$C$30</f>
        <v>RESHCE</v>
      </c>
      <c r="G34" s="230" t="str">
        <f>Commodities!$C$37</f>
        <v>RESHUMX</v>
      </c>
      <c r="H34" s="230">
        <v>2010</v>
      </c>
      <c r="I34" s="583">
        <f>ROUNDUP(AB34/($O34*$P34)*$I$1,1)+ROUNDUP(AC34/($O34*$P34)*$I$1,1)+ROUNDUP(AD34/($O34*$P34)*$I$1,1)+ROUNDUP(AB44/($O44*$P44)*$I$1,1)+ROUNDUP(AC44/($O44*$P44)*$I$1,1)+ROUNDUP(AD44/($O44*$P44)*$I$1,1)</f>
        <v>82.6</v>
      </c>
      <c r="J34" s="583">
        <v>0</v>
      </c>
      <c r="K34" s="583">
        <v>0</v>
      </c>
      <c r="L34" s="466">
        <v>0.95</v>
      </c>
      <c r="M34" s="466">
        <v>0.95</v>
      </c>
      <c r="N34" s="466">
        <v>0.95</v>
      </c>
      <c r="O34" s="244">
        <f t="shared" si="23"/>
        <v>3.1536000000000002E-2</v>
      </c>
      <c r="P34" s="462">
        <v>0.15</v>
      </c>
      <c r="Q34" s="246">
        <v>30</v>
      </c>
      <c r="R34" s="227">
        <v>1.05</v>
      </c>
      <c r="T34" s="269">
        <f t="shared" si="5"/>
        <v>0.41129583157894734</v>
      </c>
      <c r="U34" s="269"/>
      <c r="V34" s="227" t="str">
        <f>V24</f>
        <v>Heat</v>
      </c>
      <c r="W34" s="255" t="s">
        <v>192</v>
      </c>
      <c r="X34" s="247">
        <v>2010</v>
      </c>
      <c r="Y34" s="436">
        <f>_xlfn.IFNA(INDEX('Data manipulation'!$C$23:$O$40,MATCH($V34,'Data manipulation'!$B$23:$B$40,0),MATCH($X34,'Data manipulation'!$C$22:$O$22,0))/1000,0)*SUMIFS('Regional split'!$F$4:$F$6,'Regional split'!$B$4:$B$6,Y$3)*SUMIFS('Data manipulation'!$V$40:$V$43,'Data manipulation'!$X$40:$X$43,$E34,'Data manipulation'!$Y$40:$Y$43,$D34)</f>
        <v>0.32735082671999999</v>
      </c>
      <c r="Z34" s="271">
        <f>_xlfn.IFNA(INDEX('Data manipulation'!$C$23:$O$40,MATCH($V34,'Data manipulation'!$B$23:$B$40,0),MATCH($X34,'Data manipulation'!$C$22:$O$22,0))/1000,0)*SUMIFS('Regional split'!$F$4:$F$6,'Regional split'!$B$4:$B$6,Z$3)*SUMIFS('Data manipulation'!$V$40:$V$43,'Data manipulation'!$X$40:$X$43,$E34,'Data manipulation'!$Y$40:$Y$43,$D34)</f>
        <v>8.3154367199999996E-3</v>
      </c>
      <c r="AA34" s="458">
        <f>_xlfn.IFNA(INDEX('Data manipulation'!$C$23:$O$40,MATCH($V34,'Data manipulation'!$B$23:$B$40,0),MATCH($X34,'Data manipulation'!$C$22:$O$22,0))/1000,0)*SUMIFS('Regional split'!$F$4:$F$6,'Regional split'!$B$4:$B$6,AA$3)*SUMIFS('Data manipulation'!$V$40:$V$43,'Data manipulation'!$X$40:$X$43,$E34,'Data manipulation'!$Y$40:$Y$43,$D34)</f>
        <v>2.6330536560000003E-2</v>
      </c>
      <c r="AB34" s="447">
        <f t="shared" si="17"/>
        <v>0.310983285384</v>
      </c>
      <c r="AC34" s="252">
        <f t="shared" si="18"/>
        <v>7.8996648839999989E-3</v>
      </c>
      <c r="AD34" s="448">
        <f t="shared" si="19"/>
        <v>2.5014009732000003E-2</v>
      </c>
      <c r="BA34" s="253"/>
    </row>
    <row r="35" spans="2:53" ht="15" customHeight="1" thickBot="1">
      <c r="B35" s="256" t="str">
        <f>Processes!D74</f>
        <v>RHTUMLPGE1</v>
      </c>
      <c r="C35" s="256" t="str">
        <f>Processes!E74</f>
        <v>Residential Heating Technology Urban Multi - LPG - Existing 1</v>
      </c>
      <c r="D35" s="546" t="s">
        <v>713</v>
      </c>
      <c r="E35" s="546" t="s">
        <v>757</v>
      </c>
      <c r="F35" s="257" t="str">
        <f>Commodities!$C$19</f>
        <v>RESLPG</v>
      </c>
      <c r="G35" s="257" t="str">
        <f>G33</f>
        <v>RESHUMB</v>
      </c>
      <c r="H35" s="424">
        <v>2010</v>
      </c>
      <c r="I35" s="298">
        <f t="shared" ref="I35" si="24">ROUNDUP(AB35/($O35*$P35)*$R35,1)</f>
        <v>89.8</v>
      </c>
      <c r="J35" s="298">
        <f t="shared" ref="J35" si="25">ROUNDUP(AC35/($O35*$P35)*$R35,1)</f>
        <v>2.3000000000000003</v>
      </c>
      <c r="K35" s="298">
        <f t="shared" ref="K35" si="26">ROUNDUP(AD35/($O35*$P35)*$R35,1)</f>
        <v>7.3</v>
      </c>
      <c r="L35" s="467">
        <v>0.95</v>
      </c>
      <c r="M35" s="467">
        <v>0.95</v>
      </c>
      <c r="N35" s="467">
        <v>0.95</v>
      </c>
      <c r="O35" s="258">
        <f t="shared" si="23"/>
        <v>3.1536000000000002E-2</v>
      </c>
      <c r="P35" s="463">
        <v>0.15</v>
      </c>
      <c r="Q35" s="259">
        <v>30</v>
      </c>
      <c r="R35" s="227">
        <v>1.05</v>
      </c>
      <c r="T35" s="269">
        <f t="shared" si="5"/>
        <v>0.49494922105263156</v>
      </c>
      <c r="U35" s="269"/>
      <c r="V35" s="432" t="str">
        <f>V25</f>
        <v>Liquefied gases</v>
      </c>
      <c r="W35" s="429" t="s">
        <v>769</v>
      </c>
      <c r="X35" s="433">
        <v>2010</v>
      </c>
      <c r="Y35" s="437">
        <f>_xlfn.IFNA(INDEX('Data manipulation'!$C$23:$O$40,MATCH($V35,'Data manipulation'!$B$23:$B$40,0),MATCH($X35,'Data manipulation'!$C$22:$O$22,0))/1000,0)*SUMIFS('Regional split'!$F$4:$F$6,'Regional split'!$B$4:$B$6,Y$3)*SUMIFS('Data manipulation'!$V$40:$V$43,'Data manipulation'!$X$40:$X$43,$E35,'Data manipulation'!$Y$40:$Y$43,$D35)</f>
        <v>0.42558711003900002</v>
      </c>
      <c r="Z35" s="434">
        <f>_xlfn.IFNA(INDEX('Data manipulation'!$C$23:$O$40,MATCH($V35,'Data manipulation'!$B$23:$B$40,0),MATCH($X35,'Data manipulation'!$C$22:$O$22,0))/1000,0)*SUMIFS('Regional split'!$F$4:$F$6,'Regional split'!$B$4:$B$6,Z$3)*SUMIFS('Data manipulation'!$V$40:$V$43,'Data manipulation'!$X$40:$X$43,$E35,'Data manipulation'!$Y$40:$Y$43,$D35)</f>
        <v>1.08108561015E-2</v>
      </c>
      <c r="AA35" s="459">
        <f>_xlfn.IFNA(INDEX('Data manipulation'!$C$23:$O$40,MATCH($V35,'Data manipulation'!$B$23:$B$40,0),MATCH($X35,'Data manipulation'!$C$22:$O$22,0))/1000,0)*SUMIFS('Regional split'!$F$4:$F$6,'Regional split'!$B$4:$B$6,AA$3)*SUMIFS('Data manipulation'!$V$40:$V$43,'Data manipulation'!$X$40:$X$43,$E35,'Data manipulation'!$Y$40:$Y$43,$D35)</f>
        <v>3.42321938595E-2</v>
      </c>
      <c r="AB35" s="449">
        <f t="shared" si="17"/>
        <v>0.40430775453704998</v>
      </c>
      <c r="AC35" s="278">
        <f t="shared" si="18"/>
        <v>1.0270313296424999E-2</v>
      </c>
      <c r="AD35" s="450">
        <f t="shared" si="19"/>
        <v>3.2520584166525E-2</v>
      </c>
      <c r="BA35" s="253"/>
    </row>
    <row r="36" spans="2:53" ht="15" customHeight="1">
      <c r="B36" s="233" t="str">
        <f>Processes!D75</f>
        <v>RHTRMNGAE1</v>
      </c>
      <c r="C36" s="233" t="str">
        <f>Processes!E75</f>
        <v>Residential Heating Technology Rural Multi - Natural Gas - Existing 1</v>
      </c>
      <c r="D36" s="233" t="s">
        <v>714</v>
      </c>
      <c r="E36" s="233" t="s">
        <v>757</v>
      </c>
      <c r="F36" s="230" t="str">
        <f>Commodities!$C$18&amp;","&amp;Commodities!$C$33</f>
        <v>RESNGA,RESSNG</v>
      </c>
      <c r="G36" s="260" t="str">
        <f>Commodities!$C$42</f>
        <v>RESHRMB</v>
      </c>
      <c r="H36" s="260">
        <v>2010</v>
      </c>
      <c r="I36" s="251">
        <f>ROUNDUP(AB36/($O36*$P36)*$R36,1)</f>
        <v>249.6</v>
      </c>
      <c r="J36" s="251">
        <f>ROUNDUP(AC36/($O36*$P36)*$R36,1)</f>
        <v>6.3999999999999995</v>
      </c>
      <c r="K36" s="251">
        <f>ROUNDUP(AD36/($O36*$P36)*$R36,1)</f>
        <v>20.100000000000001</v>
      </c>
      <c r="L36" s="466">
        <v>0.79</v>
      </c>
      <c r="M36" s="466">
        <v>0.79</v>
      </c>
      <c r="N36" s="466">
        <v>0.79</v>
      </c>
      <c r="O36" s="244">
        <f t="shared" si="23"/>
        <v>3.1536000000000002E-2</v>
      </c>
      <c r="P36" s="462">
        <v>0.15</v>
      </c>
      <c r="Q36" s="246">
        <v>25</v>
      </c>
      <c r="R36" s="227">
        <v>1.05</v>
      </c>
      <c r="T36" s="269">
        <f t="shared" si="5"/>
        <v>1.6532448607594938</v>
      </c>
      <c r="U36" s="269"/>
      <c r="V36" s="227" t="s">
        <v>80</v>
      </c>
      <c r="W36" s="255" t="s">
        <v>187</v>
      </c>
      <c r="X36" s="247">
        <v>2010</v>
      </c>
      <c r="Y36" s="436">
        <f>_xlfn.IFNA(INDEX('Data manipulation'!$C$23:$O$40,MATCH($V36,'Data manipulation'!$B$23:$B$40,0),MATCH($X36,'Data manipulation'!$C$22:$O$22,0))/1000,0)*SUMIFS('Regional split'!$F$4:$F$6,'Regional split'!$B$4:$B$6,Y$3)*SUMIFS('Data manipulation'!$V$40:$V$43,'Data manipulation'!$X$40:$X$43,$E36,'Data manipulation'!$Y$40:$Y$43,$D36)</f>
        <v>1.4231306916845452</v>
      </c>
      <c r="Z36" s="271">
        <f>_xlfn.IFNA(INDEX('Data manipulation'!$C$23:$O$40,MATCH($V36,'Data manipulation'!$B$23:$B$40,0),MATCH($X36,'Data manipulation'!$C$22:$O$22,0))/1000,0)*SUMIFS('Regional split'!$F$4:$F$6,'Regional split'!$B$4:$B$6,Z$3)*SUMIFS('Data manipulation'!$V$40:$V$43,'Data manipulation'!$X$40:$X$43,$E36,'Data manipulation'!$Y$40:$Y$43,$D36)</f>
        <v>3.6150674582272724E-2</v>
      </c>
      <c r="AA36" s="458">
        <f>_xlfn.IFNA(INDEX('Data manipulation'!$C$23:$O$40,MATCH($V36,'Data manipulation'!$B$23:$B$40,0),MATCH($X36,'Data manipulation'!$C$22:$O$22,0))/1000,0)*SUMIFS('Regional split'!$F$4:$F$6,'Regional split'!$B$4:$B$6,AA$3)*SUMIFS('Data manipulation'!$V$40:$V$43,'Data manipulation'!$X$40:$X$43,$E36,'Data manipulation'!$Y$40:$Y$43,$D36)</f>
        <v>0.11446983373318181</v>
      </c>
      <c r="AB36" s="447">
        <f t="shared" si="17"/>
        <v>1.1242732464307907</v>
      </c>
      <c r="AC36" s="279">
        <f t="shared" si="18"/>
        <v>2.8559032919995453E-2</v>
      </c>
      <c r="AD36" s="451">
        <f t="shared" si="19"/>
        <v>9.0431168649213634E-2</v>
      </c>
      <c r="BA36" s="253"/>
    </row>
    <row r="37" spans="2:53" ht="15" customHeight="1">
      <c r="B37" s="233" t="str">
        <f>Processes!D76</f>
        <v>RHTRMDSLE1</v>
      </c>
      <c r="C37" s="233" t="str">
        <f>Processes!E76</f>
        <v>Residential Heating Technology Rural Multi - Diesel - Existing 1</v>
      </c>
      <c r="D37" s="233" t="s">
        <v>714</v>
      </c>
      <c r="E37" s="233" t="s">
        <v>757</v>
      </c>
      <c r="F37" s="230" t="str">
        <f>Commodities!$C$20&amp;","&amp;Commodities!$C$34</f>
        <v>RESDSL,RESDSB</v>
      </c>
      <c r="G37" s="260" t="str">
        <f>Commodities!$C$42</f>
        <v>RESHRMB</v>
      </c>
      <c r="H37" s="260">
        <v>2010</v>
      </c>
      <c r="I37" s="251">
        <f t="shared" ref="I37:I43" si="27">ROUNDUP(AB37/($O37*$P37)*$R37,1)</f>
        <v>0.30000000000000004</v>
      </c>
      <c r="J37" s="251">
        <f t="shared" ref="J37:J43" si="28">ROUNDUP(AC37/($O37*$P37)*$R37,1)</f>
        <v>0.1</v>
      </c>
      <c r="K37" s="251">
        <f t="shared" ref="K37:K43" si="29">ROUNDUP(AD37/($O37*$P37)*$R37,1)</f>
        <v>0.1</v>
      </c>
      <c r="L37" s="466">
        <v>0.79</v>
      </c>
      <c r="M37" s="466">
        <v>0.79</v>
      </c>
      <c r="N37" s="466">
        <v>0.79</v>
      </c>
      <c r="O37" s="244">
        <f t="shared" si="23"/>
        <v>3.1536000000000002E-2</v>
      </c>
      <c r="P37" s="462">
        <v>0.15</v>
      </c>
      <c r="Q37" s="246">
        <v>20</v>
      </c>
      <c r="R37" s="227">
        <v>1.05</v>
      </c>
      <c r="T37" s="269">
        <f t="shared" si="5"/>
        <v>2.9939240506329113E-3</v>
      </c>
      <c r="V37" s="227" t="s">
        <v>213</v>
      </c>
      <c r="W37" s="255" t="s">
        <v>728</v>
      </c>
      <c r="X37" s="247">
        <v>2010</v>
      </c>
      <c r="Y37" s="436">
        <f>_xlfn.IFNA(INDEX('Data manipulation'!$C$23:$O$40,MATCH($V37,'Data manipulation'!$B$23:$B$40,0),MATCH($X37,'Data manipulation'!$C$22:$O$22,0))/1000,0)*SUMIFS('Regional split'!$F$4:$F$6,'Regional split'!$B$4:$B$6,Y$3)*SUMIFS('Data manipulation'!$V$40:$V$43,'Data manipulation'!$X$40:$X$43,$E37,'Data manipulation'!$Y$40:$Y$43,$D37)</f>
        <v>1.1683453227272725E-3</v>
      </c>
      <c r="Z37" s="271">
        <f>_xlfn.IFNA(INDEX('Data manipulation'!$C$23:$O$40,MATCH($V37,'Data manipulation'!$B$23:$B$40,0),MATCH($X37,'Data manipulation'!$C$22:$O$22,0))/1000,0)*SUMIFS('Regional split'!$F$4:$F$6,'Regional split'!$B$4:$B$6,Z$3)*SUMIFS('Data manipulation'!$V$40:$V$43,'Data manipulation'!$X$40:$X$43,$E37,'Data manipulation'!$Y$40:$Y$43,$D37)</f>
        <v>2.9678561363636361E-5</v>
      </c>
      <c r="AA37" s="458">
        <f>_xlfn.IFNA(INDEX('Data manipulation'!$C$23:$O$40,MATCH($V37,'Data manipulation'!$B$23:$B$40,0),MATCH($X37,'Data manipulation'!$C$22:$O$22,0))/1000,0)*SUMIFS('Regional split'!$F$4:$F$6,'Regional split'!$B$4:$B$6,AA$3)*SUMIFS('Data manipulation'!$V$40:$V$43,'Data manipulation'!$X$40:$X$43,$E37,'Data manipulation'!$Y$40:$Y$43,$D37)</f>
        <v>9.3976115909090888E-5</v>
      </c>
      <c r="AB37" s="447">
        <f t="shared" si="17"/>
        <v>9.2299280495454538E-4</v>
      </c>
      <c r="AC37" s="252">
        <f t="shared" si="18"/>
        <v>2.3446063477272726E-5</v>
      </c>
      <c r="AD37" s="448">
        <f t="shared" si="19"/>
        <v>7.4241131568181801E-5</v>
      </c>
      <c r="AV37" s="261"/>
      <c r="BA37" s="253"/>
    </row>
    <row r="38" spans="2:53" ht="15" customHeight="1">
      <c r="B38" s="233" t="str">
        <f>Processes!D77</f>
        <v>RHTRMWPEE1</v>
      </c>
      <c r="C38" s="233" t="str">
        <f>Processes!E77</f>
        <v>Residential Heating Technology Rural Multi - Wood pellets - Existing 1</v>
      </c>
      <c r="D38" s="233" t="s">
        <v>714</v>
      </c>
      <c r="E38" s="233" t="s">
        <v>757</v>
      </c>
      <c r="F38" s="230" t="str">
        <f>Commodities!$C$22</f>
        <v>RESWPE</v>
      </c>
      <c r="G38" s="260" t="str">
        <f>Commodities!$C$42</f>
        <v>RESHRMB</v>
      </c>
      <c r="H38" s="260">
        <v>2010</v>
      </c>
      <c r="I38" s="251">
        <f t="shared" si="27"/>
        <v>1.5</v>
      </c>
      <c r="J38" s="251">
        <f t="shared" si="28"/>
        <v>0.1</v>
      </c>
      <c r="K38" s="251">
        <f t="shared" si="29"/>
        <v>0.2</v>
      </c>
      <c r="L38" s="466">
        <v>0.67</v>
      </c>
      <c r="M38" s="466">
        <v>0.67</v>
      </c>
      <c r="N38" s="466">
        <v>0.67</v>
      </c>
      <c r="O38" s="244">
        <f>31.536/1000</f>
        <v>3.1536000000000002E-2</v>
      </c>
      <c r="P38" s="462">
        <v>0.15</v>
      </c>
      <c r="Q38" s="246">
        <v>20</v>
      </c>
      <c r="R38" s="227">
        <v>1.05</v>
      </c>
      <c r="T38" s="269">
        <f t="shared" si="5"/>
        <v>1.2708537313432834E-2</v>
      </c>
      <c r="U38" s="269"/>
      <c r="V38" s="227" t="s">
        <v>214</v>
      </c>
      <c r="W38" s="255" t="s">
        <v>728</v>
      </c>
      <c r="X38" s="247">
        <v>2010</v>
      </c>
      <c r="Y38" s="436">
        <f>_xlfn.IFNA(INDEX('Data manipulation'!$C$23:$O$40,MATCH($V38,'Data manipulation'!$B$23:$B$40,0),MATCH($X38,'Data manipulation'!$C$22:$O$22,0))/1000,0)*SUMIFS('Regional split'!$F$4:$F$6,'Regional split'!$B$4:$B$6,Y$3)*SUMIFS('Data manipulation'!$V$40:$V$43,'Data manipulation'!$X$40:$X$43,$E38,'Data manipulation'!$Y$40:$Y$43,$D38)</f>
        <v>9.5656012568181813E-3</v>
      </c>
      <c r="Z38" s="271">
        <f>_xlfn.IFNA(INDEX('Data manipulation'!$C$23:$O$40,MATCH($V38,'Data manipulation'!$B$23:$B$40,0),MATCH($X38,'Data manipulation'!$C$22:$O$22,0))/1000,0)*SUMIFS('Regional split'!$F$4:$F$6,'Regional split'!$B$4:$B$6,Z$3)*SUMIFS('Data manipulation'!$V$40:$V$43,'Data manipulation'!$X$40:$X$43,$E38,'Data manipulation'!$Y$40:$Y$43,$D38)</f>
        <v>2.4298747840909089E-4</v>
      </c>
      <c r="AA38" s="458">
        <f>_xlfn.IFNA(INDEX('Data manipulation'!$C$23:$O$40,MATCH($V38,'Data manipulation'!$B$23:$B$40,0),MATCH($X38,'Data manipulation'!$C$22:$O$22,0))/1000,0)*SUMIFS('Regional split'!$F$4:$F$6,'Regional split'!$B$4:$B$6,AA$3)*SUMIFS('Data manipulation'!$V$40:$V$43,'Data manipulation'!$X$40:$X$43,$E38,'Data manipulation'!$Y$40:$Y$43,$D38)</f>
        <v>7.6941126477272719E-4</v>
      </c>
      <c r="AB38" s="447">
        <f t="shared" si="17"/>
        <v>6.4089528420681816E-3</v>
      </c>
      <c r="AC38" s="252">
        <f t="shared" si="18"/>
        <v>1.6280161053409091E-4</v>
      </c>
      <c r="AD38" s="448">
        <f t="shared" si="19"/>
        <v>5.1550554739772728E-4</v>
      </c>
      <c r="AV38" s="261"/>
      <c r="BA38" s="254"/>
    </row>
    <row r="39" spans="2:53" ht="15" customHeight="1">
      <c r="B39" s="233" t="str">
        <f>Processes!D78</f>
        <v>RHTRMFIWE1</v>
      </c>
      <c r="C39" s="233" t="str">
        <f>Processes!E78</f>
        <v>Residential Heating Technology Rural Multi - Fire wood - Existing 1</v>
      </c>
      <c r="D39" s="233" t="s">
        <v>714</v>
      </c>
      <c r="E39" s="233" t="s">
        <v>757</v>
      </c>
      <c r="F39" s="230" t="str">
        <f>Commodities!$C$23</f>
        <v>RESFIW</v>
      </c>
      <c r="G39" s="260" t="str">
        <f>Commodities!$C$42</f>
        <v>RESHRMB</v>
      </c>
      <c r="H39" s="260">
        <v>2010</v>
      </c>
      <c r="I39" s="251">
        <f t="shared" si="27"/>
        <v>8.1999999999999993</v>
      </c>
      <c r="J39" s="251">
        <f t="shared" si="28"/>
        <v>0.30000000000000004</v>
      </c>
      <c r="K39" s="251">
        <f t="shared" si="29"/>
        <v>0.7</v>
      </c>
      <c r="L39" s="466">
        <v>0.67</v>
      </c>
      <c r="M39" s="466">
        <v>0.67</v>
      </c>
      <c r="N39" s="466">
        <v>0.67</v>
      </c>
      <c r="O39" s="244">
        <f>31.536/1000</f>
        <v>3.1536000000000002E-2</v>
      </c>
      <c r="P39" s="462">
        <v>0.15</v>
      </c>
      <c r="Q39" s="246">
        <v>20</v>
      </c>
      <c r="R39" s="227">
        <v>1.05</v>
      </c>
      <c r="T39" s="269">
        <f t="shared" si="5"/>
        <v>6.4954746268656716E-2</v>
      </c>
      <c r="U39" s="269"/>
      <c r="V39" s="227" t="s">
        <v>221</v>
      </c>
      <c r="W39" s="255" t="s">
        <v>197</v>
      </c>
      <c r="X39" s="247">
        <v>2010</v>
      </c>
      <c r="Y39" s="436">
        <f>_xlfn.IFNA(INDEX('Data manipulation'!$C$23:$O$40,MATCH($V39,'Data manipulation'!$B$23:$B$40,0),MATCH($X39,'Data manipulation'!$C$22:$O$22,0))/1000,0)*SUMIFS('Regional split'!$F$4:$F$6,'Regional split'!$B$4:$B$6,Y$3)*SUMIFS('Data manipulation'!$V$40:$V$43,'Data manipulation'!$X$40:$X$43,$E39,'Data manipulation'!$Y$40:$Y$43,$D39)</f>
        <v>5.5078619904545455E-2</v>
      </c>
      <c r="Z39" s="271">
        <f>_xlfn.IFNA(INDEX('Data manipulation'!$C$23:$O$40,MATCH($V39,'Data manipulation'!$B$23:$B$40,0),MATCH($X39,'Data manipulation'!$C$22:$O$22,0))/1000,0)*SUMIFS('Regional split'!$F$4:$F$6,'Regional split'!$B$4:$B$6,Z$3)*SUMIFS('Data manipulation'!$V$40:$V$43,'Data manipulation'!$X$40:$X$43,$E39,'Data manipulation'!$Y$40:$Y$43,$D39)</f>
        <v>1.3991190522727273E-3</v>
      </c>
      <c r="AA39" s="458">
        <f>_xlfn.IFNA(INDEX('Data manipulation'!$C$23:$O$40,MATCH($V39,'Data manipulation'!$B$23:$B$40,0),MATCH($X39,'Data manipulation'!$C$22:$O$22,0))/1000,0)*SUMIFS('Regional split'!$F$4:$F$6,'Regional split'!$B$4:$B$6,AA$3)*SUMIFS('Data manipulation'!$V$40:$V$43,'Data manipulation'!$X$40:$X$43,$E39,'Data manipulation'!$Y$40:$Y$43,$D39)</f>
        <v>4.4302610431818179E-3</v>
      </c>
      <c r="AB39" s="447">
        <f t="shared" si="17"/>
        <v>3.6902675336045458E-2</v>
      </c>
      <c r="AC39" s="252">
        <f t="shared" si="18"/>
        <v>9.3740976502272729E-4</v>
      </c>
      <c r="AD39" s="448">
        <f t="shared" si="19"/>
        <v>2.9682748989318182E-3</v>
      </c>
      <c r="AV39" s="261"/>
      <c r="BA39" s="254"/>
    </row>
    <row r="40" spans="2:53" ht="15" customHeight="1">
      <c r="B40" s="233" t="str">
        <f>Processes!D79</f>
        <v>RHTRMSTRE1</v>
      </c>
      <c r="C40" s="233" t="str">
        <f>Processes!E79</f>
        <v>Residential Heating Technology Rural Multi - Straw - Existing 1</v>
      </c>
      <c r="D40" s="233" t="s">
        <v>714</v>
      </c>
      <c r="E40" s="233" t="s">
        <v>757</v>
      </c>
      <c r="F40" s="230" t="str">
        <f>Commodities!$C$24</f>
        <v>RESSTR</v>
      </c>
      <c r="G40" s="260" t="str">
        <f>Commodities!$C$42</f>
        <v>RESHRMB</v>
      </c>
      <c r="H40" s="260">
        <v>2010</v>
      </c>
      <c r="I40" s="251">
        <f t="shared" si="27"/>
        <v>0</v>
      </c>
      <c r="J40" s="251">
        <f t="shared" si="28"/>
        <v>0</v>
      </c>
      <c r="K40" s="251">
        <f t="shared" si="29"/>
        <v>0</v>
      </c>
      <c r="L40" s="466">
        <v>0.61</v>
      </c>
      <c r="M40" s="466">
        <v>0.61</v>
      </c>
      <c r="N40" s="466">
        <v>0.61</v>
      </c>
      <c r="O40" s="244">
        <f t="shared" si="23"/>
        <v>3.1536000000000002E-2</v>
      </c>
      <c r="P40" s="462">
        <v>0.15</v>
      </c>
      <c r="Q40" s="246">
        <v>20</v>
      </c>
      <c r="R40" s="227">
        <v>1.05</v>
      </c>
      <c r="T40" s="269">
        <f t="shared" si="5"/>
        <v>0</v>
      </c>
      <c r="U40" s="269"/>
      <c r="W40" s="255" t="s">
        <v>188</v>
      </c>
      <c r="X40" s="247">
        <v>2010</v>
      </c>
      <c r="Y40" s="436">
        <f>_xlfn.IFNA(INDEX('Data manipulation'!$C$23:$O$40,MATCH($V40,'Data manipulation'!$B$23:$B$40,0),MATCH($X40,'Data manipulation'!$C$22:$O$22,0))/1000,0)*SUMIFS('Regional split'!$F$4:$F$6,'Regional split'!$B$4:$B$6,Y$3)*SUMIFS('Data manipulation'!$V$40:$V$43,'Data manipulation'!$X$40:$X$43,$E40,'Data manipulation'!$Y$40:$Y$43,$D40)</f>
        <v>0</v>
      </c>
      <c r="Z40" s="271">
        <f>_xlfn.IFNA(INDEX('Data manipulation'!$C$23:$O$40,MATCH($V40,'Data manipulation'!$B$23:$B$40,0),MATCH($X40,'Data manipulation'!$C$22:$O$22,0))/1000,0)*SUMIFS('Regional split'!$F$4:$F$6,'Regional split'!$B$4:$B$6,Z$3)*SUMIFS('Data manipulation'!$V$40:$V$43,'Data manipulation'!$X$40:$X$43,$E40,'Data manipulation'!$Y$40:$Y$43,$D40)</f>
        <v>0</v>
      </c>
      <c r="AA40" s="458">
        <f>_xlfn.IFNA(INDEX('Data manipulation'!$C$23:$O$40,MATCH($V40,'Data manipulation'!$B$23:$B$40,0),MATCH($X40,'Data manipulation'!$C$22:$O$22,0))/1000,0)*SUMIFS('Regional split'!$F$4:$F$6,'Regional split'!$B$4:$B$6,AA$3)*SUMIFS('Data manipulation'!$V$40:$V$43,'Data manipulation'!$X$40:$X$43,$E40,'Data manipulation'!$Y$40:$Y$43,$D40)</f>
        <v>0</v>
      </c>
      <c r="AB40" s="447">
        <f t="shared" si="17"/>
        <v>0</v>
      </c>
      <c r="AC40" s="252">
        <f t="shared" si="18"/>
        <v>0</v>
      </c>
      <c r="AD40" s="448">
        <f t="shared" si="19"/>
        <v>0</v>
      </c>
      <c r="AV40" s="261"/>
      <c r="BA40" s="253"/>
    </row>
    <row r="41" spans="2:53" ht="15" customHeight="1">
      <c r="B41" s="233" t="str">
        <f>Processes!D80</f>
        <v>RHTRMSOLE1</v>
      </c>
      <c r="C41" s="233" t="str">
        <f>Processes!E80</f>
        <v>Residential Heating Technology Rural Multi - Solar - Existing 1</v>
      </c>
      <c r="D41" s="233" t="s">
        <v>714</v>
      </c>
      <c r="E41" s="233" t="s">
        <v>757</v>
      </c>
      <c r="F41" s="230" t="str">
        <f>Commodities!$C$26</f>
        <v>RESSOL</v>
      </c>
      <c r="G41" s="260" t="str">
        <f>Commodities!$C$42</f>
        <v>RESHRMB</v>
      </c>
      <c r="H41" s="260">
        <v>2010</v>
      </c>
      <c r="I41" s="251">
        <f t="shared" si="27"/>
        <v>0</v>
      </c>
      <c r="J41" s="251">
        <f t="shared" si="28"/>
        <v>0</v>
      </c>
      <c r="K41" s="251">
        <f t="shared" si="29"/>
        <v>0</v>
      </c>
      <c r="L41" s="466">
        <v>1</v>
      </c>
      <c r="M41" s="466">
        <v>1</v>
      </c>
      <c r="N41" s="466">
        <v>1</v>
      </c>
      <c r="O41" s="244">
        <f t="shared" si="23"/>
        <v>3.1536000000000002E-2</v>
      </c>
      <c r="P41" s="462">
        <v>0.15</v>
      </c>
      <c r="Q41" s="246">
        <v>20</v>
      </c>
      <c r="R41" s="227">
        <v>1.05</v>
      </c>
      <c r="T41" s="269">
        <f t="shared" si="5"/>
        <v>0</v>
      </c>
      <c r="U41" s="269"/>
      <c r="W41" s="255" t="s">
        <v>189</v>
      </c>
      <c r="X41" s="247">
        <v>2010</v>
      </c>
      <c r="Y41" s="436">
        <f>_xlfn.IFNA(INDEX('Data manipulation'!$C$23:$O$40,MATCH($V41,'Data manipulation'!$B$23:$B$40,0),MATCH($X41,'Data manipulation'!$C$22:$O$22,0))/1000,0)*SUMIFS('Regional split'!$F$4:$F$6,'Regional split'!$B$4:$B$6,Y$3)*SUMIFS('Data manipulation'!$V$40:$V$43,'Data manipulation'!$X$40:$X$43,$E41,'Data manipulation'!$Y$40:$Y$43,$D41)</f>
        <v>0</v>
      </c>
      <c r="Z41" s="271">
        <f>_xlfn.IFNA(INDEX('Data manipulation'!$C$23:$O$40,MATCH($V41,'Data manipulation'!$B$23:$B$40,0),MATCH($X41,'Data manipulation'!$C$22:$O$22,0))/1000,0)*SUMIFS('Regional split'!$F$4:$F$6,'Regional split'!$B$4:$B$6,Z$3)*SUMIFS('Data manipulation'!$V$40:$V$43,'Data manipulation'!$X$40:$X$43,$E41,'Data manipulation'!$Y$40:$Y$43,$D41)</f>
        <v>0</v>
      </c>
      <c r="AA41" s="458">
        <f>_xlfn.IFNA(INDEX('Data manipulation'!$C$23:$O$40,MATCH($V41,'Data manipulation'!$B$23:$B$40,0),MATCH($X41,'Data manipulation'!$C$22:$O$22,0))/1000,0)*SUMIFS('Regional split'!$F$4:$F$6,'Regional split'!$B$4:$B$6,AA$3)*SUMIFS('Data manipulation'!$V$40:$V$43,'Data manipulation'!$X$40:$X$43,$E41,'Data manipulation'!$Y$40:$Y$43,$D41)</f>
        <v>0</v>
      </c>
      <c r="AB41" s="447">
        <f t="shared" si="17"/>
        <v>0</v>
      </c>
      <c r="AC41" s="252">
        <f t="shared" si="18"/>
        <v>0</v>
      </c>
      <c r="AD41" s="448">
        <f t="shared" si="19"/>
        <v>0</v>
      </c>
      <c r="AV41" s="261"/>
      <c r="BA41" s="253"/>
    </row>
    <row r="42" spans="2:53" ht="15" customHeight="1">
      <c r="B42" s="233" t="str">
        <f>Processes!D81</f>
        <v>RHTRMELCHE1</v>
      </c>
      <c r="C42" s="233" t="str">
        <f>Processes!E81</f>
        <v>Residential Heating Technology Rural Multi - Electricity Heating - Existing 1</v>
      </c>
      <c r="D42" s="233" t="s">
        <v>714</v>
      </c>
      <c r="E42" s="233" t="s">
        <v>757</v>
      </c>
      <c r="F42" s="230" t="str">
        <f>Commodities!$C$27</f>
        <v>RESELCH</v>
      </c>
      <c r="G42" s="260" t="str">
        <f>Commodities!$C$42</f>
        <v>RESHRMB</v>
      </c>
      <c r="H42" s="260">
        <v>2010</v>
      </c>
      <c r="I42" s="251">
        <f t="shared" si="27"/>
        <v>0</v>
      </c>
      <c r="J42" s="251">
        <f t="shared" si="28"/>
        <v>0</v>
      </c>
      <c r="K42" s="251">
        <f t="shared" si="29"/>
        <v>0</v>
      </c>
      <c r="L42" s="466">
        <v>1</v>
      </c>
      <c r="M42" s="466">
        <v>1</v>
      </c>
      <c r="N42" s="466">
        <v>1</v>
      </c>
      <c r="O42" s="244">
        <f t="shared" si="23"/>
        <v>3.1536000000000002E-2</v>
      </c>
      <c r="P42" s="462">
        <v>0.15</v>
      </c>
      <c r="Q42" s="246">
        <v>30</v>
      </c>
      <c r="R42" s="227">
        <v>1.05</v>
      </c>
      <c r="T42" s="269">
        <f t="shared" si="5"/>
        <v>0</v>
      </c>
      <c r="U42" s="269"/>
      <c r="V42" s="227" t="str">
        <f>V32</f>
        <v>Electricity</v>
      </c>
      <c r="W42" s="255" t="s">
        <v>190</v>
      </c>
      <c r="X42" s="247">
        <v>2010</v>
      </c>
      <c r="Y42" s="436">
        <f>_xlfn.IFNA(INDEX('Data manipulation'!$C$23:$O$40,MATCH($V42,'Data manipulation'!$B$23:$B$40,0),MATCH($X42,'Data manipulation'!$C$22:$O$22,0))/1000,0)*SUMIFS('Regional split'!$F$4:$F$6,'Regional split'!$B$4:$B$6,Y$3)*SUMIFS('Data manipulation'!$V$40:$V$43,'Data manipulation'!$X$40:$X$43,$E42,'Data manipulation'!$Y$40:$Y$43,$D42)</f>
        <v>0</v>
      </c>
      <c r="Z42" s="271">
        <f>_xlfn.IFNA(INDEX('Data manipulation'!$C$23:$O$40,MATCH($V42,'Data manipulation'!$B$23:$B$40,0),MATCH($X42,'Data manipulation'!$C$22:$O$22,0))/1000,0)*SUMIFS('Regional split'!$F$4:$F$6,'Regional split'!$B$4:$B$6,Z$3)*SUMIFS('Data manipulation'!$V$40:$V$43,'Data manipulation'!$X$40:$X$43,$E42,'Data manipulation'!$Y$40:$Y$43,$D42)</f>
        <v>0</v>
      </c>
      <c r="AA42" s="458">
        <f>_xlfn.IFNA(INDEX('Data manipulation'!$C$23:$O$40,MATCH($V42,'Data manipulation'!$B$23:$B$40,0),MATCH($X42,'Data manipulation'!$C$22:$O$22,0))/1000,0)*SUMIFS('Regional split'!$F$4:$F$6,'Regional split'!$B$4:$B$6,AA$3)*SUMIFS('Data manipulation'!$V$40:$V$43,'Data manipulation'!$X$40:$X$43,$E42,'Data manipulation'!$Y$40:$Y$43,$D42)</f>
        <v>0</v>
      </c>
      <c r="AB42" s="447">
        <f t="shared" si="17"/>
        <v>0</v>
      </c>
      <c r="AC42" s="252">
        <f t="shared" si="18"/>
        <v>0</v>
      </c>
      <c r="AD42" s="448">
        <f t="shared" si="19"/>
        <v>0</v>
      </c>
      <c r="AV42" s="261"/>
      <c r="BA42" s="253"/>
    </row>
    <row r="43" spans="2:53" ht="15" customHeight="1">
      <c r="B43" s="233" t="str">
        <f>Processes!D82</f>
        <v>RHTRMELCHE2</v>
      </c>
      <c r="C43" s="233" t="str">
        <f>Processes!E82</f>
        <v>Residential Heating Technology Rural Multi - Electricity Heating - Existing 2</v>
      </c>
      <c r="D43" s="233" t="s">
        <v>714</v>
      </c>
      <c r="E43" s="233" t="s">
        <v>757</v>
      </c>
      <c r="F43" s="230" t="str">
        <f>Commodities!$C$27</f>
        <v>RESELCH</v>
      </c>
      <c r="G43" s="260" t="str">
        <f>Commodities!$C$42</f>
        <v>RESHRMB</v>
      </c>
      <c r="H43" s="260">
        <v>2010</v>
      </c>
      <c r="I43" s="251">
        <f t="shared" si="27"/>
        <v>0</v>
      </c>
      <c r="J43" s="251">
        <f t="shared" si="28"/>
        <v>0</v>
      </c>
      <c r="K43" s="251">
        <f t="shared" si="29"/>
        <v>0</v>
      </c>
      <c r="L43" s="466">
        <v>2.3149999999999999</v>
      </c>
      <c r="M43" s="466">
        <v>2.3149999999999999</v>
      </c>
      <c r="N43" s="466">
        <v>2.3149999999999999</v>
      </c>
      <c r="O43" s="244">
        <f t="shared" si="23"/>
        <v>3.1536000000000002E-2</v>
      </c>
      <c r="P43" s="462">
        <v>0.15</v>
      </c>
      <c r="Q43" s="246">
        <v>30</v>
      </c>
      <c r="R43" s="227">
        <v>1.05</v>
      </c>
      <c r="T43" s="269">
        <f t="shared" si="5"/>
        <v>0</v>
      </c>
      <c r="U43" s="269"/>
      <c r="W43" s="255" t="s">
        <v>191</v>
      </c>
      <c r="X43" s="247">
        <v>2010</v>
      </c>
      <c r="Y43" s="436">
        <f>_xlfn.IFNA(INDEX('Data manipulation'!$C$23:$O$40,MATCH($V43,'Data manipulation'!$B$23:$B$40,0),MATCH($X43,'Data manipulation'!$C$22:$O$22,0))/1000,0)*SUMIFS('Regional split'!$F$4:$F$6,'Regional split'!$B$4:$B$6,Y$3)*SUMIFS('Data manipulation'!$V$40:$V$43,'Data manipulation'!$X$40:$X$43,$E43,'Data manipulation'!$Y$40:$Y$43,$D43)</f>
        <v>0</v>
      </c>
      <c r="Z43" s="271">
        <f>_xlfn.IFNA(INDEX('Data manipulation'!$C$23:$O$40,MATCH($V43,'Data manipulation'!$B$23:$B$40,0),MATCH($X43,'Data manipulation'!$C$22:$O$22,0))/1000,0)*SUMIFS('Regional split'!$F$4:$F$6,'Regional split'!$B$4:$B$6,Z$3)*SUMIFS('Data manipulation'!$V$40:$V$43,'Data manipulation'!$X$40:$X$43,$E43,'Data manipulation'!$Y$40:$Y$43,$D43)</f>
        <v>0</v>
      </c>
      <c r="AA43" s="458">
        <f>_xlfn.IFNA(INDEX('Data manipulation'!$C$23:$O$40,MATCH($V43,'Data manipulation'!$B$23:$B$40,0),MATCH($X43,'Data manipulation'!$C$22:$O$22,0))/1000,0)*SUMIFS('Regional split'!$F$4:$F$6,'Regional split'!$B$4:$B$6,AA$3)*SUMIFS('Data manipulation'!$V$40:$V$43,'Data manipulation'!$X$40:$X$43,$E43,'Data manipulation'!$Y$40:$Y$43,$D43)</f>
        <v>0</v>
      </c>
      <c r="AB43" s="447">
        <f t="shared" si="17"/>
        <v>0</v>
      </c>
      <c r="AC43" s="252">
        <f t="shared" si="18"/>
        <v>0</v>
      </c>
      <c r="AD43" s="448">
        <f t="shared" si="19"/>
        <v>0</v>
      </c>
      <c r="AV43" s="261"/>
      <c r="BA43" s="253"/>
    </row>
    <row r="44" spans="2:53" ht="15" customHeight="1">
      <c r="B44" s="233" t="str">
        <f>Processes!D83</f>
        <v>RHTRMHCEE1</v>
      </c>
      <c r="C44" s="233" t="str">
        <f>Processes!E83</f>
        <v>Residential Heating Technology Rural Multi - District heating Central - Existing 1</v>
      </c>
      <c r="D44" s="233" t="s">
        <v>714</v>
      </c>
      <c r="E44" s="233" t="s">
        <v>757</v>
      </c>
      <c r="F44" s="230" t="str">
        <f>Commodities!$C$32</f>
        <v>RESHDE</v>
      </c>
      <c r="G44" s="262" t="str">
        <f>Commodities!$C$38</f>
        <v>RESHRMX</v>
      </c>
      <c r="H44" s="262">
        <v>2010</v>
      </c>
      <c r="I44" s="583">
        <v>0</v>
      </c>
      <c r="J44" s="583">
        <v>0</v>
      </c>
      <c r="K44" s="583">
        <v>0</v>
      </c>
      <c r="L44" s="466">
        <v>0.98</v>
      </c>
      <c r="M44" s="466">
        <v>0.98</v>
      </c>
      <c r="N44" s="466">
        <v>0.98</v>
      </c>
      <c r="O44" s="244">
        <f t="shared" si="23"/>
        <v>3.1536000000000002E-2</v>
      </c>
      <c r="P44" s="462">
        <v>0.15</v>
      </c>
      <c r="Q44" s="246">
        <v>30</v>
      </c>
      <c r="R44" s="227">
        <v>1.05</v>
      </c>
      <c r="T44" s="269">
        <f t="shared" si="5"/>
        <v>0</v>
      </c>
      <c r="U44" s="269"/>
      <c r="V44" s="227" t="s">
        <v>220</v>
      </c>
      <c r="W44" s="255" t="s">
        <v>192</v>
      </c>
      <c r="X44" s="247">
        <v>2010</v>
      </c>
      <c r="Y44" s="436">
        <f>_xlfn.IFNA(INDEX('Data manipulation'!$C$23:$O$40,MATCH($V44,'Data manipulation'!$B$23:$B$40,0),MATCH($X44,'Data manipulation'!$C$22:$O$22,0))/1000,0)*SUMIFS('Regional split'!$F$4:$F$6,'Regional split'!$B$4:$B$6,Y$3)*SUMIFS('Data manipulation'!$V$40:$V$43,'Data manipulation'!$X$40:$X$43,$E44,'Data manipulation'!$Y$40:$Y$43,$D44)</f>
        <v>2.4799305054545452E-2</v>
      </c>
      <c r="Z44" s="271">
        <f>_xlfn.IFNA(INDEX('Data manipulation'!$C$23:$O$40,MATCH($V44,'Data manipulation'!$B$23:$B$40,0),MATCH($X44,'Data manipulation'!$C$22:$O$22,0))/1000,0)*SUMIFS('Regional split'!$F$4:$F$6,'Regional split'!$B$4:$B$6,Z$3)*SUMIFS('Data manipulation'!$V$40:$V$43,'Data manipulation'!$X$40:$X$43,$E44,'Data manipulation'!$Y$40:$Y$43,$D44)</f>
        <v>6.2995732727272726E-4</v>
      </c>
      <c r="AA44" s="458">
        <f>_xlfn.IFNA(INDEX('Data manipulation'!$C$23:$O$40,MATCH($V44,'Data manipulation'!$B$23:$B$40,0),MATCH($X44,'Data manipulation'!$C$22:$O$22,0))/1000,0)*SUMIFS('Regional split'!$F$4:$F$6,'Regional split'!$B$4:$B$6,AA$3)*SUMIFS('Data manipulation'!$V$40:$V$43,'Data manipulation'!$X$40:$X$43,$E44,'Data manipulation'!$Y$40:$Y$43,$D44)</f>
        <v>1.9947376181818181E-3</v>
      </c>
      <c r="AB44" s="447">
        <f t="shared" si="17"/>
        <v>2.4303318953454542E-2</v>
      </c>
      <c r="AC44" s="252">
        <f t="shared" si="18"/>
        <v>6.173581807272727E-4</v>
      </c>
      <c r="AD44" s="448">
        <f t="shared" si="19"/>
        <v>1.9548428658181819E-3</v>
      </c>
      <c r="AV44" s="261"/>
      <c r="BA44" s="254"/>
    </row>
    <row r="45" spans="2:53" ht="15" customHeight="1" thickBot="1">
      <c r="B45" s="567" t="str">
        <f>Processes!D84</f>
        <v>RHTRMLPGE1</v>
      </c>
      <c r="C45" s="567" t="str">
        <f>Processes!E84</f>
        <v>Residential Heating Technology Rural Multi - LPG - Existing 1</v>
      </c>
      <c r="D45" s="549" t="s">
        <v>714</v>
      </c>
      <c r="E45" s="549" t="s">
        <v>757</v>
      </c>
      <c r="F45" s="548" t="str">
        <f>F35</f>
        <v>RESLPG</v>
      </c>
      <c r="G45" s="426" t="str">
        <f>G43</f>
        <v>RESHRMB</v>
      </c>
      <c r="H45" s="426">
        <v>2010</v>
      </c>
      <c r="I45" s="298">
        <f t="shared" ref="I45" si="30">ROUNDUP(AB45/($O45*$P45)*$R45,1)</f>
        <v>7.1</v>
      </c>
      <c r="J45" s="298">
        <f t="shared" ref="J45" si="31">ROUNDUP(AC45/($O45*$P45)*$R45,1)</f>
        <v>0.2</v>
      </c>
      <c r="K45" s="298">
        <f t="shared" ref="K45" si="32">ROUNDUP(AD45/($O45*$P45)*$R45,1)</f>
        <v>0.6</v>
      </c>
      <c r="L45" s="468">
        <v>0.98</v>
      </c>
      <c r="M45" s="468">
        <v>0.98</v>
      </c>
      <c r="N45" s="468">
        <v>0.98</v>
      </c>
      <c r="O45" s="427">
        <f t="shared" si="23"/>
        <v>3.1536000000000002E-2</v>
      </c>
      <c r="P45" s="464">
        <v>0.15</v>
      </c>
      <c r="Q45" s="428">
        <v>30</v>
      </c>
      <c r="R45" s="227">
        <v>1.05</v>
      </c>
      <c r="T45" s="269">
        <f t="shared" si="5"/>
        <v>3.8132816326530615E-2</v>
      </c>
      <c r="U45" s="269"/>
      <c r="V45" s="425" t="s">
        <v>210</v>
      </c>
      <c r="W45" s="429" t="s">
        <v>769</v>
      </c>
      <c r="X45" s="429">
        <v>2010</v>
      </c>
      <c r="Y45" s="438">
        <f>_xlfn.IFNA(INDEX('Data manipulation'!$C$23:$O$40,MATCH($V45,'Data manipulation'!$B$23:$B$40,0),MATCH($X45,'Data manipulation'!$C$22:$O$22,0))/1000,0)*SUMIFS('Regional split'!$F$4:$F$6,'Regional split'!$B$4:$B$6,Y$3)*SUMIFS('Data manipulation'!$V$40:$V$43,'Data manipulation'!$X$40:$X$43,$E45,'Data manipulation'!$Y$40:$Y$43,$D45)</f>
        <v>3.2241447730227274E-2</v>
      </c>
      <c r="Z45" s="430">
        <f>_xlfn.IFNA(INDEX('Data manipulation'!$C$23:$O$40,MATCH($V45,'Data manipulation'!$B$23:$B$40,0),MATCH($X45,'Data manipulation'!$C$22:$O$22,0))/1000,0)*SUMIFS('Regional split'!$F$4:$F$6,'Regional split'!$B$4:$B$6,Z$3)*SUMIFS('Data manipulation'!$V$40:$V$43,'Data manipulation'!$X$40:$X$43,$E45,'Data manipulation'!$Y$40:$Y$43,$D45)</f>
        <v>8.1900425011363631E-4</v>
      </c>
      <c r="AA45" s="460">
        <f>_xlfn.IFNA(INDEX('Data manipulation'!$C$23:$O$40,MATCH($V45,'Data manipulation'!$B$23:$B$40,0),MATCH($X45,'Data manipulation'!$C$22:$O$22,0))/1000,0)*SUMIFS('Regional split'!$F$4:$F$6,'Regional split'!$B$4:$B$6,AA$3)*SUMIFS('Data manipulation'!$V$40:$V$43,'Data manipulation'!$X$40:$X$43,$E45,'Data manipulation'!$Y$40:$Y$43,$D45)</f>
        <v>2.5933480196590909E-3</v>
      </c>
      <c r="AB45" s="452">
        <f t="shared" si="17"/>
        <v>3.1596618775622726E-2</v>
      </c>
      <c r="AC45" s="431">
        <f t="shared" si="18"/>
        <v>8.0262416511136354E-4</v>
      </c>
      <c r="AD45" s="453">
        <f t="shared" si="19"/>
        <v>2.541481059265909E-3</v>
      </c>
      <c r="AV45" s="261"/>
      <c r="BA45" s="253"/>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v>
      </c>
      <c r="G46" s="227" t="str">
        <f t="shared" si="33"/>
        <v>RESHUDB</v>
      </c>
      <c r="H46" s="230">
        <v>2015</v>
      </c>
      <c r="I46" s="251">
        <f>ROUNDUP(AB46/($O46*$P46)*$R46,1)</f>
        <v>2888.6</v>
      </c>
      <c r="J46" s="251">
        <f>ROUNDUP(AC46/($O46*$P46)*$R46,1)</f>
        <v>73.399999999999991</v>
      </c>
      <c r="K46" s="251">
        <f>ROUNDUP(AD46/($O46*$P46)*$R46,1)</f>
        <v>232.4</v>
      </c>
      <c r="L46" s="466">
        <v>0.72</v>
      </c>
      <c r="M46" s="466">
        <v>0.72</v>
      </c>
      <c r="N46" s="466">
        <v>0.72</v>
      </c>
      <c r="O46" s="244">
        <f>31.536/1000</f>
        <v>3.1536000000000002E-2</v>
      </c>
      <c r="P46" s="462">
        <v>0.15</v>
      </c>
      <c r="Q46" s="246">
        <v>22</v>
      </c>
      <c r="R46" s="227">
        <v>1.0900000000000001</v>
      </c>
      <c r="T46" s="269">
        <f t="shared" si="5"/>
        <v>20.987207999999999</v>
      </c>
      <c r="U46" s="269"/>
      <c r="V46" s="227" t="s">
        <v>80</v>
      </c>
      <c r="W46" s="247" t="s">
        <v>187</v>
      </c>
      <c r="X46" s="247">
        <v>2015</v>
      </c>
      <c r="Y46" s="436">
        <f>_xlfn.IFNA(INDEX('Data manipulation'!$C$23:$O$40,MATCH($V46,'Data manipulation'!$B$23:$B$40,0),MATCH($X46,'Data manipulation'!$C$22:$O$22,0))/1000,0)*SUMIFS('Regional split'!$F$4:$F$6,'Regional split'!$B$4:$B$6,Y$3)*SUMIFS('Data manipulation'!$V$40:$V$43,'Data manipulation'!$X$40:$X$43,$E46,'Data manipulation'!$Y$40:$Y$43,$D46)</f>
        <v>17.41093172857309</v>
      </c>
      <c r="Z46" s="271">
        <f>_xlfn.IFNA(INDEX('Data manipulation'!$C$23:$O$40,MATCH($V46,'Data manipulation'!$B$23:$B$40,0),MATCH($X46,'Data manipulation'!$C$22:$O$22,0))/1000,0)*SUMIFS('Regional split'!$F$4:$F$6,'Regional split'!$B$4:$B$6,Z$3)*SUMIFS('Data manipulation'!$V$40:$V$43,'Data manipulation'!$X$40:$X$43,$E46,'Data manipulation'!$Y$40:$Y$43,$D46)</f>
        <v>0.44227626511854551</v>
      </c>
      <c r="AA46" s="458">
        <f>_xlfn.IFNA(INDEX('Data manipulation'!$C$23:$O$40,MATCH($V46,'Data manipulation'!$B$23:$B$40,0),MATCH($X46,'Data manipulation'!$C$22:$O$22,0))/1000,0)*SUMIFS('Regional split'!$F$4:$F$6,'Regional split'!$B$4:$B$6,AA$3)*SUMIFS('Data manipulation'!$V$40:$V$43,'Data manipulation'!$X$40:$X$43,$E46,'Data manipulation'!$Y$40:$Y$43,$D46)</f>
        <v>1.4004521663083636</v>
      </c>
      <c r="AB46" s="447">
        <f>Y46*L46</f>
        <v>12.535870844572624</v>
      </c>
      <c r="AC46" s="252">
        <f t="shared" si="0"/>
        <v>0.31843891088535276</v>
      </c>
      <c r="AD46" s="448">
        <f t="shared" si="1"/>
        <v>1.0083255597420218</v>
      </c>
      <c r="AE46" s="263"/>
      <c r="AU46" s="261"/>
      <c r="AZ46" s="253"/>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1">
        <f t="shared" ref="I47:I53" si="37">ROUNDUP(AB47/($O47*$P47)*$R47,1)</f>
        <v>0.5</v>
      </c>
      <c r="J47" s="251">
        <f t="shared" ref="J47:J53" si="38">ROUNDUP(AC47/($O47*$P47)*$R47,1)</f>
        <v>0.1</v>
      </c>
      <c r="K47" s="251">
        <f t="shared" ref="K47:K53" si="39">ROUNDUP(AD47/($O47*$P47)*$R47,1)</f>
        <v>0.1</v>
      </c>
      <c r="L47" s="466">
        <v>0.71</v>
      </c>
      <c r="M47" s="466">
        <v>0.71</v>
      </c>
      <c r="N47" s="466">
        <v>0.71</v>
      </c>
      <c r="O47" s="244">
        <f>31.536/1000</f>
        <v>3.1536000000000002E-2</v>
      </c>
      <c r="P47" s="462">
        <v>0.15</v>
      </c>
      <c r="Q47" s="246">
        <v>20</v>
      </c>
      <c r="R47" s="227">
        <v>1.0900000000000001</v>
      </c>
      <c r="T47" s="269">
        <f t="shared" si="5"/>
        <v>4.6637746478873235E-3</v>
      </c>
      <c r="V47" s="227" t="s">
        <v>213</v>
      </c>
      <c r="W47" s="255" t="s">
        <v>728</v>
      </c>
      <c r="X47" s="247">
        <v>2015</v>
      </c>
      <c r="Y47" s="436">
        <f>_xlfn.IFNA(INDEX('Data manipulation'!$C$23:$O$40,MATCH($V47,'Data manipulation'!$B$23:$B$40,0),MATCH($X47,'Data manipulation'!$C$22:$O$22,0))/1000,0)*SUMIFS('Regional split'!$F$4:$F$6,'Regional split'!$B$4:$B$6,Y$3)*SUMIFS('Data manipulation'!$V$40:$V$43,'Data manipulation'!$X$40:$X$43,$E47,'Data manipulation'!$Y$40:$Y$43,$D47)</f>
        <v>2.986334050909091E-3</v>
      </c>
      <c r="Z47" s="271">
        <f>_xlfn.IFNA(INDEX('Data manipulation'!$C$23:$O$40,MATCH($V47,'Data manipulation'!$B$23:$B$40,0),MATCH($X47,'Data manipulation'!$C$22:$O$22,0))/1000,0)*SUMIFS('Regional split'!$F$4:$F$6,'Regional split'!$B$4:$B$6,Z$3)*SUMIFS('Data manipulation'!$V$40:$V$43,'Data manipulation'!$X$40:$X$43,$E47,'Data manipulation'!$Y$40:$Y$43,$D47)</f>
        <v>7.5859505454545467E-5</v>
      </c>
      <c r="AA47" s="458">
        <f>_xlfn.IFNA(INDEX('Data manipulation'!$C$23:$O$40,MATCH($V47,'Data manipulation'!$B$23:$B$40,0),MATCH($X47,'Data manipulation'!$C$22:$O$22,0))/1000,0)*SUMIFS('Regional split'!$F$4:$F$6,'Regional split'!$B$4:$B$6,AA$3)*SUMIFS('Data manipulation'!$V$40:$V$43,'Data manipulation'!$X$40:$X$43,$E47,'Data manipulation'!$Y$40:$Y$43,$D47)</f>
        <v>2.4020644363636364E-4</v>
      </c>
      <c r="AB47" s="447">
        <f t="shared" si="6"/>
        <v>2.1202971761454543E-3</v>
      </c>
      <c r="AC47" s="252">
        <f t="shared" si="0"/>
        <v>5.3860248872727279E-5</v>
      </c>
      <c r="AD47" s="448">
        <f t="shared" si="1"/>
        <v>1.7054657498181817E-4</v>
      </c>
      <c r="AE47" s="263"/>
      <c r="AU47" s="261"/>
      <c r="AZ47" s="253"/>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1">
        <f t="shared" si="37"/>
        <v>13.2</v>
      </c>
      <c r="J48" s="251">
        <f t="shared" si="38"/>
        <v>0.4</v>
      </c>
      <c r="K48" s="251">
        <f t="shared" si="39"/>
        <v>1.1000000000000001</v>
      </c>
      <c r="L48" s="466">
        <v>0.61</v>
      </c>
      <c r="M48" s="466">
        <v>0.61</v>
      </c>
      <c r="N48" s="466">
        <v>0.61</v>
      </c>
      <c r="O48" s="244">
        <f t="shared" ref="O48:O65" si="42">31.536/1000</f>
        <v>3.1536000000000002E-2</v>
      </c>
      <c r="P48" s="462">
        <v>0.15</v>
      </c>
      <c r="Q48" s="246">
        <v>20</v>
      </c>
      <c r="R48" s="227">
        <v>1.0900000000000001</v>
      </c>
      <c r="T48" s="269">
        <f t="shared" si="5"/>
        <v>0.11399488524590164</v>
      </c>
      <c r="U48" s="269"/>
      <c r="V48" s="227" t="s">
        <v>214</v>
      </c>
      <c r="W48" s="255" t="s">
        <v>728</v>
      </c>
      <c r="X48" s="247">
        <v>2015</v>
      </c>
      <c r="Y48" s="436">
        <f>_xlfn.IFNA(INDEX('Data manipulation'!$C$23:$O$40,MATCH($V48,'Data manipulation'!$B$23:$B$40,0),MATCH($X48,'Data manipulation'!$C$22:$O$22,0))/1000,0)*SUMIFS('Regional split'!$F$4:$F$6,'Regional split'!$B$4:$B$6,Y$3)*SUMIFS('Data manipulation'!$V$40:$V$43,'Data manipulation'!$X$40:$X$43,$E48,'Data manipulation'!$Y$40:$Y$43,$D48)</f>
        <v>9.3803299025454548E-2</v>
      </c>
      <c r="Z48" s="271">
        <f>_xlfn.IFNA(INDEX('Data manipulation'!$C$23:$O$40,MATCH($V48,'Data manipulation'!$B$23:$B$40,0),MATCH($X48,'Data manipulation'!$C$22:$O$22,0))/1000,0)*SUMIFS('Regional split'!$F$4:$F$6,'Regional split'!$B$4:$B$6,Z$3)*SUMIFS('Data manipulation'!$V$40:$V$43,'Data manipulation'!$X$40:$X$43,$E48,'Data manipulation'!$Y$40:$Y$43,$D48)</f>
        <v>2.3828117527272727E-3</v>
      </c>
      <c r="AA48" s="458">
        <f>_xlfn.IFNA(INDEX('Data manipulation'!$C$23:$O$40,MATCH($V48,'Data manipulation'!$B$23:$B$40,0),MATCH($X48,'Data manipulation'!$C$22:$O$22,0))/1000,0)*SUMIFS('Regional split'!$F$4:$F$6,'Regional split'!$B$4:$B$6,AA$3)*SUMIFS('Data manipulation'!$V$40:$V$43,'Data manipulation'!$X$40:$X$43,$E48,'Data manipulation'!$Y$40:$Y$43,$D48)</f>
        <v>7.5450892218181815E-3</v>
      </c>
      <c r="AB48" s="447">
        <f t="shared" si="6"/>
        <v>5.7220012405527272E-2</v>
      </c>
      <c r="AC48" s="252">
        <f t="shared" si="0"/>
        <v>1.4535151691636363E-3</v>
      </c>
      <c r="AD48" s="448">
        <f t="shared" si="1"/>
        <v>4.6025044253090903E-3</v>
      </c>
      <c r="AE48" s="263"/>
      <c r="AU48" s="261"/>
      <c r="AZ48" s="253"/>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1">
        <f t="shared" si="37"/>
        <v>71.699999999999989</v>
      </c>
      <c r="J49" s="251">
        <f t="shared" si="38"/>
        <v>1.9000000000000001</v>
      </c>
      <c r="K49" s="251">
        <f t="shared" si="39"/>
        <v>5.8</v>
      </c>
      <c r="L49" s="466">
        <v>0.65000022993955098</v>
      </c>
      <c r="M49" s="466">
        <v>0.65000022993955098</v>
      </c>
      <c r="N49" s="466">
        <v>0.65000022993955098</v>
      </c>
      <c r="O49" s="244">
        <f t="shared" si="42"/>
        <v>3.1536000000000002E-2</v>
      </c>
      <c r="P49" s="462">
        <v>0.15</v>
      </c>
      <c r="Q49" s="246">
        <v>20</v>
      </c>
      <c r="R49" s="227">
        <v>1.0900000000000001</v>
      </c>
      <c r="T49" s="269">
        <f t="shared" si="5"/>
        <v>0.57783634943472184</v>
      </c>
      <c r="U49" s="269"/>
      <c r="V49" s="227" t="s">
        <v>221</v>
      </c>
      <c r="W49" s="255" t="s">
        <v>197</v>
      </c>
      <c r="X49" s="247">
        <v>2015</v>
      </c>
      <c r="Y49" s="436">
        <f>_xlfn.IFNA(INDEX('Data manipulation'!$C$23:$O$40,MATCH($V49,'Data manipulation'!$B$23:$B$40,0),MATCH($X49,'Data manipulation'!$C$22:$O$22,0))/1000,0)*SUMIFS('Regional split'!$F$4:$F$6,'Regional split'!$B$4:$B$6,Y$3)*SUMIFS('Data manipulation'!$V$40:$V$43,'Data manipulation'!$X$40:$X$43,$E49,'Data manipulation'!$Y$40:$Y$43,$D49)</f>
        <v>0.47827644567272726</v>
      </c>
      <c r="Z49" s="271">
        <f>_xlfn.IFNA(INDEX('Data manipulation'!$C$23:$O$40,MATCH($V49,'Data manipulation'!$B$23:$B$40,0),MATCH($X49,'Data manipulation'!$C$22:$O$22,0))/1000,0)*SUMIFS('Regional split'!$F$4:$F$6,'Regional split'!$B$4:$B$6,Z$3)*SUMIFS('Data manipulation'!$V$40:$V$43,'Data manipulation'!$X$40:$X$43,$E49,'Data manipulation'!$Y$40:$Y$43,$D49)</f>
        <v>1.2149282036363637E-2</v>
      </c>
      <c r="AA49" s="458">
        <f>_xlfn.IFNA(INDEX('Data manipulation'!$C$23:$O$40,MATCH($V49,'Data manipulation'!$B$23:$B$40,0),MATCH($X49,'Data manipulation'!$C$22:$O$22,0))/1000,0)*SUMIFS('Regional split'!$F$4:$F$6,'Regional split'!$B$4:$B$6,AA$3)*SUMIFS('Data manipulation'!$V$40:$V$43,'Data manipulation'!$X$40:$X$43,$E49,'Data manipulation'!$Y$40:$Y$43,$D49)</f>
        <v>3.8470272290909088E-2</v>
      </c>
      <c r="AB49" s="447">
        <f t="shared" si="6"/>
        <v>0.3108797996619439</v>
      </c>
      <c r="AC49" s="252">
        <f t="shared" si="0"/>
        <v>7.8970361172368206E-3</v>
      </c>
      <c r="AD49" s="448">
        <f t="shared" si="1"/>
        <v>2.5005685834928043E-2</v>
      </c>
      <c r="AE49" s="263"/>
      <c r="AU49" s="261"/>
      <c r="AZ49" s="253"/>
    </row>
    <row r="50" spans="2:52" ht="15" customHeight="1">
      <c r="B50" s="233" t="str">
        <f t="shared" si="34"/>
        <v>RHTUDSTRE1</v>
      </c>
      <c r="C50" s="233" t="str">
        <f t="shared" si="34"/>
        <v>Residential Heating Technology Urban Detached - Straw - Existing 1</v>
      </c>
      <c r="D50" s="233" t="str">
        <f t="shared" ref="D50:E50" si="45">D10</f>
        <v>Urban</v>
      </c>
      <c r="E50" s="233" t="str">
        <f t="shared" si="45"/>
        <v>Detached</v>
      </c>
      <c r="F50" s="233" t="str">
        <f t="shared" ref="F50:G50" si="46">F10</f>
        <v>RESSTR</v>
      </c>
      <c r="G50" s="233" t="str">
        <f t="shared" si="46"/>
        <v>RESHUDB</v>
      </c>
      <c r="H50" s="230">
        <v>2015</v>
      </c>
      <c r="I50" s="251">
        <f t="shared" si="37"/>
        <v>0</v>
      </c>
      <c r="J50" s="251">
        <f t="shared" si="38"/>
        <v>0</v>
      </c>
      <c r="K50" s="251">
        <f t="shared" si="39"/>
        <v>0</v>
      </c>
      <c r="L50" s="466">
        <v>0.61</v>
      </c>
      <c r="M50" s="466">
        <v>0.61</v>
      </c>
      <c r="N50" s="466">
        <v>0.61</v>
      </c>
      <c r="O50" s="244">
        <f t="shared" si="42"/>
        <v>3.1536000000000002E-2</v>
      </c>
      <c r="P50" s="462">
        <v>0.15</v>
      </c>
      <c r="Q50" s="246">
        <v>20</v>
      </c>
      <c r="R50" s="227">
        <v>1.0900000000000001</v>
      </c>
      <c r="T50" s="269">
        <f t="shared" si="5"/>
        <v>0</v>
      </c>
      <c r="U50" s="269"/>
      <c r="W50" s="255" t="s">
        <v>188</v>
      </c>
      <c r="X50" s="247">
        <v>2015</v>
      </c>
      <c r="Y50" s="436">
        <f>_xlfn.IFNA(INDEX('Data manipulation'!$C$23:$O$40,MATCH($V50,'Data manipulation'!$B$23:$B$40,0),MATCH($X50,'Data manipulation'!$C$22:$O$22,0))/1000,0)*SUMIFS('Regional split'!$F$4:$F$6,'Regional split'!$B$4:$B$6,Y$3)*SUMIFS('Data manipulation'!$V$40:$V$43,'Data manipulation'!$X$40:$X$43,$E50,'Data manipulation'!$Y$40:$Y$43,$D50)</f>
        <v>0</v>
      </c>
      <c r="Z50" s="271">
        <f>_xlfn.IFNA(INDEX('Data manipulation'!$C$23:$O$40,MATCH($V50,'Data manipulation'!$B$23:$B$40,0),MATCH($X50,'Data manipulation'!$C$22:$O$22,0))/1000,0)*SUMIFS('Regional split'!$F$4:$F$6,'Regional split'!$B$4:$B$6,Z$3)*SUMIFS('Data manipulation'!$V$40:$V$43,'Data manipulation'!$X$40:$X$43,$E50,'Data manipulation'!$Y$40:$Y$43,$D50)</f>
        <v>0</v>
      </c>
      <c r="AA50" s="458">
        <f>_xlfn.IFNA(INDEX('Data manipulation'!$C$23:$O$40,MATCH($V50,'Data manipulation'!$B$23:$B$40,0),MATCH($X50,'Data manipulation'!$C$22:$O$22,0))/1000,0)*SUMIFS('Regional split'!$F$4:$F$6,'Regional split'!$B$4:$B$6,AA$3)*SUMIFS('Data manipulation'!$V$40:$V$43,'Data manipulation'!$X$40:$X$43,$E50,'Data manipulation'!$Y$40:$Y$43,$D50)</f>
        <v>0</v>
      </c>
      <c r="AB50" s="447">
        <f t="shared" si="6"/>
        <v>0</v>
      </c>
      <c r="AC50" s="252">
        <f t="shared" si="0"/>
        <v>0</v>
      </c>
      <c r="AD50" s="448">
        <f t="shared" si="1"/>
        <v>0</v>
      </c>
      <c r="AE50" s="263"/>
      <c r="AU50" s="261"/>
      <c r="AZ50" s="253"/>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1">
        <f t="shared" si="37"/>
        <v>0</v>
      </c>
      <c r="J51" s="251">
        <f t="shared" si="38"/>
        <v>0</v>
      </c>
      <c r="K51" s="251">
        <f t="shared" si="39"/>
        <v>0</v>
      </c>
      <c r="L51" s="466">
        <v>1</v>
      </c>
      <c r="M51" s="466">
        <v>1</v>
      </c>
      <c r="N51" s="466">
        <v>1</v>
      </c>
      <c r="O51" s="244">
        <f t="shared" si="42"/>
        <v>3.1536000000000002E-2</v>
      </c>
      <c r="P51" s="462">
        <v>0.15</v>
      </c>
      <c r="Q51" s="246">
        <v>20</v>
      </c>
      <c r="R51" s="227">
        <v>1.0900000000000001</v>
      </c>
      <c r="T51" s="269">
        <f t="shared" si="5"/>
        <v>0</v>
      </c>
      <c r="U51" s="269"/>
      <c r="W51" s="255" t="s">
        <v>189</v>
      </c>
      <c r="X51" s="247">
        <v>2015</v>
      </c>
      <c r="Y51" s="436">
        <f>_xlfn.IFNA(INDEX('Data manipulation'!$C$23:$O$40,MATCH($V51,'Data manipulation'!$B$23:$B$40,0),MATCH($X51,'Data manipulation'!$C$22:$O$22,0))/1000,0)*SUMIFS('Regional split'!$F$4:$F$6,'Regional split'!$B$4:$B$6,Y$3)*SUMIFS('Data manipulation'!$V$40:$V$43,'Data manipulation'!$X$40:$X$43,$E51,'Data manipulation'!$Y$40:$Y$43,$D51)</f>
        <v>0</v>
      </c>
      <c r="Z51" s="271">
        <f>_xlfn.IFNA(INDEX('Data manipulation'!$C$23:$O$40,MATCH($V51,'Data manipulation'!$B$23:$B$40,0),MATCH($X51,'Data manipulation'!$C$22:$O$22,0))/1000,0)*SUMIFS('Regional split'!$F$4:$F$6,'Regional split'!$B$4:$B$6,Z$3)*SUMIFS('Data manipulation'!$V$40:$V$43,'Data manipulation'!$X$40:$X$43,$E51,'Data manipulation'!$Y$40:$Y$43,$D51)</f>
        <v>0</v>
      </c>
      <c r="AA51" s="458">
        <f>_xlfn.IFNA(INDEX('Data manipulation'!$C$23:$O$40,MATCH($V51,'Data manipulation'!$B$23:$B$40,0),MATCH($X51,'Data manipulation'!$C$22:$O$22,0))/1000,0)*SUMIFS('Regional split'!$F$4:$F$6,'Regional split'!$B$4:$B$6,AA$3)*SUMIFS('Data manipulation'!$V$40:$V$43,'Data manipulation'!$X$40:$X$43,$E51,'Data manipulation'!$Y$40:$Y$43,$D51)</f>
        <v>0</v>
      </c>
      <c r="AB51" s="447">
        <f t="shared" si="6"/>
        <v>0</v>
      </c>
      <c r="AC51" s="252">
        <f t="shared" si="0"/>
        <v>0</v>
      </c>
      <c r="AD51" s="448">
        <f t="shared" si="1"/>
        <v>0</v>
      </c>
      <c r="AE51" s="263"/>
      <c r="AU51" s="261"/>
      <c r="AZ51" s="253"/>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1">
        <f t="shared" si="37"/>
        <v>0</v>
      </c>
      <c r="J52" s="251">
        <f t="shared" si="38"/>
        <v>0</v>
      </c>
      <c r="K52" s="251">
        <f t="shared" si="39"/>
        <v>0</v>
      </c>
      <c r="L52" s="466">
        <v>1</v>
      </c>
      <c r="M52" s="466">
        <v>1</v>
      </c>
      <c r="N52" s="466">
        <v>1</v>
      </c>
      <c r="O52" s="244">
        <f t="shared" si="42"/>
        <v>3.1536000000000002E-2</v>
      </c>
      <c r="P52" s="462">
        <v>0.15</v>
      </c>
      <c r="Q52" s="246">
        <v>30</v>
      </c>
      <c r="R52" s="227">
        <v>1.0900000000000001</v>
      </c>
      <c r="T52" s="269">
        <f t="shared" si="5"/>
        <v>0</v>
      </c>
      <c r="U52" s="269"/>
      <c r="V52" s="227" t="str">
        <f>V22</f>
        <v>Electricity</v>
      </c>
      <c r="W52" s="255" t="s">
        <v>190</v>
      </c>
      <c r="X52" s="247">
        <v>2015</v>
      </c>
      <c r="Y52" s="436">
        <f>_xlfn.IFNA(INDEX('Data manipulation'!$C$23:$O$40,MATCH($V52,'Data manipulation'!$B$23:$B$40,0),MATCH($X52,'Data manipulation'!$C$22:$O$22,0))/1000,0)*SUMIFS('Regional split'!$F$4:$F$6,'Regional split'!$B$4:$B$6,Y$3)*SUMIFS('Data manipulation'!$V$40:$V$43,'Data manipulation'!$X$40:$X$43,$E52,'Data manipulation'!$Y$40:$Y$43,$D52)</f>
        <v>0</v>
      </c>
      <c r="Z52" s="271">
        <f>_xlfn.IFNA(INDEX('Data manipulation'!$C$23:$O$40,MATCH($V52,'Data manipulation'!$B$23:$B$40,0),MATCH($X52,'Data manipulation'!$C$22:$O$22,0))/1000,0)*SUMIFS('Regional split'!$F$4:$F$6,'Regional split'!$B$4:$B$6,Z$3)*SUMIFS('Data manipulation'!$V$40:$V$43,'Data manipulation'!$X$40:$X$43,$E52,'Data manipulation'!$Y$40:$Y$43,$D52)</f>
        <v>0</v>
      </c>
      <c r="AA52" s="458">
        <f>_xlfn.IFNA(INDEX('Data manipulation'!$C$23:$O$40,MATCH($V52,'Data manipulation'!$B$23:$B$40,0),MATCH($X52,'Data manipulation'!$C$22:$O$22,0))/1000,0)*SUMIFS('Regional split'!$F$4:$F$6,'Regional split'!$B$4:$B$6,AA$3)*SUMIFS('Data manipulation'!$V$40:$V$43,'Data manipulation'!$X$40:$X$43,$E52,'Data manipulation'!$Y$40:$Y$43,$D52)</f>
        <v>0</v>
      </c>
      <c r="AB52" s="447">
        <f t="shared" si="6"/>
        <v>0</v>
      </c>
      <c r="AC52" s="252">
        <f t="shared" si="0"/>
        <v>0</v>
      </c>
      <c r="AD52" s="448">
        <f t="shared" si="1"/>
        <v>0</v>
      </c>
      <c r="AU52" s="261"/>
      <c r="AZ52" s="253"/>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1">
        <f t="shared" si="37"/>
        <v>0</v>
      </c>
      <c r="J53" s="251">
        <f t="shared" si="38"/>
        <v>0</v>
      </c>
      <c r="K53" s="251">
        <f t="shared" si="39"/>
        <v>0</v>
      </c>
      <c r="L53" s="466">
        <v>2.3149999999999999</v>
      </c>
      <c r="M53" s="466">
        <v>2.3149999999999999</v>
      </c>
      <c r="N53" s="466">
        <v>2.3149999999999999</v>
      </c>
      <c r="O53" s="244">
        <f t="shared" si="42"/>
        <v>3.1536000000000002E-2</v>
      </c>
      <c r="P53" s="462">
        <v>0.15</v>
      </c>
      <c r="Q53" s="246">
        <v>30</v>
      </c>
      <c r="R53" s="227">
        <v>1.0900000000000001</v>
      </c>
      <c r="T53" s="269">
        <f t="shared" si="5"/>
        <v>0</v>
      </c>
      <c r="U53" s="269"/>
      <c r="W53" s="255" t="s">
        <v>191</v>
      </c>
      <c r="X53" s="247">
        <v>2015</v>
      </c>
      <c r="Y53" s="436">
        <f>_xlfn.IFNA(INDEX('Data manipulation'!$C$23:$O$40,MATCH($V53,'Data manipulation'!$B$23:$B$40,0),MATCH($X53,'Data manipulation'!$C$22:$O$22,0))/1000,0)*SUMIFS('Regional split'!$F$4:$F$6,'Regional split'!$B$4:$B$6,Y$3)*SUMIFS('Data manipulation'!$V$40:$V$43,'Data manipulation'!$X$40:$X$43,$E53,'Data manipulation'!$Y$40:$Y$43,$D53)</f>
        <v>0</v>
      </c>
      <c r="Z53" s="271">
        <f>_xlfn.IFNA(INDEX('Data manipulation'!$C$23:$O$40,MATCH($V53,'Data manipulation'!$B$23:$B$40,0),MATCH($X53,'Data manipulation'!$C$22:$O$22,0))/1000,0)*SUMIFS('Regional split'!$F$4:$F$6,'Regional split'!$B$4:$B$6,Z$3)*SUMIFS('Data manipulation'!$V$40:$V$43,'Data manipulation'!$X$40:$X$43,$E53,'Data manipulation'!$Y$40:$Y$43,$D53)</f>
        <v>0</v>
      </c>
      <c r="AA53" s="458">
        <f>_xlfn.IFNA(INDEX('Data manipulation'!$C$23:$O$40,MATCH($V53,'Data manipulation'!$B$23:$B$40,0),MATCH($X53,'Data manipulation'!$C$22:$O$22,0))/1000,0)*SUMIFS('Regional split'!$F$4:$F$6,'Regional split'!$B$4:$B$6,AA$3)*SUMIFS('Data manipulation'!$V$40:$V$43,'Data manipulation'!$X$40:$X$43,$E53,'Data manipulation'!$Y$40:$Y$43,$D53)</f>
        <v>0</v>
      </c>
      <c r="AB53" s="447">
        <f t="shared" si="6"/>
        <v>0</v>
      </c>
      <c r="AC53" s="252">
        <f t="shared" si="0"/>
        <v>0</v>
      </c>
      <c r="AD53" s="448">
        <f t="shared" si="1"/>
        <v>0</v>
      </c>
      <c r="AU53" s="261"/>
      <c r="AZ53" s="253"/>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83">
        <f>ROUNDUP(AB54/($O54*$P54)*$I$1,1)+ROUNDUP(AC54/($O54*$P54)*$I$1,1)+ROUNDUP(AD54/($O54*$P54)*$I$1,1)+ROUNDUP(AB64/($O64*$P64)*$I$1,1)+ROUNDUP(AC64/($O64*$P64)*$I$1,1)+ROUNDUP(AD64/($O64*$P64)*$I$1,1)</f>
        <v>658.2</v>
      </c>
      <c r="J54" s="583">
        <v>0</v>
      </c>
      <c r="K54" s="583">
        <v>0</v>
      </c>
      <c r="L54" s="466">
        <v>0.95</v>
      </c>
      <c r="M54" s="466">
        <v>0.95</v>
      </c>
      <c r="N54" s="466">
        <v>0.95</v>
      </c>
      <c r="O54" s="244">
        <f t="shared" si="42"/>
        <v>3.1536000000000002E-2</v>
      </c>
      <c r="P54" s="462">
        <v>0.15</v>
      </c>
      <c r="Q54" s="246">
        <v>30</v>
      </c>
      <c r="R54" s="227">
        <v>1.05</v>
      </c>
      <c r="T54" s="269">
        <f t="shared" si="5"/>
        <v>3.2774202947368427</v>
      </c>
      <c r="U54" s="269"/>
      <c r="V54" s="227" t="s">
        <v>220</v>
      </c>
      <c r="W54" s="255" t="s">
        <v>192</v>
      </c>
      <c r="X54" s="247">
        <v>2015</v>
      </c>
      <c r="Y54" s="436">
        <f>_xlfn.IFNA(INDEX('Data manipulation'!$C$23:$O$40,MATCH($V54,'Data manipulation'!$B$23:$B$40,0),MATCH($X54,'Data manipulation'!$C$22:$O$22,0))/1000,0)*SUMIFS('Regional split'!$F$4:$F$6,'Regional split'!$B$4:$B$6,Y$3)*SUMIFS('Data manipulation'!$V$40:$V$43,'Data manipulation'!$X$40:$X$43,$E54,'Data manipulation'!$Y$40:$Y$43,$D54)</f>
        <v>0.98731907703272725</v>
      </c>
      <c r="Z54" s="271">
        <f>_xlfn.IFNA(INDEX('Data manipulation'!$C$23:$O$40,MATCH($V54,'Data manipulation'!$B$23:$B$40,0),MATCH($X54,'Data manipulation'!$C$22:$O$22,0))/1000,0)*SUMIFS('Regional split'!$F$4:$F$6,'Regional split'!$B$4:$B$6,Z$3)*SUMIFS('Data manipulation'!$V$40:$V$43,'Data manipulation'!$X$40:$X$43,$E54,'Data manipulation'!$Y$40:$Y$43,$D54)</f>
        <v>2.5080093396363638E-2</v>
      </c>
      <c r="AA54" s="458">
        <f>_xlfn.IFNA(INDEX('Data manipulation'!$C$23:$O$40,MATCH($V54,'Data manipulation'!$B$23:$B$40,0),MATCH($X54,'Data manipulation'!$C$22:$O$22,0))/1000,0)*SUMIFS('Regional split'!$F$4:$F$6,'Regional split'!$B$4:$B$6,AA$3)*SUMIFS('Data manipulation'!$V$40:$V$43,'Data manipulation'!$X$40:$X$43,$E54,'Data manipulation'!$Y$40:$Y$43,$D54)</f>
        <v>7.9415229570909088E-2</v>
      </c>
      <c r="AB54" s="447">
        <f t="shared" si="6"/>
        <v>0.93795312318109081</v>
      </c>
      <c r="AC54" s="252">
        <f t="shared" si="0"/>
        <v>2.3826088726545454E-2</v>
      </c>
      <c r="AD54" s="448">
        <f t="shared" si="1"/>
        <v>7.5444468092363631E-2</v>
      </c>
      <c r="AU54" s="261"/>
      <c r="AZ54" s="253"/>
    </row>
    <row r="55" spans="2:52" ht="15" customHeight="1" thickBot="1">
      <c r="B55" s="256" t="str">
        <f t="shared" si="34"/>
        <v>RHTUDLPGE1</v>
      </c>
      <c r="C55" s="256" t="str">
        <f t="shared" si="34"/>
        <v>Residential Heating Technology Urban Detached - LPG - Existing 1</v>
      </c>
      <c r="D55" s="546" t="str">
        <f t="shared" ref="D55:E55" si="55">D15</f>
        <v>Urban</v>
      </c>
      <c r="E55" s="546" t="str">
        <f t="shared" si="55"/>
        <v>Detached</v>
      </c>
      <c r="F55" s="256" t="str">
        <f t="shared" ref="F55:G55" si="56">F15</f>
        <v>RESLPG</v>
      </c>
      <c r="G55" s="256" t="str">
        <f t="shared" si="56"/>
        <v>RESHUDB</v>
      </c>
      <c r="H55" s="424">
        <v>2015</v>
      </c>
      <c r="I55" s="298">
        <f t="shared" ref="I55" si="57">ROUNDUP(AB55/($O55*$P55)*$R55,1)</f>
        <v>30.700000000000003</v>
      </c>
      <c r="J55" s="298">
        <f t="shared" ref="J55" si="58">ROUNDUP(AC55/($O55*$P55)*$R55,1)</f>
        <v>0.79999999999999993</v>
      </c>
      <c r="K55" s="298">
        <f t="shared" ref="K55" si="59">ROUNDUP(AD55/($O55*$P55)*$R55,1)</f>
        <v>2.5</v>
      </c>
      <c r="L55" s="467">
        <v>0.95</v>
      </c>
      <c r="M55" s="467">
        <v>0.95</v>
      </c>
      <c r="N55" s="467">
        <v>0.95</v>
      </c>
      <c r="O55" s="258">
        <f t="shared" si="42"/>
        <v>3.1536000000000002E-2</v>
      </c>
      <c r="P55" s="463">
        <v>0.15</v>
      </c>
      <c r="Q55" s="259">
        <v>30</v>
      </c>
      <c r="R55" s="227">
        <v>1.0900000000000001</v>
      </c>
      <c r="T55" s="269">
        <f t="shared" si="5"/>
        <v>0.16929852631578948</v>
      </c>
      <c r="U55" s="269"/>
      <c r="V55" s="227" t="s">
        <v>210</v>
      </c>
      <c r="W55" s="429" t="s">
        <v>769</v>
      </c>
      <c r="X55" s="247">
        <v>2015</v>
      </c>
      <c r="Y55" s="437">
        <f>_xlfn.IFNA(INDEX('Data manipulation'!$C$23:$O$40,MATCH($V55,'Data manipulation'!$B$23:$B$40,0),MATCH($X55,'Data manipulation'!$C$22:$O$22,0))/1000,0)*SUMIFS('Regional split'!$F$4:$F$6,'Regional split'!$B$4:$B$6,Y$3)*SUMIFS('Data manipulation'!$V$40:$V$43,'Data manipulation'!$X$40:$X$43,$E55,'Data manipulation'!$Y$40:$Y$43,$D55)</f>
        <v>0.13986460802618184</v>
      </c>
      <c r="Z55" s="434">
        <f>_xlfn.IFNA(INDEX('Data manipulation'!$C$23:$O$40,MATCH($V55,'Data manipulation'!$B$23:$B$40,0),MATCH($X55,'Data manipulation'!$C$22:$O$22,0))/1000,0)*SUMIFS('Regional split'!$F$4:$F$6,'Regional split'!$B$4:$B$6,Z$3)*SUMIFS('Data manipulation'!$V$40:$V$43,'Data manipulation'!$X$40:$X$43,$E55,'Data manipulation'!$Y$40:$Y$43,$D55)</f>
        <v>3.552871117090909E-3</v>
      </c>
      <c r="AA55" s="459">
        <f>_xlfn.IFNA(INDEX('Data manipulation'!$C$23:$O$40,MATCH($V55,'Data manipulation'!$B$23:$B$40,0),MATCH($X55,'Data manipulation'!$C$22:$O$22,0))/1000,0)*SUMIFS('Regional split'!$F$4:$F$6,'Regional split'!$B$4:$B$6,AA$3)*SUMIFS('Data manipulation'!$V$40:$V$43,'Data manipulation'!$X$40:$X$43,$E55,'Data manipulation'!$Y$40:$Y$43,$D55)</f>
        <v>1.1250040856727274E-2</v>
      </c>
      <c r="AB55" s="454">
        <f t="shared" si="6"/>
        <v>0.13287137762487275</v>
      </c>
      <c r="AC55" s="278">
        <f t="shared" si="0"/>
        <v>3.3752275612363635E-3</v>
      </c>
      <c r="AD55" s="450">
        <f t="shared" si="1"/>
        <v>1.0687538813890909E-2</v>
      </c>
      <c r="AU55" s="261"/>
      <c r="AZ55" s="253"/>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60">
        <v>2015</v>
      </c>
      <c r="I56" s="251">
        <f>ROUNDUP(AB56/($O56*$P56)*$R56,1)</f>
        <v>5707.5</v>
      </c>
      <c r="J56" s="251">
        <f>ROUNDUP(AC56/($O56*$P56)*$R56,1)</f>
        <v>145</v>
      </c>
      <c r="K56" s="251">
        <f>ROUNDUP(AD56/($O56*$P56)*$R56,1)</f>
        <v>459.1</v>
      </c>
      <c r="L56" s="466">
        <v>0.79</v>
      </c>
      <c r="M56" s="466">
        <v>0.79</v>
      </c>
      <c r="N56" s="466">
        <v>0.79</v>
      </c>
      <c r="O56" s="244">
        <f t="shared" si="42"/>
        <v>3.1536000000000002E-2</v>
      </c>
      <c r="P56" s="462">
        <v>0.15</v>
      </c>
      <c r="Q56" s="246">
        <v>25</v>
      </c>
      <c r="R56" s="227">
        <v>1.0900000000000001</v>
      </c>
      <c r="T56" s="269">
        <f t="shared" si="5"/>
        <v>37.792902075949371</v>
      </c>
      <c r="U56" s="269"/>
      <c r="V56" s="227" t="s">
        <v>80</v>
      </c>
      <c r="W56" s="255" t="s">
        <v>187</v>
      </c>
      <c r="X56" s="247">
        <v>2015</v>
      </c>
      <c r="Y56" s="436">
        <f>_xlfn.IFNA(INDEX('Data manipulation'!$C$23:$O$40,MATCH($V56,'Data manipulation'!$B$23:$B$40,0),MATCH($X56,'Data manipulation'!$C$22:$O$22,0))/1000,0)*SUMIFS('Regional split'!$F$4:$F$6,'Regional split'!$B$4:$B$6,Y$3)*SUMIFS('Data manipulation'!$V$40:$V$43,'Data manipulation'!$X$40:$X$43,$E56,'Data manipulation'!$Y$40:$Y$43,$D56)</f>
        <v>31.35327940184451</v>
      </c>
      <c r="Z56" s="271">
        <f>_xlfn.IFNA(INDEX('Data manipulation'!$C$23:$O$40,MATCH($V56,'Data manipulation'!$B$23:$B$40,0),MATCH($X56,'Data manipulation'!$C$22:$O$22,0))/1000,0)*SUMIFS('Regional split'!$F$4:$F$6,'Regional split'!$B$4:$B$6,Z$3)*SUMIFS('Data manipulation'!$V$40:$V$43,'Data manipulation'!$X$40:$X$43,$E56,'Data manipulation'!$Y$40:$Y$43,$D56)</f>
        <v>0.79644280554550584</v>
      </c>
      <c r="AA56" s="458">
        <f>_xlfn.IFNA(INDEX('Data manipulation'!$C$23:$O$40,MATCH($V56,'Data manipulation'!$B$23:$B$40,0),MATCH($X56,'Data manipulation'!$C$22:$O$22,0))/1000,0)*SUMIFS('Regional split'!$F$4:$F$6,'Regional split'!$B$4:$B$6,AA$3)*SUMIFS('Data manipulation'!$V$40:$V$43,'Data manipulation'!$X$40:$X$43,$E56,'Data manipulation'!$Y$40:$Y$43,$D56)</f>
        <v>2.5219080026099827</v>
      </c>
      <c r="AB56" s="455">
        <f t="shared" si="6"/>
        <v>24.769090727457165</v>
      </c>
      <c r="AC56" s="279">
        <f t="shared" si="0"/>
        <v>0.62918981638094962</v>
      </c>
      <c r="AD56" s="451">
        <f t="shared" si="1"/>
        <v>1.9923073220618865</v>
      </c>
      <c r="AU56" s="261"/>
      <c r="AZ56" s="253"/>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60">
        <v>2015</v>
      </c>
      <c r="I57" s="251">
        <f t="shared" ref="I57:I63" si="64">ROUNDUP(AB57/($O57*$P57)*$R57,1)</f>
        <v>1</v>
      </c>
      <c r="J57" s="251">
        <f t="shared" ref="J57:J63" si="65">ROUNDUP(AC57/($O57*$P57)*$R57,1)</f>
        <v>0.1</v>
      </c>
      <c r="K57" s="251">
        <f t="shared" ref="K57:K63" si="66">ROUNDUP(AD57/($O57*$P57)*$R57,1)</f>
        <v>0.1</v>
      </c>
      <c r="L57" s="466">
        <v>0.79</v>
      </c>
      <c r="M57" s="466">
        <v>0.79</v>
      </c>
      <c r="N57" s="466">
        <v>0.79</v>
      </c>
      <c r="O57" s="244">
        <f t="shared" si="42"/>
        <v>3.1536000000000002E-2</v>
      </c>
      <c r="P57" s="462">
        <v>0.15</v>
      </c>
      <c r="Q57" s="246">
        <v>20</v>
      </c>
      <c r="R57" s="227">
        <v>1.0900000000000001</v>
      </c>
      <c r="T57" s="269">
        <f t="shared" si="5"/>
        <v>7.1854177215189882E-3</v>
      </c>
      <c r="V57" s="227" t="s">
        <v>213</v>
      </c>
      <c r="W57" s="255" t="s">
        <v>728</v>
      </c>
      <c r="X57" s="247">
        <v>2015</v>
      </c>
      <c r="Y57" s="436">
        <f>_xlfn.IFNA(INDEX('Data manipulation'!$C$23:$O$40,MATCH($V57,'Data manipulation'!$B$23:$B$40,0),MATCH($X57,'Data manipulation'!$C$22:$O$22,0))/1000,0)*SUMIFS('Regional split'!$F$4:$F$6,'Regional split'!$B$4:$B$6,Y$3)*SUMIFS('Data manipulation'!$V$40:$V$43,'Data manipulation'!$X$40:$X$43,$E57,'Data manipulation'!$Y$40:$Y$43,$D57)</f>
        <v>5.3777343651136367E-3</v>
      </c>
      <c r="Z57" s="271">
        <f>_xlfn.IFNA(INDEX('Data manipulation'!$C$23:$O$40,MATCH($V57,'Data manipulation'!$B$23:$B$40,0),MATCH($X57,'Data manipulation'!$C$22:$O$22,0))/1000,0)*SUMIFS('Regional split'!$F$4:$F$6,'Regional split'!$B$4:$B$6,Z$3)*SUMIFS('Data manipulation'!$V$40:$V$43,'Data manipulation'!$X$40:$X$43,$E57,'Data manipulation'!$Y$40:$Y$43,$D57)</f>
        <v>1.366063750568182E-4</v>
      </c>
      <c r="AA57" s="458">
        <f>_xlfn.IFNA(INDEX('Data manipulation'!$C$23:$O$40,MATCH($V57,'Data manipulation'!$B$23:$B$40,0),MATCH($X57,'Data manipulation'!$C$22:$O$22,0))/1000,0)*SUMIFS('Regional split'!$F$4:$F$6,'Regional split'!$B$4:$B$6,AA$3)*SUMIFS('Data manipulation'!$V$40:$V$43,'Data manipulation'!$X$40:$X$43,$E57,'Data manipulation'!$Y$40:$Y$43,$D57)</f>
        <v>4.3255925982954547E-4</v>
      </c>
      <c r="AB57" s="447">
        <f t="shared" si="6"/>
        <v>4.2484101484397728E-3</v>
      </c>
      <c r="AC57" s="252">
        <f t="shared" si="0"/>
        <v>1.0791903629488639E-4</v>
      </c>
      <c r="AD57" s="448">
        <f t="shared" si="1"/>
        <v>3.4172181526534093E-4</v>
      </c>
      <c r="AU57" s="261"/>
      <c r="AZ57" s="253"/>
    </row>
    <row r="58" spans="2:52" ht="15" customHeight="1">
      <c r="B58" s="233" t="str">
        <f t="shared" si="34"/>
        <v>RHTRDWPEE1</v>
      </c>
      <c r="C58" s="233" t="str">
        <f t="shared" si="34"/>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60">
        <v>2015</v>
      </c>
      <c r="I58" s="251">
        <f t="shared" si="64"/>
        <v>26.1</v>
      </c>
      <c r="J58" s="251">
        <f t="shared" si="65"/>
        <v>0.7</v>
      </c>
      <c r="K58" s="251">
        <f t="shared" si="66"/>
        <v>2.1</v>
      </c>
      <c r="L58" s="466">
        <v>0.67</v>
      </c>
      <c r="M58" s="466">
        <v>0.67</v>
      </c>
      <c r="N58" s="466">
        <v>0.67</v>
      </c>
      <c r="O58" s="244">
        <f>31.536/1000</f>
        <v>3.1536000000000002E-2</v>
      </c>
      <c r="P58" s="462">
        <v>0.15</v>
      </c>
      <c r="Q58" s="246">
        <v>20</v>
      </c>
      <c r="R58" s="227">
        <v>1.0900000000000001</v>
      </c>
      <c r="T58" s="269">
        <f t="shared" si="5"/>
        <v>0.20404262686567165</v>
      </c>
      <c r="U58" s="269"/>
      <c r="V58" s="269" t="s">
        <v>214</v>
      </c>
      <c r="W58" s="255" t="s">
        <v>728</v>
      </c>
      <c r="X58" s="247">
        <v>2015</v>
      </c>
      <c r="Y58" s="436">
        <f>_xlfn.IFNA(INDEX('Data manipulation'!$C$23:$O$40,MATCH($V58,'Data manipulation'!$B$23:$B$40,0),MATCH($X58,'Data manipulation'!$C$22:$O$22,0))/1000,0)*SUMIFS('Regional split'!$F$4:$F$6,'Regional split'!$B$4:$B$6,Y$3)*SUMIFS('Data manipulation'!$V$40:$V$43,'Data manipulation'!$X$40:$X$43,$E58,'Data manipulation'!$Y$40:$Y$43,$D58)</f>
        <v>0.16891922207318183</v>
      </c>
      <c r="Z58" s="271">
        <f>_xlfn.IFNA(INDEX('Data manipulation'!$C$23:$O$40,MATCH($V58,'Data manipulation'!$B$23:$B$40,0),MATCH($X58,'Data manipulation'!$C$22:$O$22,0))/1000,0)*SUMIFS('Regional split'!$F$4:$F$6,'Regional split'!$B$4:$B$6,Z$3)*SUMIFS('Data manipulation'!$V$40:$V$43,'Data manipulation'!$X$40:$X$43,$E58,'Data manipulation'!$Y$40:$Y$43,$D58)</f>
        <v>4.2909227265909089E-3</v>
      </c>
      <c r="AA58" s="458">
        <f>_xlfn.IFNA(INDEX('Data manipulation'!$C$23:$O$40,MATCH($V58,'Data manipulation'!$B$23:$B$40,0),MATCH($X58,'Data manipulation'!$C$22:$O$22,0))/1000,0)*SUMIFS('Regional split'!$F$4:$F$6,'Regional split'!$B$4:$B$6,AA$3)*SUMIFS('Data manipulation'!$V$40:$V$43,'Data manipulation'!$X$40:$X$43,$E58,'Data manipulation'!$Y$40:$Y$43,$D58)</f>
        <v>1.3587055200227273E-2</v>
      </c>
      <c r="AB58" s="447">
        <f t="shared" si="6"/>
        <v>0.11317587878903183</v>
      </c>
      <c r="AC58" s="252">
        <f t="shared" si="0"/>
        <v>2.8749182268159091E-3</v>
      </c>
      <c r="AD58" s="448">
        <f t="shared" si="1"/>
        <v>9.1033269841522737E-3</v>
      </c>
      <c r="AU58" s="261"/>
      <c r="AZ58" s="253"/>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60">
        <v>2015</v>
      </c>
      <c r="I59" s="251">
        <f t="shared" si="64"/>
        <v>133</v>
      </c>
      <c r="J59" s="251">
        <f t="shared" si="65"/>
        <v>3.4</v>
      </c>
      <c r="K59" s="251">
        <f t="shared" si="66"/>
        <v>10.7</v>
      </c>
      <c r="L59" s="466">
        <v>0.67</v>
      </c>
      <c r="M59" s="466">
        <v>0.67</v>
      </c>
      <c r="N59" s="466">
        <v>0.67</v>
      </c>
      <c r="O59" s="244">
        <f>31.536/1000</f>
        <v>3.1536000000000002E-2</v>
      </c>
      <c r="P59" s="462">
        <v>0.15</v>
      </c>
      <c r="Q59" s="246">
        <v>20</v>
      </c>
      <c r="R59" s="227">
        <v>1.0900000000000001</v>
      </c>
      <c r="T59" s="269">
        <f t="shared" si="5"/>
        <v>1.0385699104477613</v>
      </c>
      <c r="U59" s="269"/>
      <c r="V59" s="227" t="s">
        <v>221</v>
      </c>
      <c r="W59" s="255" t="s">
        <v>197</v>
      </c>
      <c r="X59" s="247">
        <v>2015</v>
      </c>
      <c r="Y59" s="436">
        <f>_xlfn.IFNA(INDEX('Data manipulation'!$C$23:$O$40,MATCH($V59,'Data manipulation'!$B$23:$B$40,0),MATCH($X59,'Data manipulation'!$C$22:$O$22,0))/1000,0)*SUMIFS('Regional split'!$F$4:$F$6,'Regional split'!$B$4:$B$6,Y$3)*SUMIFS('Data manipulation'!$V$40:$V$43,'Data manipulation'!$X$40:$X$43,$E59,'Data manipulation'!$Y$40:$Y$43,$D59)</f>
        <v>0.86127125568409091</v>
      </c>
      <c r="Z59" s="271">
        <f>_xlfn.IFNA(INDEX('Data manipulation'!$C$23:$O$40,MATCH($V59,'Data manipulation'!$B$23:$B$40,0),MATCH($X59,'Data manipulation'!$C$22:$O$22,0))/1000,0)*SUMIFS('Regional split'!$F$4:$F$6,'Regional split'!$B$4:$B$6,Z$3)*SUMIFS('Data manipulation'!$V$40:$V$43,'Data manipulation'!$X$40:$X$43,$E59,'Data manipulation'!$Y$40:$Y$43,$D59)</f>
        <v>2.1878199292045458E-2</v>
      </c>
      <c r="AA59" s="458">
        <f>_xlfn.IFNA(INDEX('Data manipulation'!$C$23:$O$40,MATCH($V59,'Data manipulation'!$B$23:$B$40,0),MATCH($X59,'Data manipulation'!$C$22:$O$22,0))/1000,0)*SUMIFS('Regional split'!$F$4:$F$6,'Regional split'!$B$4:$B$6,AA$3)*SUMIFS('Data manipulation'!$V$40:$V$43,'Data manipulation'!$X$40:$X$43,$E59,'Data manipulation'!$Y$40:$Y$43,$D59)</f>
        <v>6.9276545023863628E-2</v>
      </c>
      <c r="AB59" s="447">
        <f t="shared" si="6"/>
        <v>0.57705174130834092</v>
      </c>
      <c r="AC59" s="252">
        <f t="shared" si="0"/>
        <v>1.4658393525670457E-2</v>
      </c>
      <c r="AD59" s="448">
        <f t="shared" si="1"/>
        <v>4.6415285165988633E-2</v>
      </c>
      <c r="AU59" s="261"/>
      <c r="AZ59" s="253"/>
    </row>
    <row r="60" spans="2:52" ht="15" customHeight="1">
      <c r="B60" s="233" t="str">
        <f t="shared" si="34"/>
        <v>RHTRDSTRE1</v>
      </c>
      <c r="C60" s="233" t="str">
        <f t="shared" si="34"/>
        <v>Residential Heating Technology Rural Detached - Straw - Existing 1</v>
      </c>
      <c r="D60" s="233" t="str">
        <f t="shared" ref="D60:E60" si="71">D20</f>
        <v>Rural</v>
      </c>
      <c r="E60" s="233" t="str">
        <f t="shared" si="71"/>
        <v>Detached</v>
      </c>
      <c r="F60" s="233" t="str">
        <f t="shared" ref="F60:G60" si="72">F20</f>
        <v>RESSTR</v>
      </c>
      <c r="G60" s="233" t="str">
        <f t="shared" si="72"/>
        <v>RESHRDB</v>
      </c>
      <c r="H60" s="260">
        <v>2015</v>
      </c>
      <c r="I60" s="251">
        <f t="shared" si="64"/>
        <v>0</v>
      </c>
      <c r="J60" s="251">
        <f t="shared" si="65"/>
        <v>0</v>
      </c>
      <c r="K60" s="251">
        <f t="shared" si="66"/>
        <v>0</v>
      </c>
      <c r="L60" s="466">
        <v>0.61</v>
      </c>
      <c r="M60" s="466">
        <v>0.61</v>
      </c>
      <c r="N60" s="466">
        <v>0.61</v>
      </c>
      <c r="O60" s="244">
        <f t="shared" si="42"/>
        <v>3.1536000000000002E-2</v>
      </c>
      <c r="P60" s="462">
        <v>0.15</v>
      </c>
      <c r="Q60" s="246">
        <v>20</v>
      </c>
      <c r="R60" s="227">
        <v>1.0900000000000001</v>
      </c>
      <c r="T60" s="269">
        <f t="shared" si="5"/>
        <v>0</v>
      </c>
      <c r="U60" s="269"/>
      <c r="W60" s="255" t="s">
        <v>188</v>
      </c>
      <c r="X60" s="247">
        <v>2015</v>
      </c>
      <c r="Y60" s="436">
        <f>_xlfn.IFNA(INDEX('Data manipulation'!$C$23:$O$40,MATCH($V60,'Data manipulation'!$B$23:$B$40,0),MATCH($X60,'Data manipulation'!$C$22:$O$22,0))/1000,0)*SUMIFS('Regional split'!$F$4:$F$6,'Regional split'!$B$4:$B$6,Y$3)*SUMIFS('Data manipulation'!$V$40:$V$43,'Data manipulation'!$X$40:$X$43,$E60,'Data manipulation'!$Y$40:$Y$43,$D60)</f>
        <v>0</v>
      </c>
      <c r="Z60" s="271">
        <f>_xlfn.IFNA(INDEX('Data manipulation'!$C$23:$O$40,MATCH($V60,'Data manipulation'!$B$23:$B$40,0),MATCH($X60,'Data manipulation'!$C$22:$O$22,0))/1000,0)*SUMIFS('Regional split'!$F$4:$F$6,'Regional split'!$B$4:$B$6,Z$3)*SUMIFS('Data manipulation'!$V$40:$V$43,'Data manipulation'!$X$40:$X$43,$E60,'Data manipulation'!$Y$40:$Y$43,$D60)</f>
        <v>0</v>
      </c>
      <c r="AA60" s="458">
        <f>_xlfn.IFNA(INDEX('Data manipulation'!$C$23:$O$40,MATCH($V60,'Data manipulation'!$B$23:$B$40,0),MATCH($X60,'Data manipulation'!$C$22:$O$22,0))/1000,0)*SUMIFS('Regional split'!$F$4:$F$6,'Regional split'!$B$4:$B$6,AA$3)*SUMIFS('Data manipulation'!$V$40:$V$43,'Data manipulation'!$X$40:$X$43,$E60,'Data manipulation'!$Y$40:$Y$43,$D60)</f>
        <v>0</v>
      </c>
      <c r="AB60" s="447">
        <f t="shared" si="6"/>
        <v>0</v>
      </c>
      <c r="AC60" s="252">
        <f t="shared" si="0"/>
        <v>0</v>
      </c>
      <c r="AD60" s="448">
        <f t="shared" si="1"/>
        <v>0</v>
      </c>
      <c r="AU60" s="261"/>
      <c r="AZ60" s="253"/>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60">
        <v>2015</v>
      </c>
      <c r="I61" s="251">
        <f t="shared" si="64"/>
        <v>0</v>
      </c>
      <c r="J61" s="251">
        <f t="shared" si="65"/>
        <v>0</v>
      </c>
      <c r="K61" s="251">
        <f t="shared" si="66"/>
        <v>0</v>
      </c>
      <c r="L61" s="466">
        <v>1</v>
      </c>
      <c r="M61" s="466">
        <v>1</v>
      </c>
      <c r="N61" s="466">
        <v>1</v>
      </c>
      <c r="O61" s="244">
        <f t="shared" si="42"/>
        <v>3.1536000000000002E-2</v>
      </c>
      <c r="P61" s="462">
        <v>0.15</v>
      </c>
      <c r="Q61" s="246">
        <v>20</v>
      </c>
      <c r="R61" s="227">
        <v>1.0900000000000001</v>
      </c>
      <c r="T61" s="269">
        <f t="shared" si="5"/>
        <v>0</v>
      </c>
      <c r="U61" s="269"/>
      <c r="W61" s="255" t="s">
        <v>189</v>
      </c>
      <c r="X61" s="247">
        <v>2015</v>
      </c>
      <c r="Y61" s="436">
        <f>_xlfn.IFNA(INDEX('Data manipulation'!$C$23:$O$40,MATCH($V61,'Data manipulation'!$B$23:$B$40,0),MATCH($X61,'Data manipulation'!$C$22:$O$22,0))/1000,0)*SUMIFS('Regional split'!$F$4:$F$6,'Regional split'!$B$4:$B$6,Y$3)*SUMIFS('Data manipulation'!$V$40:$V$43,'Data manipulation'!$X$40:$X$43,$E61,'Data manipulation'!$Y$40:$Y$43,$D61)</f>
        <v>0</v>
      </c>
      <c r="Z61" s="271">
        <f>_xlfn.IFNA(INDEX('Data manipulation'!$C$23:$O$40,MATCH($V61,'Data manipulation'!$B$23:$B$40,0),MATCH($X61,'Data manipulation'!$C$22:$O$22,0))/1000,0)*SUMIFS('Regional split'!$F$4:$F$6,'Regional split'!$B$4:$B$6,Z$3)*SUMIFS('Data manipulation'!$V$40:$V$43,'Data manipulation'!$X$40:$X$43,$E61,'Data manipulation'!$Y$40:$Y$43,$D61)</f>
        <v>0</v>
      </c>
      <c r="AA61" s="458">
        <f>_xlfn.IFNA(INDEX('Data manipulation'!$C$23:$O$40,MATCH($V61,'Data manipulation'!$B$23:$B$40,0),MATCH($X61,'Data manipulation'!$C$22:$O$22,0))/1000,0)*SUMIFS('Regional split'!$F$4:$F$6,'Regional split'!$B$4:$B$6,AA$3)*SUMIFS('Data manipulation'!$V$40:$V$43,'Data manipulation'!$X$40:$X$43,$E61,'Data manipulation'!$Y$40:$Y$43,$D61)</f>
        <v>0</v>
      </c>
      <c r="AB61" s="447">
        <f t="shared" si="6"/>
        <v>0</v>
      </c>
      <c r="AC61" s="252">
        <f t="shared" si="0"/>
        <v>0</v>
      </c>
      <c r="AD61" s="448">
        <f t="shared" si="1"/>
        <v>0</v>
      </c>
      <c r="AU61" s="261"/>
      <c r="AZ61" s="253"/>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60">
        <v>2015</v>
      </c>
      <c r="I62" s="251">
        <f t="shared" si="64"/>
        <v>0</v>
      </c>
      <c r="J62" s="251">
        <f t="shared" si="65"/>
        <v>0</v>
      </c>
      <c r="K62" s="251">
        <f t="shared" si="66"/>
        <v>0</v>
      </c>
      <c r="L62" s="466">
        <v>1</v>
      </c>
      <c r="M62" s="466">
        <v>1</v>
      </c>
      <c r="N62" s="466">
        <v>1</v>
      </c>
      <c r="O62" s="244">
        <f t="shared" si="42"/>
        <v>3.1536000000000002E-2</v>
      </c>
      <c r="P62" s="462">
        <v>0.15</v>
      </c>
      <c r="Q62" s="246">
        <v>30</v>
      </c>
      <c r="R62" s="227">
        <v>1.0900000000000001</v>
      </c>
      <c r="T62" s="269">
        <f t="shared" si="5"/>
        <v>0</v>
      </c>
      <c r="U62" s="269"/>
      <c r="V62" s="227" t="str">
        <f>V52</f>
        <v>Electricity</v>
      </c>
      <c r="W62" s="255" t="s">
        <v>190</v>
      </c>
      <c r="X62" s="247">
        <v>2015</v>
      </c>
      <c r="Y62" s="436">
        <f>_xlfn.IFNA(INDEX('Data manipulation'!$C$23:$O$40,MATCH($V62,'Data manipulation'!$B$23:$B$40,0),MATCH($X62,'Data manipulation'!$C$22:$O$22,0))/1000,0)*SUMIFS('Regional split'!$F$4:$F$6,'Regional split'!$B$4:$B$6,Y$3)*SUMIFS('Data manipulation'!$V$40:$V$43,'Data manipulation'!$X$40:$X$43,$E62,'Data manipulation'!$Y$40:$Y$43,$D62)</f>
        <v>0</v>
      </c>
      <c r="Z62" s="271">
        <f>_xlfn.IFNA(INDEX('Data manipulation'!$C$23:$O$40,MATCH($V62,'Data manipulation'!$B$23:$B$40,0),MATCH($X62,'Data manipulation'!$C$22:$O$22,0))/1000,0)*SUMIFS('Regional split'!$F$4:$F$6,'Regional split'!$B$4:$B$6,Z$3)*SUMIFS('Data manipulation'!$V$40:$V$43,'Data manipulation'!$X$40:$X$43,$E62,'Data manipulation'!$Y$40:$Y$43,$D62)</f>
        <v>0</v>
      </c>
      <c r="AA62" s="458">
        <f>_xlfn.IFNA(INDEX('Data manipulation'!$C$23:$O$40,MATCH($V62,'Data manipulation'!$B$23:$B$40,0),MATCH($X62,'Data manipulation'!$C$22:$O$22,0))/1000,0)*SUMIFS('Regional split'!$F$4:$F$6,'Regional split'!$B$4:$B$6,AA$3)*SUMIFS('Data manipulation'!$V$40:$V$43,'Data manipulation'!$X$40:$X$43,$E62,'Data manipulation'!$Y$40:$Y$43,$D62)</f>
        <v>0</v>
      </c>
      <c r="AB62" s="447">
        <f t="shared" si="6"/>
        <v>0</v>
      </c>
      <c r="AC62" s="252">
        <f t="shared" si="0"/>
        <v>0</v>
      </c>
      <c r="AD62" s="448">
        <f t="shared" si="1"/>
        <v>0</v>
      </c>
      <c r="AU62" s="261"/>
      <c r="AZ62" s="253"/>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60">
        <v>2015</v>
      </c>
      <c r="I63" s="251">
        <f t="shared" si="64"/>
        <v>0</v>
      </c>
      <c r="J63" s="251">
        <f t="shared" si="65"/>
        <v>0</v>
      </c>
      <c r="K63" s="251">
        <f t="shared" si="66"/>
        <v>0</v>
      </c>
      <c r="L63" s="466">
        <v>2.3149999999999999</v>
      </c>
      <c r="M63" s="466">
        <v>2.3149999999999999</v>
      </c>
      <c r="N63" s="466">
        <v>2.3149999999999999</v>
      </c>
      <c r="O63" s="244">
        <f t="shared" si="42"/>
        <v>3.1536000000000002E-2</v>
      </c>
      <c r="P63" s="462">
        <v>0.15</v>
      </c>
      <c r="Q63" s="246">
        <v>30</v>
      </c>
      <c r="R63" s="227">
        <v>1.0900000000000001</v>
      </c>
      <c r="T63" s="269">
        <f t="shared" si="5"/>
        <v>0</v>
      </c>
      <c r="U63" s="269"/>
      <c r="W63" s="255" t="s">
        <v>191</v>
      </c>
      <c r="X63" s="247">
        <v>2015</v>
      </c>
      <c r="Y63" s="436">
        <f>_xlfn.IFNA(INDEX('Data manipulation'!$C$23:$O$40,MATCH($V63,'Data manipulation'!$B$23:$B$40,0),MATCH($X63,'Data manipulation'!$C$22:$O$22,0))/1000,0)*SUMIFS('Regional split'!$F$4:$F$6,'Regional split'!$B$4:$B$6,Y$3)*SUMIFS('Data manipulation'!$V$40:$V$43,'Data manipulation'!$X$40:$X$43,$E63,'Data manipulation'!$Y$40:$Y$43,$D63)</f>
        <v>0</v>
      </c>
      <c r="Z63" s="271">
        <f>_xlfn.IFNA(INDEX('Data manipulation'!$C$23:$O$40,MATCH($V63,'Data manipulation'!$B$23:$B$40,0),MATCH($X63,'Data manipulation'!$C$22:$O$22,0))/1000,0)*SUMIFS('Regional split'!$F$4:$F$6,'Regional split'!$B$4:$B$6,Z$3)*SUMIFS('Data manipulation'!$V$40:$V$43,'Data manipulation'!$X$40:$X$43,$E63,'Data manipulation'!$Y$40:$Y$43,$D63)</f>
        <v>0</v>
      </c>
      <c r="AA63" s="458">
        <f>_xlfn.IFNA(INDEX('Data manipulation'!$C$23:$O$40,MATCH($V63,'Data manipulation'!$B$23:$B$40,0),MATCH($X63,'Data manipulation'!$C$22:$O$22,0))/1000,0)*SUMIFS('Regional split'!$F$4:$F$6,'Regional split'!$B$4:$B$6,AA$3)*SUMIFS('Data manipulation'!$V$40:$V$43,'Data manipulation'!$X$40:$X$43,$E63,'Data manipulation'!$Y$40:$Y$43,$D63)</f>
        <v>0</v>
      </c>
      <c r="AB63" s="447">
        <f t="shared" si="6"/>
        <v>0</v>
      </c>
      <c r="AC63" s="252">
        <f t="shared" si="0"/>
        <v>0</v>
      </c>
      <c r="AD63" s="448">
        <f t="shared" si="1"/>
        <v>0</v>
      </c>
      <c r="AU63" s="261"/>
      <c r="AZ63" s="253"/>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2">
        <v>2015</v>
      </c>
      <c r="I64" s="583">
        <v>0</v>
      </c>
      <c r="J64" s="583">
        <v>0</v>
      </c>
      <c r="K64" s="583">
        <v>0</v>
      </c>
      <c r="L64" s="466">
        <v>0.98</v>
      </c>
      <c r="M64" s="466">
        <v>0.98</v>
      </c>
      <c r="N64" s="466">
        <v>0.98</v>
      </c>
      <c r="O64" s="244">
        <f t="shared" si="42"/>
        <v>3.1536000000000002E-2</v>
      </c>
      <c r="P64" s="462">
        <v>0.15</v>
      </c>
      <c r="Q64" s="246">
        <v>30</v>
      </c>
      <c r="R64" s="227">
        <v>1.0900000000000001</v>
      </c>
      <c r="T64" s="269">
        <f t="shared" si="5"/>
        <v>0</v>
      </c>
      <c r="U64" s="269"/>
      <c r="V64" s="227" t="s">
        <v>220</v>
      </c>
      <c r="W64" s="255" t="s">
        <v>192</v>
      </c>
      <c r="X64" s="247">
        <v>2015</v>
      </c>
      <c r="Y64" s="436">
        <f>_xlfn.IFNA(INDEX('Data manipulation'!$C$23:$O$40,MATCH($V64,'Data manipulation'!$B$23:$B$40,0),MATCH($X64,'Data manipulation'!$C$22:$O$22,0))/1000,0)*SUMIFS('Regional split'!$F$4:$F$6,'Regional split'!$B$4:$B$6,Y$3)*SUMIFS('Data manipulation'!$V$40:$V$43,'Data manipulation'!$X$40:$X$43,$E64,'Data manipulation'!$Y$40:$Y$43,$D64)</f>
        <v>1.777945681687841</v>
      </c>
      <c r="Z64" s="271">
        <f>_xlfn.IFNA(INDEX('Data manipulation'!$C$23:$O$40,MATCH($V64,'Data manipulation'!$B$23:$B$40,0),MATCH($X64,'Data manipulation'!$C$22:$O$22,0))/1000,0)*SUMIFS('Regional split'!$F$4:$F$6,'Regional split'!$B$4:$B$6,Z$3)*SUMIFS('Data manipulation'!$V$40:$V$43,'Data manipulation'!$X$40:$X$43,$E64,'Data manipulation'!$Y$40:$Y$43,$D64)</f>
        <v>4.5163761936420459E-2</v>
      </c>
      <c r="AA64" s="458">
        <f>_xlfn.IFNA(INDEX('Data manipulation'!$C$23:$O$40,MATCH($V64,'Data manipulation'!$B$23:$B$40,0),MATCH($X64,'Data manipulation'!$C$22:$O$22,0))/1000,0)*SUMIFS('Regional split'!$F$4:$F$6,'Regional split'!$B$4:$B$6,AA$3)*SUMIFS('Data manipulation'!$V$40:$V$43,'Data manipulation'!$X$40:$X$43,$E64,'Data manipulation'!$Y$40:$Y$43,$D64)</f>
        <v>0.14300945637573864</v>
      </c>
      <c r="AB64" s="447">
        <f t="shared" si="6"/>
        <v>1.7423867680540841</v>
      </c>
      <c r="AC64" s="252">
        <f t="shared" si="0"/>
        <v>4.4260486697692052E-2</v>
      </c>
      <c r="AD64" s="448">
        <f t="shared" si="1"/>
        <v>0.14014926724822388</v>
      </c>
      <c r="AU64" s="261"/>
      <c r="AZ64" s="253"/>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2">
        <v>2015</v>
      </c>
      <c r="I65" s="298">
        <f t="shared" ref="I65" si="83">ROUNDUP(AB65/($O65*$P65)*$R65,1)</f>
        <v>56.9</v>
      </c>
      <c r="J65" s="298">
        <f t="shared" ref="J65" si="84">ROUNDUP(AC65/($O65*$P65)*$R65,1)</f>
        <v>1.5</v>
      </c>
      <c r="K65" s="298">
        <f t="shared" ref="K65" si="85">ROUNDUP(AD65/($O65*$P65)*$R65,1)</f>
        <v>4.5999999999999996</v>
      </c>
      <c r="L65" s="466">
        <v>0.98</v>
      </c>
      <c r="M65" s="466">
        <v>0.98</v>
      </c>
      <c r="N65" s="466">
        <v>0.98</v>
      </c>
      <c r="O65" s="244">
        <f t="shared" si="42"/>
        <v>3.1536000000000002E-2</v>
      </c>
      <c r="P65" s="462">
        <v>0.15</v>
      </c>
      <c r="Q65" s="246">
        <v>30</v>
      </c>
      <c r="R65" s="227">
        <v>1.0900000000000001</v>
      </c>
      <c r="T65" s="269">
        <f t="shared" si="5"/>
        <v>0.30409714285714284</v>
      </c>
      <c r="U65" s="269"/>
      <c r="V65" s="227" t="s">
        <v>210</v>
      </c>
      <c r="W65" s="429" t="s">
        <v>769</v>
      </c>
      <c r="X65" s="247">
        <v>2015</v>
      </c>
      <c r="Y65" s="437">
        <f>_xlfn.IFNA(INDEX('Data manipulation'!$C$23:$O$40,MATCH($V65,'Data manipulation'!$B$23:$B$40,0),MATCH($X65,'Data manipulation'!$C$22:$O$22,0))/1000,0)*SUMIFS('Regional split'!$F$4:$F$6,'Regional split'!$B$4:$B$6,Y$3)*SUMIFS('Data manipulation'!$V$40:$V$43,'Data manipulation'!$X$40:$X$43,$E65,'Data manipulation'!$Y$40:$Y$43,$D65)</f>
        <v>0.25186556367214774</v>
      </c>
      <c r="Z65" s="434">
        <f>_xlfn.IFNA(INDEX('Data manipulation'!$C$23:$O$40,MATCH($V65,'Data manipulation'!$B$23:$B$40,0),MATCH($X65,'Data manipulation'!$C$22:$O$22,0))/1000,0)*SUMIFS('Regional split'!$F$4:$F$6,'Regional split'!$B$4:$B$6,Z$3)*SUMIFS('Data manipulation'!$V$40:$V$43,'Data manipulation'!$X$40:$X$43,$E65,'Data manipulation'!$Y$40:$Y$43,$D65)</f>
        <v>6.3979436913238642E-3</v>
      </c>
      <c r="AA65" s="459">
        <f>_xlfn.IFNA(INDEX('Data manipulation'!$C$23:$O$40,MATCH($V65,'Data manipulation'!$B$23:$B$40,0),MATCH($X65,'Data manipulation'!$C$22:$O$22,0))/1000,0)*SUMIFS('Regional split'!$F$4:$F$6,'Regional split'!$B$4:$B$6,AA$3)*SUMIFS('Data manipulation'!$V$40:$V$43,'Data manipulation'!$X$40:$X$43,$E65,'Data manipulation'!$Y$40:$Y$43,$D65)</f>
        <v>2.0258862636528409E-2</v>
      </c>
      <c r="AB65" s="449">
        <f t="shared" si="6"/>
        <v>0.24682825239870479</v>
      </c>
      <c r="AC65" s="435">
        <f t="shared" si="0"/>
        <v>6.2699848174973868E-3</v>
      </c>
      <c r="AD65" s="456">
        <f t="shared" si="1"/>
        <v>1.985368538379784E-2</v>
      </c>
      <c r="AU65" s="261"/>
      <c r="AZ65" s="253"/>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1">
        <f>ROUNDUP(AB66/($O66*$P66)*$R66,1)</f>
        <v>2978.9</v>
      </c>
      <c r="J66" s="251">
        <f>ROUNDUP(AC66/($O66*$P66)*$R66,1)</f>
        <v>75.699999999999989</v>
      </c>
      <c r="K66" s="251">
        <f>ROUNDUP(AD66/($O66*$P66)*$R66,1)</f>
        <v>239.7</v>
      </c>
      <c r="L66" s="466">
        <v>0.72</v>
      </c>
      <c r="M66" s="466">
        <v>0.72</v>
      </c>
      <c r="N66" s="466">
        <v>0.72</v>
      </c>
      <c r="O66" s="244">
        <f>31.536/1000</f>
        <v>3.1536000000000002E-2</v>
      </c>
      <c r="P66" s="462">
        <v>0.15</v>
      </c>
      <c r="Q66" s="246">
        <v>22</v>
      </c>
      <c r="R66" s="227">
        <v>1.0900000000000001</v>
      </c>
      <c r="T66" s="269">
        <f t="shared" si="5"/>
        <v>21.643550999999999</v>
      </c>
      <c r="U66" s="269"/>
      <c r="V66" s="227" t="s">
        <v>80</v>
      </c>
      <c r="W66" s="247" t="s">
        <v>187</v>
      </c>
      <c r="X66" s="247">
        <v>2015</v>
      </c>
      <c r="Y66" s="436">
        <f>_xlfn.IFNA(INDEX('Data manipulation'!$C$23:$O$40,MATCH($V66,'Data manipulation'!$B$23:$B$40,0),MATCH($X66,'Data manipulation'!$C$22:$O$22,0))/1000,0)*SUMIFS('Regional split'!$F$4:$F$6,'Regional split'!$B$4:$B$6,Y$3)*SUMIFS('Data manipulation'!$V$40:$V$43,'Data manipulation'!$X$40:$X$43,$E66,'Data manipulation'!$Y$40:$Y$43,$D66)</f>
        <v>17.955023345091</v>
      </c>
      <c r="Z66" s="271">
        <f>_xlfn.IFNA(INDEX('Data manipulation'!$C$23:$O$40,MATCH($V66,'Data manipulation'!$B$23:$B$40,0),MATCH($X66,'Data manipulation'!$C$22:$O$22,0))/1000,0)*SUMIFS('Regional split'!$F$4:$F$6,'Regional split'!$B$4:$B$6,Z$3)*SUMIFS('Data manipulation'!$V$40:$V$43,'Data manipulation'!$X$40:$X$43,$E66,'Data manipulation'!$Y$40:$Y$43,$D66)</f>
        <v>0.45609739840350005</v>
      </c>
      <c r="AA66" s="458">
        <f>_xlfn.IFNA(INDEX('Data manipulation'!$C$23:$O$40,MATCH($V66,'Data manipulation'!$B$23:$B$40,0),MATCH($X66,'Data manipulation'!$C$22:$O$22,0))/1000,0)*SUMIFS('Regional split'!$F$4:$F$6,'Regional split'!$B$4:$B$6,AA$3)*SUMIFS('Data manipulation'!$V$40:$V$43,'Data manipulation'!$X$40:$X$43,$E66,'Data manipulation'!$Y$40:$Y$43,$D66)</f>
        <v>1.4442162965054999</v>
      </c>
      <c r="AB66" s="447">
        <f t="shared" ref="AB66:AB105" si="87">Y66*L66</f>
        <v>12.927616808465519</v>
      </c>
      <c r="AC66" s="252">
        <f t="shared" ref="AC66:AC105" si="88">Z66*M66</f>
        <v>0.32839012685052005</v>
      </c>
      <c r="AD66" s="448">
        <f t="shared" ref="AD66:AD105" si="89">AA66*N66</f>
        <v>1.0398357334839599</v>
      </c>
      <c r="AE66" s="263"/>
      <c r="AU66" s="261"/>
      <c r="AZ66" s="253"/>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1">
        <f t="shared" ref="I67:I73" si="93">ROUNDUP(AB67/($O67*$P67)*$R67,1)</f>
        <v>0.6</v>
      </c>
      <c r="J67" s="251">
        <f t="shared" ref="J67:J73" si="94">ROUNDUP(AC67/($O67*$P67)*$R67,1)</f>
        <v>0.1</v>
      </c>
      <c r="K67" s="251">
        <f t="shared" ref="K67:K73" si="95">ROUNDUP(AD67/($O67*$P67)*$R67,1)</f>
        <v>0.1</v>
      </c>
      <c r="L67" s="466">
        <v>0.71</v>
      </c>
      <c r="M67" s="466">
        <v>0.71</v>
      </c>
      <c r="N67" s="466">
        <v>0.71</v>
      </c>
      <c r="O67" s="244">
        <f>31.536/1000</f>
        <v>3.1536000000000002E-2</v>
      </c>
      <c r="P67" s="462">
        <v>0.15</v>
      </c>
      <c r="Q67" s="246">
        <v>20</v>
      </c>
      <c r="R67" s="227">
        <v>1.0900000000000001</v>
      </c>
      <c r="T67" s="269">
        <f t="shared" si="5"/>
        <v>5.3300281690140845E-3</v>
      </c>
      <c r="V67" s="227" t="s">
        <v>213</v>
      </c>
      <c r="W67" s="255" t="s">
        <v>728</v>
      </c>
      <c r="X67" s="247">
        <v>2015</v>
      </c>
      <c r="Y67" s="436">
        <f>_xlfn.IFNA(INDEX('Data manipulation'!$C$23:$O$40,MATCH($V67,'Data manipulation'!$B$23:$B$40,0),MATCH($X67,'Data manipulation'!$C$22:$O$22,0))/1000,0)*SUMIFS('Regional split'!$F$4:$F$6,'Regional split'!$B$4:$B$6,Y$3)*SUMIFS('Data manipulation'!$V$40:$V$43,'Data manipulation'!$X$40:$X$43,$E67,'Data manipulation'!$Y$40:$Y$43,$D67)</f>
        <v>3.0796569900000004E-3</v>
      </c>
      <c r="Z67" s="271">
        <f>_xlfn.IFNA(INDEX('Data manipulation'!$C$23:$O$40,MATCH($V67,'Data manipulation'!$B$23:$B$40,0),MATCH($X67,'Data manipulation'!$C$22:$O$22,0))/1000,0)*SUMIFS('Regional split'!$F$4:$F$6,'Regional split'!$B$4:$B$6,Z$3)*SUMIFS('Data manipulation'!$V$40:$V$43,'Data manipulation'!$X$40:$X$43,$E67,'Data manipulation'!$Y$40:$Y$43,$D67)</f>
        <v>7.8230115000000016E-5</v>
      </c>
      <c r="AA67" s="458">
        <f>_xlfn.IFNA(INDEX('Data manipulation'!$C$23:$O$40,MATCH($V67,'Data manipulation'!$B$23:$B$40,0),MATCH($X67,'Data manipulation'!$C$22:$O$22,0))/1000,0)*SUMIFS('Regional split'!$F$4:$F$6,'Regional split'!$B$4:$B$6,AA$3)*SUMIFS('Data manipulation'!$V$40:$V$43,'Data manipulation'!$X$40:$X$43,$E67,'Data manipulation'!$Y$40:$Y$43,$D67)</f>
        <v>2.4771289500000003E-4</v>
      </c>
      <c r="AB67" s="447">
        <f t="shared" si="87"/>
        <v>2.1865564629000001E-3</v>
      </c>
      <c r="AC67" s="252">
        <f t="shared" si="88"/>
        <v>5.5543381650000008E-5</v>
      </c>
      <c r="AD67" s="448">
        <f t="shared" si="89"/>
        <v>1.7587615545000001E-4</v>
      </c>
      <c r="AE67" s="263"/>
      <c r="AU67" s="261"/>
      <c r="AZ67" s="253"/>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1">
        <f t="shared" si="93"/>
        <v>13.6</v>
      </c>
      <c r="J68" s="251">
        <f t="shared" si="94"/>
        <v>0.4</v>
      </c>
      <c r="K68" s="251">
        <f t="shared" si="95"/>
        <v>1.1000000000000001</v>
      </c>
      <c r="L68" s="466">
        <v>0.61</v>
      </c>
      <c r="M68" s="466">
        <v>0.61</v>
      </c>
      <c r="N68" s="466">
        <v>0.61</v>
      </c>
      <c r="O68" s="244">
        <f t="shared" ref="O68:O85" si="98">31.536/1000</f>
        <v>3.1536000000000002E-2</v>
      </c>
      <c r="P68" s="462">
        <v>0.15</v>
      </c>
      <c r="Q68" s="246">
        <v>20</v>
      </c>
      <c r="R68" s="227">
        <v>1.0900000000000001</v>
      </c>
      <c r="T68" s="269">
        <f t="shared" si="5"/>
        <v>0.1170967868852459</v>
      </c>
      <c r="U68" s="269"/>
      <c r="V68" s="227" t="s">
        <v>214</v>
      </c>
      <c r="W68" s="255" t="s">
        <v>728</v>
      </c>
      <c r="X68" s="247">
        <v>2015</v>
      </c>
      <c r="Y68" s="436">
        <f>_xlfn.IFNA(INDEX('Data manipulation'!$C$23:$O$40,MATCH($V68,'Data manipulation'!$B$23:$B$40,0),MATCH($X68,'Data manipulation'!$C$22:$O$22,0))/1000,0)*SUMIFS('Regional split'!$F$4:$F$6,'Regional split'!$B$4:$B$6,Y$3)*SUMIFS('Data manipulation'!$V$40:$V$43,'Data manipulation'!$X$40:$X$43,$E68,'Data manipulation'!$Y$40:$Y$43,$D68)</f>
        <v>9.6734652120000014E-2</v>
      </c>
      <c r="Z68" s="271">
        <f>_xlfn.IFNA(INDEX('Data manipulation'!$C$23:$O$40,MATCH($V68,'Data manipulation'!$B$23:$B$40,0),MATCH($X68,'Data manipulation'!$C$22:$O$22,0))/1000,0)*SUMIFS('Regional split'!$F$4:$F$6,'Regional split'!$B$4:$B$6,Z$3)*SUMIFS('Data manipulation'!$V$40:$V$43,'Data manipulation'!$X$40:$X$43,$E68,'Data manipulation'!$Y$40:$Y$43,$D68)</f>
        <v>2.4572746200000003E-3</v>
      </c>
      <c r="AA68" s="458">
        <f>_xlfn.IFNA(INDEX('Data manipulation'!$C$23:$O$40,MATCH($V68,'Data manipulation'!$B$23:$B$40,0),MATCH($X68,'Data manipulation'!$C$22:$O$22,0))/1000,0)*SUMIFS('Regional split'!$F$4:$F$6,'Regional split'!$B$4:$B$6,AA$3)*SUMIFS('Data manipulation'!$V$40:$V$43,'Data manipulation'!$X$40:$X$43,$E68,'Data manipulation'!$Y$40:$Y$43,$D68)</f>
        <v>7.7808732600000005E-3</v>
      </c>
      <c r="AB68" s="447">
        <f t="shared" si="87"/>
        <v>5.9008137793200008E-2</v>
      </c>
      <c r="AC68" s="252">
        <f t="shared" si="88"/>
        <v>1.4989375182000002E-3</v>
      </c>
      <c r="AD68" s="448">
        <f t="shared" si="89"/>
        <v>4.7463326886000006E-3</v>
      </c>
      <c r="AE68" s="263"/>
      <c r="AU68" s="261"/>
      <c r="AZ68" s="253"/>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1">
        <f t="shared" si="93"/>
        <v>73.899999999999991</v>
      </c>
      <c r="J69" s="251">
        <f t="shared" si="94"/>
        <v>1.9000000000000001</v>
      </c>
      <c r="K69" s="251">
        <f t="shared" si="95"/>
        <v>6</v>
      </c>
      <c r="L69" s="466">
        <v>0.65000022993955098</v>
      </c>
      <c r="M69" s="466">
        <v>0.65000022993955098</v>
      </c>
      <c r="N69" s="466">
        <v>0.65000022993955098</v>
      </c>
      <c r="O69" s="244">
        <f t="shared" si="98"/>
        <v>3.1536000000000002E-2</v>
      </c>
      <c r="P69" s="462">
        <v>0.15</v>
      </c>
      <c r="Q69" s="246">
        <v>20</v>
      </c>
      <c r="R69" s="227">
        <v>1.0900000000000001</v>
      </c>
      <c r="T69" s="269">
        <f t="shared" si="5"/>
        <v>0.59530243556373119</v>
      </c>
      <c r="U69" s="269"/>
      <c r="V69" s="227" t="s">
        <v>221</v>
      </c>
      <c r="W69" s="255" t="s">
        <v>197</v>
      </c>
      <c r="X69" s="247">
        <v>2015</v>
      </c>
      <c r="Y69" s="436">
        <f>_xlfn.IFNA(INDEX('Data manipulation'!$C$23:$O$40,MATCH($V69,'Data manipulation'!$B$23:$B$40,0),MATCH($X69,'Data manipulation'!$C$22:$O$22,0))/1000,0)*SUMIFS('Regional split'!$F$4:$F$6,'Regional split'!$B$4:$B$6,Y$3)*SUMIFS('Data manipulation'!$V$40:$V$43,'Data manipulation'!$X$40:$X$43,$E69,'Data manipulation'!$Y$40:$Y$43,$D69)</f>
        <v>0.49322258459999996</v>
      </c>
      <c r="Z69" s="271">
        <f>_xlfn.IFNA(INDEX('Data manipulation'!$C$23:$O$40,MATCH($V69,'Data manipulation'!$B$23:$B$40,0),MATCH($X69,'Data manipulation'!$C$22:$O$22,0))/1000,0)*SUMIFS('Regional split'!$F$4:$F$6,'Regional split'!$B$4:$B$6,Z$3)*SUMIFS('Data manipulation'!$V$40:$V$43,'Data manipulation'!$X$40:$X$43,$E69,'Data manipulation'!$Y$40:$Y$43,$D69)</f>
        <v>1.2528947100000002E-2</v>
      </c>
      <c r="AA69" s="458">
        <f>_xlfn.IFNA(INDEX('Data manipulation'!$C$23:$O$40,MATCH($V69,'Data manipulation'!$B$23:$B$40,0),MATCH($X69,'Data manipulation'!$C$22:$O$22,0))/1000,0)*SUMIFS('Regional split'!$F$4:$F$6,'Regional split'!$B$4:$B$6,AA$3)*SUMIFS('Data manipulation'!$V$40:$V$43,'Data manipulation'!$X$40:$X$43,$E69,'Data manipulation'!$Y$40:$Y$43,$D69)</f>
        <v>3.9672468299999999E-2</v>
      </c>
      <c r="AB69" s="447">
        <f t="shared" si="87"/>
        <v>0.32059479340137959</v>
      </c>
      <c r="AC69" s="252">
        <f t="shared" si="88"/>
        <v>8.1438184959004723E-3</v>
      </c>
      <c r="AD69" s="448">
        <f t="shared" si="89"/>
        <v>2.5787113517269547E-2</v>
      </c>
      <c r="AE69" s="263"/>
      <c r="AU69" s="261"/>
      <c r="AZ69" s="253"/>
    </row>
    <row r="70" spans="2:52" ht="15" customHeight="1">
      <c r="B70" s="233" t="str">
        <f t="shared" si="90"/>
        <v>RHTUMSTRE1</v>
      </c>
      <c r="C70" s="233" t="str">
        <f t="shared" si="90"/>
        <v>Residential Heating Technology Urban Multi - Straw - Existing 1</v>
      </c>
      <c r="D70" s="233" t="str">
        <f t="shared" ref="D70:E70" si="101">D30</f>
        <v>Urban</v>
      </c>
      <c r="E70" s="233" t="str">
        <f t="shared" si="101"/>
        <v>Multi storey</v>
      </c>
      <c r="F70" s="233" t="str">
        <f t="shared" ref="F70:G70" si="102">F30</f>
        <v>RESSTR</v>
      </c>
      <c r="G70" s="233" t="str">
        <f t="shared" si="102"/>
        <v>RESHUMB</v>
      </c>
      <c r="H70" s="230">
        <v>2015</v>
      </c>
      <c r="I70" s="251">
        <f t="shared" si="93"/>
        <v>0</v>
      </c>
      <c r="J70" s="251">
        <f t="shared" si="94"/>
        <v>0</v>
      </c>
      <c r="K70" s="251">
        <f t="shared" si="95"/>
        <v>0</v>
      </c>
      <c r="L70" s="466">
        <v>0.61</v>
      </c>
      <c r="M70" s="466">
        <v>0.61</v>
      </c>
      <c r="N70" s="466">
        <v>0.61</v>
      </c>
      <c r="O70" s="244">
        <f t="shared" si="98"/>
        <v>3.1536000000000002E-2</v>
      </c>
      <c r="P70" s="462">
        <v>0.15</v>
      </c>
      <c r="Q70" s="246">
        <v>20</v>
      </c>
      <c r="R70" s="227">
        <v>1.0900000000000001</v>
      </c>
      <c r="T70" s="269">
        <f t="shared" si="5"/>
        <v>0</v>
      </c>
      <c r="U70" s="269"/>
      <c r="W70" s="255" t="s">
        <v>188</v>
      </c>
      <c r="X70" s="247">
        <v>2015</v>
      </c>
      <c r="Y70" s="436">
        <f>_xlfn.IFNA(INDEX('Data manipulation'!$C$23:$O$40,MATCH($V70,'Data manipulation'!$B$23:$B$40,0),MATCH($X70,'Data manipulation'!$C$22:$O$22,0))/1000,0)*SUMIFS('Regional split'!$F$4:$F$6,'Regional split'!$B$4:$B$6,Y$3)*SUMIFS('Data manipulation'!$V$40:$V$43,'Data manipulation'!$X$40:$X$43,$E70,'Data manipulation'!$Y$40:$Y$43,$D70)</f>
        <v>0</v>
      </c>
      <c r="Z70" s="271">
        <f>_xlfn.IFNA(INDEX('Data manipulation'!$C$23:$O$40,MATCH($V70,'Data manipulation'!$B$23:$B$40,0),MATCH($X70,'Data manipulation'!$C$22:$O$22,0))/1000,0)*SUMIFS('Regional split'!$F$4:$F$6,'Regional split'!$B$4:$B$6,Z$3)*SUMIFS('Data manipulation'!$V$40:$V$43,'Data manipulation'!$X$40:$X$43,$E70,'Data manipulation'!$Y$40:$Y$43,$D70)</f>
        <v>0</v>
      </c>
      <c r="AA70" s="458">
        <f>_xlfn.IFNA(INDEX('Data manipulation'!$C$23:$O$40,MATCH($V70,'Data manipulation'!$B$23:$B$40,0),MATCH($X70,'Data manipulation'!$C$22:$O$22,0))/1000,0)*SUMIFS('Regional split'!$F$4:$F$6,'Regional split'!$B$4:$B$6,AA$3)*SUMIFS('Data manipulation'!$V$40:$V$43,'Data manipulation'!$X$40:$X$43,$E70,'Data manipulation'!$Y$40:$Y$43,$D70)</f>
        <v>0</v>
      </c>
      <c r="AB70" s="447">
        <f t="shared" si="87"/>
        <v>0</v>
      </c>
      <c r="AC70" s="252">
        <f t="shared" si="88"/>
        <v>0</v>
      </c>
      <c r="AD70" s="448">
        <f t="shared" si="89"/>
        <v>0</v>
      </c>
      <c r="AE70" s="263"/>
      <c r="AU70" s="261"/>
      <c r="AZ70" s="253"/>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1">
        <f t="shared" si="93"/>
        <v>0</v>
      </c>
      <c r="J71" s="251">
        <f t="shared" si="94"/>
        <v>0</v>
      </c>
      <c r="K71" s="251">
        <f t="shared" si="95"/>
        <v>0</v>
      </c>
      <c r="L71" s="466">
        <v>1</v>
      </c>
      <c r="M71" s="466">
        <v>1</v>
      </c>
      <c r="N71" s="466">
        <v>1</v>
      </c>
      <c r="O71" s="244">
        <f t="shared" si="98"/>
        <v>3.1536000000000002E-2</v>
      </c>
      <c r="P71" s="462">
        <v>0.15</v>
      </c>
      <c r="Q71" s="246">
        <v>20</v>
      </c>
      <c r="R71" s="227">
        <v>1.0900000000000001</v>
      </c>
      <c r="T71" s="269">
        <f t="shared" ref="T71:T174" si="105">SUM(I71:K71)*O71*P71/L71</f>
        <v>0</v>
      </c>
      <c r="U71" s="269"/>
      <c r="W71" s="255" t="s">
        <v>189</v>
      </c>
      <c r="X71" s="247">
        <v>2015</v>
      </c>
      <c r="Y71" s="436">
        <f>_xlfn.IFNA(INDEX('Data manipulation'!$C$23:$O$40,MATCH($V71,'Data manipulation'!$B$23:$B$40,0),MATCH($X71,'Data manipulation'!$C$22:$O$22,0))/1000,0)*SUMIFS('Regional split'!$F$4:$F$6,'Regional split'!$B$4:$B$6,Y$3)*SUMIFS('Data manipulation'!$V$40:$V$43,'Data manipulation'!$X$40:$X$43,$E71,'Data manipulation'!$Y$40:$Y$43,$D71)</f>
        <v>0</v>
      </c>
      <c r="Z71" s="271">
        <f>_xlfn.IFNA(INDEX('Data manipulation'!$C$23:$O$40,MATCH($V71,'Data manipulation'!$B$23:$B$40,0),MATCH($X71,'Data manipulation'!$C$22:$O$22,0))/1000,0)*SUMIFS('Regional split'!$F$4:$F$6,'Regional split'!$B$4:$B$6,Z$3)*SUMIFS('Data manipulation'!$V$40:$V$43,'Data manipulation'!$X$40:$X$43,$E71,'Data manipulation'!$Y$40:$Y$43,$D71)</f>
        <v>0</v>
      </c>
      <c r="AA71" s="458">
        <f>_xlfn.IFNA(INDEX('Data manipulation'!$C$23:$O$40,MATCH($V71,'Data manipulation'!$B$23:$B$40,0),MATCH($X71,'Data manipulation'!$C$22:$O$22,0))/1000,0)*SUMIFS('Regional split'!$F$4:$F$6,'Regional split'!$B$4:$B$6,AA$3)*SUMIFS('Data manipulation'!$V$40:$V$43,'Data manipulation'!$X$40:$X$43,$E71,'Data manipulation'!$Y$40:$Y$43,$D71)</f>
        <v>0</v>
      </c>
      <c r="AB71" s="447">
        <f t="shared" si="87"/>
        <v>0</v>
      </c>
      <c r="AC71" s="252">
        <f t="shared" si="88"/>
        <v>0</v>
      </c>
      <c r="AD71" s="448">
        <f t="shared" si="89"/>
        <v>0</v>
      </c>
      <c r="AE71" s="263"/>
      <c r="AU71" s="261"/>
      <c r="AZ71" s="253"/>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1">
        <f t="shared" si="93"/>
        <v>0</v>
      </c>
      <c r="J72" s="251">
        <f t="shared" si="94"/>
        <v>0</v>
      </c>
      <c r="K72" s="251">
        <f t="shared" si="95"/>
        <v>0</v>
      </c>
      <c r="L72" s="466">
        <v>1</v>
      </c>
      <c r="M72" s="466">
        <v>1</v>
      </c>
      <c r="N72" s="466">
        <v>1</v>
      </c>
      <c r="O72" s="244">
        <f t="shared" si="98"/>
        <v>3.1536000000000002E-2</v>
      </c>
      <c r="P72" s="462">
        <v>0.15</v>
      </c>
      <c r="Q72" s="246">
        <v>30</v>
      </c>
      <c r="R72" s="227">
        <v>1.0900000000000001</v>
      </c>
      <c r="T72" s="269">
        <f t="shared" si="105"/>
        <v>0</v>
      </c>
      <c r="U72" s="269"/>
      <c r="V72" s="227" t="str">
        <f>V42</f>
        <v>Electricity</v>
      </c>
      <c r="W72" s="255" t="s">
        <v>190</v>
      </c>
      <c r="X72" s="247">
        <v>2015</v>
      </c>
      <c r="Y72" s="436">
        <f>_xlfn.IFNA(INDEX('Data manipulation'!$C$23:$O$40,MATCH($V72,'Data manipulation'!$B$23:$B$40,0),MATCH($X72,'Data manipulation'!$C$22:$O$22,0))/1000,0)*SUMIFS('Regional split'!$F$4:$F$6,'Regional split'!$B$4:$B$6,Y$3)*SUMIFS('Data manipulation'!$V$40:$V$43,'Data manipulation'!$X$40:$X$43,$E72,'Data manipulation'!$Y$40:$Y$43,$D72)</f>
        <v>0</v>
      </c>
      <c r="Z72" s="271">
        <f>_xlfn.IFNA(INDEX('Data manipulation'!$C$23:$O$40,MATCH($V72,'Data manipulation'!$B$23:$B$40,0),MATCH($X72,'Data manipulation'!$C$22:$O$22,0))/1000,0)*SUMIFS('Regional split'!$F$4:$F$6,'Regional split'!$B$4:$B$6,Z$3)*SUMIFS('Data manipulation'!$V$40:$V$43,'Data manipulation'!$X$40:$X$43,$E72,'Data manipulation'!$Y$40:$Y$43,$D72)</f>
        <v>0</v>
      </c>
      <c r="AA72" s="458">
        <f>_xlfn.IFNA(INDEX('Data manipulation'!$C$23:$O$40,MATCH($V72,'Data manipulation'!$B$23:$B$40,0),MATCH($X72,'Data manipulation'!$C$22:$O$22,0))/1000,0)*SUMIFS('Regional split'!$F$4:$F$6,'Regional split'!$B$4:$B$6,AA$3)*SUMIFS('Data manipulation'!$V$40:$V$43,'Data manipulation'!$X$40:$X$43,$E72,'Data manipulation'!$Y$40:$Y$43,$D72)</f>
        <v>0</v>
      </c>
      <c r="AB72" s="447">
        <f t="shared" si="87"/>
        <v>0</v>
      </c>
      <c r="AC72" s="252">
        <f t="shared" si="88"/>
        <v>0</v>
      </c>
      <c r="AD72" s="448">
        <f t="shared" si="89"/>
        <v>0</v>
      </c>
      <c r="AU72" s="261"/>
      <c r="AZ72" s="253"/>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1">
        <f t="shared" si="93"/>
        <v>0</v>
      </c>
      <c r="J73" s="251">
        <f t="shared" si="94"/>
        <v>0</v>
      </c>
      <c r="K73" s="251">
        <f t="shared" si="95"/>
        <v>0</v>
      </c>
      <c r="L73" s="466">
        <v>2.3149999999999999</v>
      </c>
      <c r="M73" s="466">
        <v>2.3149999999999999</v>
      </c>
      <c r="N73" s="466">
        <v>2.3149999999999999</v>
      </c>
      <c r="O73" s="244">
        <f t="shared" si="98"/>
        <v>3.1536000000000002E-2</v>
      </c>
      <c r="P73" s="462">
        <v>0.15</v>
      </c>
      <c r="Q73" s="246">
        <v>30</v>
      </c>
      <c r="R73" s="227">
        <v>1.0900000000000001</v>
      </c>
      <c r="T73" s="269">
        <f t="shared" si="105"/>
        <v>0</v>
      </c>
      <c r="U73" s="269"/>
      <c r="W73" s="255" t="s">
        <v>191</v>
      </c>
      <c r="X73" s="247">
        <v>2015</v>
      </c>
      <c r="Y73" s="436">
        <f>_xlfn.IFNA(INDEX('Data manipulation'!$C$23:$O$40,MATCH($V73,'Data manipulation'!$B$23:$B$40,0),MATCH($X73,'Data manipulation'!$C$22:$O$22,0))/1000,0)*SUMIFS('Regional split'!$F$4:$F$6,'Regional split'!$B$4:$B$6,Y$3)*SUMIFS('Data manipulation'!$V$40:$V$43,'Data manipulation'!$X$40:$X$43,$E73,'Data manipulation'!$Y$40:$Y$43,$D73)</f>
        <v>0</v>
      </c>
      <c r="Z73" s="271">
        <f>_xlfn.IFNA(INDEX('Data manipulation'!$C$23:$O$40,MATCH($V73,'Data manipulation'!$B$23:$B$40,0),MATCH($X73,'Data manipulation'!$C$22:$O$22,0))/1000,0)*SUMIFS('Regional split'!$F$4:$F$6,'Regional split'!$B$4:$B$6,Z$3)*SUMIFS('Data manipulation'!$V$40:$V$43,'Data manipulation'!$X$40:$X$43,$E73,'Data manipulation'!$Y$40:$Y$43,$D73)</f>
        <v>0</v>
      </c>
      <c r="AA73" s="458">
        <f>_xlfn.IFNA(INDEX('Data manipulation'!$C$23:$O$40,MATCH($V73,'Data manipulation'!$B$23:$B$40,0),MATCH($X73,'Data manipulation'!$C$22:$O$22,0))/1000,0)*SUMIFS('Regional split'!$F$4:$F$6,'Regional split'!$B$4:$B$6,AA$3)*SUMIFS('Data manipulation'!$V$40:$V$43,'Data manipulation'!$X$40:$X$43,$E73,'Data manipulation'!$Y$40:$Y$43,$D73)</f>
        <v>0</v>
      </c>
      <c r="AB73" s="447">
        <f t="shared" si="87"/>
        <v>0</v>
      </c>
      <c r="AC73" s="252">
        <f t="shared" si="88"/>
        <v>0</v>
      </c>
      <c r="AD73" s="448">
        <f t="shared" si="89"/>
        <v>0</v>
      </c>
      <c r="AU73" s="261"/>
      <c r="AZ73" s="253"/>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83">
        <f>ROUNDUP(AB74/($O74*$P74)*$I$1,1)+ROUNDUP(AC74/($O74*$P74)*$I$1,1)+ROUNDUP(AD74/($O74*$P74)*$I$1,1)+ROUNDUP(AB84/($O84*$P84)*$I$1,1)+ROUNDUP(AC84/($O84*$P84)*$I$1,1)+ROUNDUP(AD84/($O84*$P84)*$I$1,1)</f>
        <v>256.3</v>
      </c>
      <c r="J74" s="583">
        <v>0</v>
      </c>
      <c r="K74" s="583">
        <v>0</v>
      </c>
      <c r="L74" s="466">
        <v>0.95</v>
      </c>
      <c r="M74" s="466">
        <v>0.95</v>
      </c>
      <c r="N74" s="466">
        <v>0.95</v>
      </c>
      <c r="O74" s="244">
        <f t="shared" si="98"/>
        <v>3.1536000000000002E-2</v>
      </c>
      <c r="P74" s="462">
        <v>0.15</v>
      </c>
      <c r="Q74" s="246">
        <v>30</v>
      </c>
      <c r="R74" s="227">
        <v>1.05</v>
      </c>
      <c r="T74" s="269">
        <f t="shared" si="105"/>
        <v>1.2762121263157897</v>
      </c>
      <c r="U74" s="269"/>
      <c r="V74" s="227" t="s">
        <v>220</v>
      </c>
      <c r="W74" s="255" t="s">
        <v>192</v>
      </c>
      <c r="X74" s="247">
        <v>2015</v>
      </c>
      <c r="Y74" s="436">
        <f>_xlfn.IFNA(INDEX('Data manipulation'!$C$23:$O$40,MATCH($V74,'Data manipulation'!$B$23:$B$40,0),MATCH($X74,'Data manipulation'!$C$22:$O$22,0))/1000,0)*SUMIFS('Regional split'!$F$4:$F$6,'Regional split'!$B$4:$B$6,Y$3)*SUMIFS('Data manipulation'!$V$40:$V$43,'Data manipulation'!$X$40:$X$43,$E74,'Data manipulation'!$Y$40:$Y$43,$D74)</f>
        <v>1.01817279819</v>
      </c>
      <c r="Z74" s="271">
        <f>_xlfn.IFNA(INDEX('Data manipulation'!$C$23:$O$40,MATCH($V74,'Data manipulation'!$B$23:$B$40,0),MATCH($X74,'Data manipulation'!$C$22:$O$22,0))/1000,0)*SUMIFS('Regional split'!$F$4:$F$6,'Regional split'!$B$4:$B$6,Z$3)*SUMIFS('Data manipulation'!$V$40:$V$43,'Data manipulation'!$X$40:$X$43,$E74,'Data manipulation'!$Y$40:$Y$43,$D74)</f>
        <v>2.5863846315000001E-2</v>
      </c>
      <c r="AA74" s="458">
        <f>_xlfn.IFNA(INDEX('Data manipulation'!$C$23:$O$40,MATCH($V74,'Data manipulation'!$B$23:$B$40,0),MATCH($X74,'Data manipulation'!$C$22:$O$22,0))/1000,0)*SUMIFS('Regional split'!$F$4:$F$6,'Regional split'!$B$4:$B$6,AA$3)*SUMIFS('Data manipulation'!$V$40:$V$43,'Data manipulation'!$X$40:$X$43,$E74,'Data manipulation'!$Y$40:$Y$43,$D74)</f>
        <v>8.1896955495000007E-2</v>
      </c>
      <c r="AB74" s="447">
        <f t="shared" si="87"/>
        <v>0.96726415828049994</v>
      </c>
      <c r="AC74" s="252">
        <f t="shared" si="88"/>
        <v>2.457065399925E-2</v>
      </c>
      <c r="AD74" s="448">
        <f t="shared" si="89"/>
        <v>7.7802107720250008E-2</v>
      </c>
      <c r="AU74" s="261"/>
      <c r="AZ74" s="253"/>
    </row>
    <row r="75" spans="2:52" ht="15" customHeight="1" thickBot="1">
      <c r="B75" s="256" t="str">
        <f t="shared" si="90"/>
        <v>RHTUMLPGE1</v>
      </c>
      <c r="C75" s="256" t="str">
        <f t="shared" si="90"/>
        <v>Residential Heating Technology Urban Multi - LPG - Existing 1</v>
      </c>
      <c r="D75" s="546" t="str">
        <f t="shared" ref="D75:E75" si="112">D35</f>
        <v>Urban</v>
      </c>
      <c r="E75" s="546" t="str">
        <f t="shared" si="112"/>
        <v>Multi storey</v>
      </c>
      <c r="F75" s="256" t="str">
        <f t="shared" ref="F75:G75" si="113">F35</f>
        <v>RESLPG</v>
      </c>
      <c r="G75" s="256" t="str">
        <f t="shared" si="113"/>
        <v>RESHUMB</v>
      </c>
      <c r="H75" s="424">
        <v>2015</v>
      </c>
      <c r="I75" s="298">
        <f t="shared" ref="I75" si="114">ROUNDUP(AB75/($O75*$P75)*$R75,1)</f>
        <v>31.6</v>
      </c>
      <c r="J75" s="298">
        <f t="shared" ref="J75" si="115">ROUNDUP(AC75/($O75*$P75)*$R75,1)</f>
        <v>0.9</v>
      </c>
      <c r="K75" s="298">
        <f t="shared" ref="K75" si="116">ROUNDUP(AD75/($O75*$P75)*$R75,1)</f>
        <v>2.6</v>
      </c>
      <c r="L75" s="467">
        <v>0.95</v>
      </c>
      <c r="M75" s="467">
        <v>0.95</v>
      </c>
      <c r="N75" s="467">
        <v>0.95</v>
      </c>
      <c r="O75" s="258">
        <f t="shared" si="98"/>
        <v>3.1536000000000002E-2</v>
      </c>
      <c r="P75" s="463">
        <v>0.15</v>
      </c>
      <c r="Q75" s="259">
        <v>30</v>
      </c>
      <c r="R75" s="227">
        <v>1.0900000000000001</v>
      </c>
      <c r="T75" s="269">
        <f t="shared" si="105"/>
        <v>0.17477583157894741</v>
      </c>
      <c r="U75" s="269"/>
      <c r="V75" s="227" t="s">
        <v>210</v>
      </c>
      <c r="W75" s="429" t="s">
        <v>769</v>
      </c>
      <c r="X75" s="247">
        <v>2015</v>
      </c>
      <c r="Y75" s="437">
        <f>_xlfn.IFNA(INDEX('Data manipulation'!$C$23:$O$40,MATCH($V75,'Data manipulation'!$B$23:$B$40,0),MATCH($X75,'Data manipulation'!$C$22:$O$22,0))/1000,0)*SUMIFS('Regional split'!$F$4:$F$6,'Regional split'!$B$4:$B$6,Y$3)*SUMIFS('Data manipulation'!$V$40:$V$43,'Data manipulation'!$X$40:$X$43,$E75,'Data manipulation'!$Y$40:$Y$43,$D75)</f>
        <v>0.14423537702700001</v>
      </c>
      <c r="Z75" s="434">
        <f>_xlfn.IFNA(INDEX('Data manipulation'!$C$23:$O$40,MATCH($V75,'Data manipulation'!$B$23:$B$40,0),MATCH($X75,'Data manipulation'!$C$22:$O$22,0))/1000,0)*SUMIFS('Regional split'!$F$4:$F$6,'Regional split'!$B$4:$B$6,Z$3)*SUMIFS('Data manipulation'!$V$40:$V$43,'Data manipulation'!$X$40:$X$43,$E75,'Data manipulation'!$Y$40:$Y$43,$D75)</f>
        <v>3.6638983395000002E-3</v>
      </c>
      <c r="AA75" s="459">
        <f>_xlfn.IFNA(INDEX('Data manipulation'!$C$23:$O$40,MATCH($V75,'Data manipulation'!$B$23:$B$40,0),MATCH($X75,'Data manipulation'!$C$22:$O$22,0))/1000,0)*SUMIFS('Regional split'!$F$4:$F$6,'Regional split'!$B$4:$B$6,AA$3)*SUMIFS('Data manipulation'!$V$40:$V$43,'Data manipulation'!$X$40:$X$43,$E75,'Data manipulation'!$Y$40:$Y$43,$D75)</f>
        <v>1.16016046335E-2</v>
      </c>
      <c r="AB75" s="454">
        <f t="shared" si="87"/>
        <v>0.13702360817565001</v>
      </c>
      <c r="AC75" s="278">
        <f t="shared" si="88"/>
        <v>3.4807034225250002E-3</v>
      </c>
      <c r="AD75" s="450">
        <f t="shared" si="89"/>
        <v>1.1021524401825E-2</v>
      </c>
      <c r="AU75" s="261"/>
      <c r="AZ75" s="253"/>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60">
        <v>2015</v>
      </c>
      <c r="I76" s="251">
        <f>ROUNDUP(AB76/($O76*$P76)*$R76,1)</f>
        <v>247.7</v>
      </c>
      <c r="J76" s="251">
        <f>ROUNDUP(AC76/($O76*$P76)*$R76,1)</f>
        <v>6.3</v>
      </c>
      <c r="K76" s="251">
        <f>ROUNDUP(AD76/($O76*$P76)*$R76,1)</f>
        <v>20</v>
      </c>
      <c r="L76" s="466">
        <v>0.79</v>
      </c>
      <c r="M76" s="466">
        <v>0.79</v>
      </c>
      <c r="N76" s="466">
        <v>0.79</v>
      </c>
      <c r="O76" s="244">
        <f t="shared" si="98"/>
        <v>3.1536000000000002E-2</v>
      </c>
      <c r="P76" s="462">
        <v>0.15</v>
      </c>
      <c r="Q76" s="246">
        <v>25</v>
      </c>
      <c r="R76" s="227">
        <v>1.0900000000000001</v>
      </c>
      <c r="T76" s="269">
        <f t="shared" si="105"/>
        <v>1.6406703797468354</v>
      </c>
      <c r="U76" s="269"/>
      <c r="V76" s="227" t="s">
        <v>80</v>
      </c>
      <c r="W76" s="255" t="s">
        <v>187</v>
      </c>
      <c r="X76" s="247">
        <v>2015</v>
      </c>
      <c r="Y76" s="436">
        <f>_xlfn.IFNA(INDEX('Data manipulation'!$C$23:$O$40,MATCH($V76,'Data manipulation'!$B$23:$B$40,0),MATCH($X76,'Data manipulation'!$C$22:$O$22,0))/1000,0)*SUMIFS('Regional split'!$F$4:$F$6,'Regional split'!$B$4:$B$6,Y$3)*SUMIFS('Data manipulation'!$V$40:$V$43,'Data manipulation'!$X$40:$X$43,$E76,'Data manipulation'!$Y$40:$Y$43,$D76)</f>
        <v>1.3602290412947726</v>
      </c>
      <c r="Z76" s="271">
        <f>_xlfn.IFNA(INDEX('Data manipulation'!$C$23:$O$40,MATCH($V76,'Data manipulation'!$B$23:$B$40,0),MATCH($X76,'Data manipulation'!$C$22:$O$22,0))/1000,0)*SUMIFS('Regional split'!$F$4:$F$6,'Regional split'!$B$4:$B$6,Z$3)*SUMIFS('Data manipulation'!$V$40:$V$43,'Data manipulation'!$X$40:$X$43,$E76,'Data manipulation'!$Y$40:$Y$43,$D76)</f>
        <v>3.455283321238637E-2</v>
      </c>
      <c r="AA76" s="458">
        <f>_xlfn.IFNA(INDEX('Data manipulation'!$C$23:$O$40,MATCH($V76,'Data manipulation'!$B$23:$B$40,0),MATCH($X76,'Data manipulation'!$C$22:$O$22,0))/1000,0)*SUMIFS('Regional split'!$F$4:$F$6,'Regional split'!$B$4:$B$6,AA$3)*SUMIFS('Data manipulation'!$V$40:$V$43,'Data manipulation'!$X$40:$X$43,$E76,'Data manipulation'!$Y$40:$Y$43,$D76)</f>
        <v>0.10941032549284091</v>
      </c>
      <c r="AB76" s="455">
        <f t="shared" si="87"/>
        <v>1.0745809426228705</v>
      </c>
      <c r="AC76" s="279">
        <f t="shared" si="88"/>
        <v>2.7296738237785233E-2</v>
      </c>
      <c r="AD76" s="451">
        <f t="shared" si="89"/>
        <v>8.6434157139344325E-2</v>
      </c>
      <c r="AU76" s="261"/>
      <c r="AZ76" s="253"/>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60">
        <v>2015</v>
      </c>
      <c r="I77" s="251">
        <f t="shared" ref="I77:I83" si="121">ROUNDUP(AB77/($O77*$P77)*$R77,1)</f>
        <v>0.1</v>
      </c>
      <c r="J77" s="251">
        <f t="shared" ref="J77:J83" si="122">ROUNDUP(AC77/($O77*$P77)*$R77,1)</f>
        <v>0.1</v>
      </c>
      <c r="K77" s="251">
        <f t="shared" ref="K77:K83" si="123">ROUNDUP(AD77/($O77*$P77)*$R77,1)</f>
        <v>0.1</v>
      </c>
      <c r="L77" s="466">
        <v>0.79</v>
      </c>
      <c r="M77" s="466">
        <v>0.79</v>
      </c>
      <c r="N77" s="466">
        <v>0.79</v>
      </c>
      <c r="O77" s="244">
        <f t="shared" si="98"/>
        <v>3.1536000000000002E-2</v>
      </c>
      <c r="P77" s="462">
        <v>0.15</v>
      </c>
      <c r="Q77" s="246">
        <v>20</v>
      </c>
      <c r="R77" s="227">
        <v>1.0900000000000001</v>
      </c>
      <c r="T77" s="269">
        <f t="shared" si="105"/>
        <v>1.796354430379747E-3</v>
      </c>
      <c r="V77" s="227" t="s">
        <v>213</v>
      </c>
      <c r="W77" s="255" t="s">
        <v>728</v>
      </c>
      <c r="X77" s="247">
        <v>2015</v>
      </c>
      <c r="Y77" s="436">
        <f>_xlfn.IFNA(INDEX('Data manipulation'!$C$23:$O$40,MATCH($V77,'Data manipulation'!$B$23:$B$40,0),MATCH($X77,'Data manipulation'!$C$22:$O$22,0))/1000,0)*SUMIFS('Regional split'!$F$4:$F$6,'Regional split'!$B$4:$B$6,Y$3)*SUMIFS('Data manipulation'!$V$40:$V$43,'Data manipulation'!$X$40:$X$43,$E77,'Data manipulation'!$Y$40:$Y$43,$D77)</f>
        <v>2.3330734772727274E-4</v>
      </c>
      <c r="Z77" s="271">
        <f>_xlfn.IFNA(INDEX('Data manipulation'!$C$23:$O$40,MATCH($V77,'Data manipulation'!$B$23:$B$40,0),MATCH($X77,'Data manipulation'!$C$22:$O$22,0))/1000,0)*SUMIFS('Regional split'!$F$4:$F$6,'Regional split'!$B$4:$B$6,Z$3)*SUMIFS('Data manipulation'!$V$40:$V$43,'Data manipulation'!$X$40:$X$43,$E77,'Data manipulation'!$Y$40:$Y$43,$D77)</f>
        <v>5.9265238636363646E-6</v>
      </c>
      <c r="AA77" s="458">
        <f>_xlfn.IFNA(INDEX('Data manipulation'!$C$23:$O$40,MATCH($V77,'Data manipulation'!$B$23:$B$40,0),MATCH($X77,'Data manipulation'!$C$22:$O$22,0))/1000,0)*SUMIFS('Regional split'!$F$4:$F$6,'Regional split'!$B$4:$B$6,AA$3)*SUMIFS('Data manipulation'!$V$40:$V$43,'Data manipulation'!$X$40:$X$43,$E77,'Data manipulation'!$Y$40:$Y$43,$D77)</f>
        <v>1.8766128409090909E-5</v>
      </c>
      <c r="AB77" s="447">
        <f t="shared" si="87"/>
        <v>1.8431280470454546E-4</v>
      </c>
      <c r="AC77" s="252">
        <f t="shared" si="88"/>
        <v>4.6819538522727286E-6</v>
      </c>
      <c r="AD77" s="448">
        <f t="shared" si="89"/>
        <v>1.4825241443181819E-5</v>
      </c>
      <c r="AU77" s="261"/>
      <c r="AZ77" s="253"/>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60">
        <v>2015</v>
      </c>
      <c r="I78" s="251">
        <f t="shared" si="121"/>
        <v>1.2000000000000002</v>
      </c>
      <c r="J78" s="251">
        <f t="shared" si="122"/>
        <v>0.1</v>
      </c>
      <c r="K78" s="251">
        <f t="shared" si="123"/>
        <v>0.1</v>
      </c>
      <c r="L78" s="466">
        <v>0.67</v>
      </c>
      <c r="M78" s="466">
        <v>0.67</v>
      </c>
      <c r="N78" s="466">
        <v>0.67</v>
      </c>
      <c r="O78" s="244">
        <f>31.536/1000</f>
        <v>3.1536000000000002E-2</v>
      </c>
      <c r="P78" s="462">
        <v>0.15</v>
      </c>
      <c r="Q78" s="246">
        <v>20</v>
      </c>
      <c r="R78" s="227">
        <v>1.0900000000000001</v>
      </c>
      <c r="T78" s="269">
        <f t="shared" si="105"/>
        <v>9.8844179104477636E-3</v>
      </c>
      <c r="U78" s="269"/>
      <c r="V78" s="269" t="s">
        <v>214</v>
      </c>
      <c r="W78" s="255" t="s">
        <v>728</v>
      </c>
      <c r="X78" s="247">
        <v>2015</v>
      </c>
      <c r="Y78" s="436">
        <f>_xlfn.IFNA(INDEX('Data manipulation'!$C$23:$O$40,MATCH($V78,'Data manipulation'!$B$23:$B$40,0),MATCH($X78,'Data manipulation'!$C$22:$O$22,0))/1000,0)*SUMIFS('Regional split'!$F$4:$F$6,'Regional split'!$B$4:$B$6,Y$3)*SUMIFS('Data manipulation'!$V$40:$V$43,'Data manipulation'!$X$40:$X$43,$E78,'Data manipulation'!$Y$40:$Y$43,$D78)</f>
        <v>7.3283827363636372E-3</v>
      </c>
      <c r="Z78" s="271">
        <f>_xlfn.IFNA(INDEX('Data manipulation'!$C$23:$O$40,MATCH($V78,'Data manipulation'!$B$23:$B$40,0),MATCH($X78,'Data manipulation'!$C$22:$O$22,0))/1000,0)*SUMIFS('Regional split'!$F$4:$F$6,'Regional split'!$B$4:$B$6,Z$3)*SUMIFS('Data manipulation'!$V$40:$V$43,'Data manipulation'!$X$40:$X$43,$E78,'Data manipulation'!$Y$40:$Y$43,$D78)</f>
        <v>1.8615716818181819E-4</v>
      </c>
      <c r="AA78" s="458">
        <f>_xlfn.IFNA(INDEX('Data manipulation'!$C$23:$O$40,MATCH($V78,'Data manipulation'!$B$23:$B$40,0),MATCH($X78,'Data manipulation'!$C$22:$O$22,0))/1000,0)*SUMIFS('Regional split'!$F$4:$F$6,'Regional split'!$B$4:$B$6,AA$3)*SUMIFS('Data manipulation'!$V$40:$V$43,'Data manipulation'!$X$40:$X$43,$E78,'Data manipulation'!$Y$40:$Y$43,$D78)</f>
        <v>5.894600954545454E-4</v>
      </c>
      <c r="AB78" s="447">
        <f t="shared" si="87"/>
        <v>4.9100164333636372E-3</v>
      </c>
      <c r="AC78" s="252">
        <f t="shared" si="88"/>
        <v>1.247253026818182E-4</v>
      </c>
      <c r="AD78" s="448">
        <f t="shared" si="89"/>
        <v>3.9493826395454546E-4</v>
      </c>
      <c r="AU78" s="261"/>
      <c r="AZ78" s="253"/>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60">
        <v>2015</v>
      </c>
      <c r="I79" s="251">
        <f t="shared" si="121"/>
        <v>5.8</v>
      </c>
      <c r="J79" s="251">
        <f t="shared" si="122"/>
        <v>0.2</v>
      </c>
      <c r="K79" s="251">
        <f t="shared" si="123"/>
        <v>0.5</v>
      </c>
      <c r="L79" s="466">
        <v>0.67</v>
      </c>
      <c r="M79" s="466">
        <v>0.67</v>
      </c>
      <c r="N79" s="466">
        <v>0.67</v>
      </c>
      <c r="O79" s="244">
        <f>31.536/1000</f>
        <v>3.1536000000000002E-2</v>
      </c>
      <c r="P79" s="462">
        <v>0.15</v>
      </c>
      <c r="Q79" s="246">
        <v>20</v>
      </c>
      <c r="R79" s="227">
        <v>1.0900000000000001</v>
      </c>
      <c r="T79" s="269">
        <f t="shared" si="105"/>
        <v>4.5891940298507461E-2</v>
      </c>
      <c r="U79" s="269"/>
      <c r="V79" s="227" t="s">
        <v>221</v>
      </c>
      <c r="W79" s="255" t="s">
        <v>197</v>
      </c>
      <c r="X79" s="247">
        <v>2015</v>
      </c>
      <c r="Y79" s="436">
        <f>_xlfn.IFNA(INDEX('Data manipulation'!$C$23:$O$40,MATCH($V79,'Data manipulation'!$B$23:$B$40,0),MATCH($X79,'Data manipulation'!$C$22:$O$22,0))/1000,0)*SUMIFS('Regional split'!$F$4:$F$6,'Regional split'!$B$4:$B$6,Y$3)*SUMIFS('Data manipulation'!$V$40:$V$43,'Data manipulation'!$X$40:$X$43,$E79,'Data manipulation'!$Y$40:$Y$43,$D79)</f>
        <v>3.7365347318181814E-2</v>
      </c>
      <c r="Z79" s="271">
        <f>_xlfn.IFNA(INDEX('Data manipulation'!$C$23:$O$40,MATCH($V79,'Data manipulation'!$B$23:$B$40,0),MATCH($X79,'Data manipulation'!$C$22:$O$22,0))/1000,0)*SUMIFS('Regional split'!$F$4:$F$6,'Regional split'!$B$4:$B$6,Z$3)*SUMIFS('Data manipulation'!$V$40:$V$43,'Data manipulation'!$X$40:$X$43,$E79,'Data manipulation'!$Y$40:$Y$43,$D79)</f>
        <v>9.4916265909090916E-4</v>
      </c>
      <c r="AA79" s="458">
        <f>_xlfn.IFNA(INDEX('Data manipulation'!$C$23:$O$40,MATCH($V79,'Data manipulation'!$B$23:$B$40,0),MATCH($X79,'Data manipulation'!$C$22:$O$22,0))/1000,0)*SUMIFS('Regional split'!$F$4:$F$6,'Regional split'!$B$4:$B$6,AA$3)*SUMIFS('Data manipulation'!$V$40:$V$43,'Data manipulation'!$X$40:$X$43,$E79,'Data manipulation'!$Y$40:$Y$43,$D79)</f>
        <v>3.0054900227272723E-3</v>
      </c>
      <c r="AB79" s="447">
        <f t="shared" si="87"/>
        <v>2.5034782703181817E-2</v>
      </c>
      <c r="AC79" s="252">
        <f t="shared" si="88"/>
        <v>6.359389815909092E-4</v>
      </c>
      <c r="AD79" s="448">
        <f t="shared" si="89"/>
        <v>2.0136783152272728E-3</v>
      </c>
      <c r="AU79" s="261"/>
      <c r="AZ79" s="253"/>
    </row>
    <row r="80" spans="2:52" ht="15" customHeight="1">
      <c r="B80" s="233" t="str">
        <f t="shared" si="90"/>
        <v>RHTRMSTRE1</v>
      </c>
      <c r="C80" s="233" t="str">
        <f t="shared" si="90"/>
        <v>Residential Heating Technology Rural Multi - Straw - Existing 1</v>
      </c>
      <c r="D80" s="233" t="str">
        <f t="shared" ref="D80:E80" si="128">D40</f>
        <v>Rural</v>
      </c>
      <c r="E80" s="233" t="str">
        <f t="shared" si="128"/>
        <v>Multi storey</v>
      </c>
      <c r="F80" s="233" t="str">
        <f t="shared" ref="F80:G80" si="129">F40</f>
        <v>RESSTR</v>
      </c>
      <c r="G80" s="233" t="str">
        <f t="shared" si="129"/>
        <v>RESHRMB</v>
      </c>
      <c r="H80" s="260">
        <v>2015</v>
      </c>
      <c r="I80" s="251">
        <f t="shared" si="121"/>
        <v>0</v>
      </c>
      <c r="J80" s="251">
        <f t="shared" si="122"/>
        <v>0</v>
      </c>
      <c r="K80" s="251">
        <f t="shared" si="123"/>
        <v>0</v>
      </c>
      <c r="L80" s="466">
        <v>0.61</v>
      </c>
      <c r="M80" s="466">
        <v>0.61</v>
      </c>
      <c r="N80" s="466">
        <v>0.61</v>
      </c>
      <c r="O80" s="244">
        <f t="shared" si="98"/>
        <v>3.1536000000000002E-2</v>
      </c>
      <c r="P80" s="462">
        <v>0.15</v>
      </c>
      <c r="Q80" s="246">
        <v>20</v>
      </c>
      <c r="R80" s="227">
        <v>1.0900000000000001</v>
      </c>
      <c r="T80" s="269">
        <f t="shared" si="105"/>
        <v>0</v>
      </c>
      <c r="U80" s="269"/>
      <c r="W80" s="255" t="s">
        <v>188</v>
      </c>
      <c r="X80" s="247">
        <v>2015</v>
      </c>
      <c r="Y80" s="436">
        <f>_xlfn.IFNA(INDEX('Data manipulation'!$C$23:$O$40,MATCH($V80,'Data manipulation'!$B$23:$B$40,0),MATCH($X80,'Data manipulation'!$C$22:$O$22,0))/1000,0)*SUMIFS('Regional split'!$F$4:$F$6,'Regional split'!$B$4:$B$6,Y$3)*SUMIFS('Data manipulation'!$V$40:$V$43,'Data manipulation'!$X$40:$X$43,$E80,'Data manipulation'!$Y$40:$Y$43,$D80)</f>
        <v>0</v>
      </c>
      <c r="Z80" s="271">
        <f>_xlfn.IFNA(INDEX('Data manipulation'!$C$23:$O$40,MATCH($V80,'Data manipulation'!$B$23:$B$40,0),MATCH($X80,'Data manipulation'!$C$22:$O$22,0))/1000,0)*SUMIFS('Regional split'!$F$4:$F$6,'Regional split'!$B$4:$B$6,Z$3)*SUMIFS('Data manipulation'!$V$40:$V$43,'Data manipulation'!$X$40:$X$43,$E80,'Data manipulation'!$Y$40:$Y$43,$D80)</f>
        <v>0</v>
      </c>
      <c r="AA80" s="458">
        <f>_xlfn.IFNA(INDEX('Data manipulation'!$C$23:$O$40,MATCH($V80,'Data manipulation'!$B$23:$B$40,0),MATCH($X80,'Data manipulation'!$C$22:$O$22,0))/1000,0)*SUMIFS('Regional split'!$F$4:$F$6,'Regional split'!$B$4:$B$6,AA$3)*SUMIFS('Data manipulation'!$V$40:$V$43,'Data manipulation'!$X$40:$X$43,$E80,'Data manipulation'!$Y$40:$Y$43,$D80)</f>
        <v>0</v>
      </c>
      <c r="AB80" s="447">
        <f t="shared" si="87"/>
        <v>0</v>
      </c>
      <c r="AC80" s="252">
        <f t="shared" si="88"/>
        <v>0</v>
      </c>
      <c r="AD80" s="448">
        <f t="shared" si="89"/>
        <v>0</v>
      </c>
      <c r="AU80" s="261"/>
      <c r="AZ80" s="253"/>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60">
        <v>2015</v>
      </c>
      <c r="I81" s="251">
        <f t="shared" si="121"/>
        <v>0</v>
      </c>
      <c r="J81" s="251">
        <f t="shared" si="122"/>
        <v>0</v>
      </c>
      <c r="K81" s="251">
        <f t="shared" si="123"/>
        <v>0</v>
      </c>
      <c r="L81" s="466">
        <v>1</v>
      </c>
      <c r="M81" s="466">
        <v>1</v>
      </c>
      <c r="N81" s="466">
        <v>1</v>
      </c>
      <c r="O81" s="244">
        <f t="shared" si="98"/>
        <v>3.1536000000000002E-2</v>
      </c>
      <c r="P81" s="462">
        <v>0.15</v>
      </c>
      <c r="Q81" s="246">
        <v>20</v>
      </c>
      <c r="R81" s="227">
        <v>1.0900000000000001</v>
      </c>
      <c r="T81" s="269">
        <f t="shared" si="105"/>
        <v>0</v>
      </c>
      <c r="U81" s="269"/>
      <c r="W81" s="255" t="s">
        <v>189</v>
      </c>
      <c r="X81" s="247">
        <v>2015</v>
      </c>
      <c r="Y81" s="436">
        <f>_xlfn.IFNA(INDEX('Data manipulation'!$C$23:$O$40,MATCH($V81,'Data manipulation'!$B$23:$B$40,0),MATCH($X81,'Data manipulation'!$C$22:$O$22,0))/1000,0)*SUMIFS('Regional split'!$F$4:$F$6,'Regional split'!$B$4:$B$6,Y$3)*SUMIFS('Data manipulation'!$V$40:$V$43,'Data manipulation'!$X$40:$X$43,$E81,'Data manipulation'!$Y$40:$Y$43,$D81)</f>
        <v>0</v>
      </c>
      <c r="Z81" s="271">
        <f>_xlfn.IFNA(INDEX('Data manipulation'!$C$23:$O$40,MATCH($V81,'Data manipulation'!$B$23:$B$40,0),MATCH($X81,'Data manipulation'!$C$22:$O$22,0))/1000,0)*SUMIFS('Regional split'!$F$4:$F$6,'Regional split'!$B$4:$B$6,Z$3)*SUMIFS('Data manipulation'!$V$40:$V$43,'Data manipulation'!$X$40:$X$43,$E81,'Data manipulation'!$Y$40:$Y$43,$D81)</f>
        <v>0</v>
      </c>
      <c r="AA81" s="458">
        <f>_xlfn.IFNA(INDEX('Data manipulation'!$C$23:$O$40,MATCH($V81,'Data manipulation'!$B$23:$B$40,0),MATCH($X81,'Data manipulation'!$C$22:$O$22,0))/1000,0)*SUMIFS('Regional split'!$F$4:$F$6,'Regional split'!$B$4:$B$6,AA$3)*SUMIFS('Data manipulation'!$V$40:$V$43,'Data manipulation'!$X$40:$X$43,$E81,'Data manipulation'!$Y$40:$Y$43,$D81)</f>
        <v>0</v>
      </c>
      <c r="AB81" s="447">
        <f t="shared" si="87"/>
        <v>0</v>
      </c>
      <c r="AC81" s="252">
        <f t="shared" si="88"/>
        <v>0</v>
      </c>
      <c r="AD81" s="448">
        <f t="shared" si="89"/>
        <v>0</v>
      </c>
      <c r="AU81" s="261"/>
      <c r="AZ81" s="253"/>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60">
        <v>2015</v>
      </c>
      <c r="I82" s="251">
        <f t="shared" si="121"/>
        <v>0</v>
      </c>
      <c r="J82" s="251">
        <f t="shared" si="122"/>
        <v>0</v>
      </c>
      <c r="K82" s="251">
        <f t="shared" si="123"/>
        <v>0</v>
      </c>
      <c r="L82" s="466">
        <v>1</v>
      </c>
      <c r="M82" s="466">
        <v>1</v>
      </c>
      <c r="N82" s="466">
        <v>1</v>
      </c>
      <c r="O82" s="244">
        <f t="shared" si="98"/>
        <v>3.1536000000000002E-2</v>
      </c>
      <c r="P82" s="462">
        <v>0.15</v>
      </c>
      <c r="Q82" s="246">
        <v>30</v>
      </c>
      <c r="R82" s="227">
        <v>1.0900000000000001</v>
      </c>
      <c r="T82" s="269">
        <f t="shared" si="105"/>
        <v>0</v>
      </c>
      <c r="U82" s="269"/>
      <c r="V82" s="227" t="str">
        <f>V72</f>
        <v>Electricity</v>
      </c>
      <c r="W82" s="255" t="s">
        <v>190</v>
      </c>
      <c r="X82" s="247">
        <v>2015</v>
      </c>
      <c r="Y82" s="436">
        <f>_xlfn.IFNA(INDEX('Data manipulation'!$C$23:$O$40,MATCH($V82,'Data manipulation'!$B$23:$B$40,0),MATCH($X82,'Data manipulation'!$C$22:$O$22,0))/1000,0)*SUMIFS('Regional split'!$F$4:$F$6,'Regional split'!$B$4:$B$6,Y$3)*SUMIFS('Data manipulation'!$V$40:$V$43,'Data manipulation'!$X$40:$X$43,$E82,'Data manipulation'!$Y$40:$Y$43,$D82)</f>
        <v>0</v>
      </c>
      <c r="Z82" s="271">
        <f>_xlfn.IFNA(INDEX('Data manipulation'!$C$23:$O$40,MATCH($V82,'Data manipulation'!$B$23:$B$40,0),MATCH($X82,'Data manipulation'!$C$22:$O$22,0))/1000,0)*SUMIFS('Regional split'!$F$4:$F$6,'Regional split'!$B$4:$B$6,Z$3)*SUMIFS('Data manipulation'!$V$40:$V$43,'Data manipulation'!$X$40:$X$43,$E82,'Data manipulation'!$Y$40:$Y$43,$D82)</f>
        <v>0</v>
      </c>
      <c r="AA82" s="458">
        <f>_xlfn.IFNA(INDEX('Data manipulation'!$C$23:$O$40,MATCH($V82,'Data manipulation'!$B$23:$B$40,0),MATCH($X82,'Data manipulation'!$C$22:$O$22,0))/1000,0)*SUMIFS('Regional split'!$F$4:$F$6,'Regional split'!$B$4:$B$6,AA$3)*SUMIFS('Data manipulation'!$V$40:$V$43,'Data manipulation'!$X$40:$X$43,$E82,'Data manipulation'!$Y$40:$Y$43,$D82)</f>
        <v>0</v>
      </c>
      <c r="AB82" s="447">
        <f t="shared" si="87"/>
        <v>0</v>
      </c>
      <c r="AC82" s="252">
        <f t="shared" si="88"/>
        <v>0</v>
      </c>
      <c r="AD82" s="448">
        <f t="shared" si="89"/>
        <v>0</v>
      </c>
      <c r="AU82" s="261"/>
      <c r="AZ82" s="253"/>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60">
        <v>2015</v>
      </c>
      <c r="I83" s="251">
        <f t="shared" si="121"/>
        <v>0</v>
      </c>
      <c r="J83" s="251">
        <f t="shared" si="122"/>
        <v>0</v>
      </c>
      <c r="K83" s="251">
        <f t="shared" si="123"/>
        <v>0</v>
      </c>
      <c r="L83" s="466">
        <v>2.3149999999999999</v>
      </c>
      <c r="M83" s="466">
        <v>2.3149999999999999</v>
      </c>
      <c r="N83" s="466">
        <v>2.3149999999999999</v>
      </c>
      <c r="O83" s="244">
        <f t="shared" si="98"/>
        <v>3.1536000000000002E-2</v>
      </c>
      <c r="P83" s="462">
        <v>0.15</v>
      </c>
      <c r="Q83" s="246">
        <v>30</v>
      </c>
      <c r="R83" s="227">
        <v>1.0900000000000001</v>
      </c>
      <c r="T83" s="269">
        <f t="shared" si="105"/>
        <v>0</v>
      </c>
      <c r="U83" s="269"/>
      <c r="W83" s="255" t="s">
        <v>191</v>
      </c>
      <c r="X83" s="247">
        <v>2015</v>
      </c>
      <c r="Y83" s="436">
        <f>_xlfn.IFNA(INDEX('Data manipulation'!$C$23:$O$40,MATCH($V83,'Data manipulation'!$B$23:$B$40,0),MATCH($X83,'Data manipulation'!$C$22:$O$22,0))/1000,0)*SUMIFS('Regional split'!$F$4:$F$6,'Regional split'!$B$4:$B$6,Y$3)*SUMIFS('Data manipulation'!$V$40:$V$43,'Data manipulation'!$X$40:$X$43,$E83,'Data manipulation'!$Y$40:$Y$43,$D83)</f>
        <v>0</v>
      </c>
      <c r="Z83" s="271">
        <f>_xlfn.IFNA(INDEX('Data manipulation'!$C$23:$O$40,MATCH($V83,'Data manipulation'!$B$23:$B$40,0),MATCH($X83,'Data manipulation'!$C$22:$O$22,0))/1000,0)*SUMIFS('Regional split'!$F$4:$F$6,'Regional split'!$B$4:$B$6,Z$3)*SUMIFS('Data manipulation'!$V$40:$V$43,'Data manipulation'!$X$40:$X$43,$E83,'Data manipulation'!$Y$40:$Y$43,$D83)</f>
        <v>0</v>
      </c>
      <c r="AA83" s="458">
        <f>_xlfn.IFNA(INDEX('Data manipulation'!$C$23:$O$40,MATCH($V83,'Data manipulation'!$B$23:$B$40,0),MATCH($X83,'Data manipulation'!$C$22:$O$22,0))/1000,0)*SUMIFS('Regional split'!$F$4:$F$6,'Regional split'!$B$4:$B$6,AA$3)*SUMIFS('Data manipulation'!$V$40:$V$43,'Data manipulation'!$X$40:$X$43,$E83,'Data manipulation'!$Y$40:$Y$43,$D83)</f>
        <v>0</v>
      </c>
      <c r="AB83" s="447">
        <f t="shared" si="87"/>
        <v>0</v>
      </c>
      <c r="AC83" s="252">
        <f t="shared" si="88"/>
        <v>0</v>
      </c>
      <c r="AD83" s="448">
        <f t="shared" si="89"/>
        <v>0</v>
      </c>
      <c r="AU83" s="261"/>
      <c r="AZ83" s="253"/>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2">
        <v>2015</v>
      </c>
      <c r="I84" s="583">
        <v>0</v>
      </c>
      <c r="J84" s="583">
        <v>0</v>
      </c>
      <c r="K84" s="583">
        <v>0</v>
      </c>
      <c r="L84" s="466">
        <v>0.98</v>
      </c>
      <c r="M84" s="466">
        <v>0.98</v>
      </c>
      <c r="N84" s="466">
        <v>0.98</v>
      </c>
      <c r="O84" s="244">
        <f t="shared" si="98"/>
        <v>3.1536000000000002E-2</v>
      </c>
      <c r="P84" s="462">
        <v>0.15</v>
      </c>
      <c r="Q84" s="246">
        <v>30</v>
      </c>
      <c r="R84" s="227">
        <v>1.0900000000000001</v>
      </c>
      <c r="T84" s="269">
        <f t="shared" si="105"/>
        <v>0</v>
      </c>
      <c r="U84" s="269"/>
      <c r="V84" s="227" t="s">
        <v>220</v>
      </c>
      <c r="W84" s="255" t="s">
        <v>192</v>
      </c>
      <c r="X84" s="247">
        <v>2015</v>
      </c>
      <c r="Y84" s="436">
        <f>_xlfn.IFNA(INDEX('Data manipulation'!$C$23:$O$40,MATCH($V84,'Data manipulation'!$B$23:$B$40,0),MATCH($X84,'Data manipulation'!$C$22:$O$22,0))/1000,0)*SUMIFS('Regional split'!$F$4:$F$6,'Regional split'!$B$4:$B$6,Y$3)*SUMIFS('Data manipulation'!$V$40:$V$43,'Data manipulation'!$X$40:$X$43,$E84,'Data manipulation'!$Y$40:$Y$43,$D84)</f>
        <v>7.7134302893181822E-2</v>
      </c>
      <c r="Z84" s="271">
        <f>_xlfn.IFNA(INDEX('Data manipulation'!$C$23:$O$40,MATCH($V84,'Data manipulation'!$B$23:$B$40,0),MATCH($X84,'Data manipulation'!$C$22:$O$22,0))/1000,0)*SUMIFS('Regional split'!$F$4:$F$6,'Regional split'!$B$4:$B$6,Z$3)*SUMIFS('Data manipulation'!$V$40:$V$43,'Data manipulation'!$X$40:$X$43,$E84,'Data manipulation'!$Y$40:$Y$43,$D84)</f>
        <v>1.9593822965909093E-3</v>
      </c>
      <c r="AA84" s="458">
        <f>_xlfn.IFNA(INDEX('Data manipulation'!$C$23:$O$40,MATCH($V84,'Data manipulation'!$B$23:$B$40,0),MATCH($X84,'Data manipulation'!$C$22:$O$22,0))/1000,0)*SUMIFS('Regional split'!$F$4:$F$6,'Regional split'!$B$4:$B$6,AA$3)*SUMIFS('Data manipulation'!$V$40:$V$43,'Data manipulation'!$X$40:$X$43,$E84,'Data manipulation'!$Y$40:$Y$43,$D84)</f>
        <v>6.2043148102272731E-3</v>
      </c>
      <c r="AB84" s="447">
        <f t="shared" si="87"/>
        <v>7.559161683531819E-2</v>
      </c>
      <c r="AC84" s="252">
        <f t="shared" si="88"/>
        <v>1.9201946506590911E-3</v>
      </c>
      <c r="AD84" s="448">
        <f t="shared" si="89"/>
        <v>6.0802285140227272E-3</v>
      </c>
      <c r="AU84" s="261"/>
      <c r="AZ84" s="253"/>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2">
        <v>2015</v>
      </c>
      <c r="I85" s="298">
        <f t="shared" ref="I85" si="140">ROUNDUP(AB85/($O85*$P85)*$R85,1)</f>
        <v>2.5</v>
      </c>
      <c r="J85" s="298">
        <f t="shared" ref="J85" si="141">ROUNDUP(AC85/($O85*$P85)*$R85,1)</f>
        <v>0.1</v>
      </c>
      <c r="K85" s="298">
        <f t="shared" ref="K85" si="142">ROUNDUP(AD85/($O85*$P85)*$R85,1)</f>
        <v>0.2</v>
      </c>
      <c r="L85" s="466">
        <v>0.98</v>
      </c>
      <c r="M85" s="466">
        <v>0.98</v>
      </c>
      <c r="N85" s="466">
        <v>0.98</v>
      </c>
      <c r="O85" s="244">
        <f t="shared" si="98"/>
        <v>3.1536000000000002E-2</v>
      </c>
      <c r="P85" s="462">
        <v>0.15</v>
      </c>
      <c r="Q85" s="246">
        <v>30</v>
      </c>
      <c r="R85" s="227">
        <v>1.0900000000000001</v>
      </c>
      <c r="T85" s="269">
        <f t="shared" si="105"/>
        <v>1.3515428571428572E-2</v>
      </c>
      <c r="U85" s="269"/>
      <c r="V85" s="227" t="s">
        <v>210</v>
      </c>
      <c r="W85" s="429" t="s">
        <v>769</v>
      </c>
      <c r="X85" s="247">
        <v>2015</v>
      </c>
      <c r="Y85" s="437">
        <f>_xlfn.IFNA(INDEX('Data manipulation'!$C$23:$O$40,MATCH($V85,'Data manipulation'!$B$23:$B$40,0),MATCH($X85,'Data manipulation'!$C$22:$O$22,0))/1000,0)*SUMIFS('Regional split'!$F$4:$F$6,'Regional split'!$B$4:$B$6,Y$3)*SUMIFS('Data manipulation'!$V$40:$V$43,'Data manipulation'!$X$40:$X$43,$E85,'Data manipulation'!$Y$40:$Y$43,$D85)</f>
        <v>1.0926922502045456E-2</v>
      </c>
      <c r="Z85" s="434">
        <f>_xlfn.IFNA(INDEX('Data manipulation'!$C$23:$O$40,MATCH($V85,'Data manipulation'!$B$23:$B$40,0),MATCH($X85,'Data manipulation'!$C$22:$O$22,0))/1000,0)*SUMIFS('Regional split'!$F$4:$F$6,'Regional split'!$B$4:$B$6,Z$3)*SUMIFS('Data manipulation'!$V$40:$V$43,'Data manipulation'!$X$40:$X$43,$E85,'Data manipulation'!$Y$40:$Y$43,$D85)</f>
        <v>2.7756805602272727E-4</v>
      </c>
      <c r="AA85" s="459">
        <f>_xlfn.IFNA(INDEX('Data manipulation'!$C$23:$O$40,MATCH($V85,'Data manipulation'!$B$23:$B$40,0),MATCH($X85,'Data manipulation'!$C$22:$O$22,0))/1000,0)*SUMIFS('Regional split'!$F$4:$F$6,'Regional split'!$B$4:$B$6,AA$3)*SUMIFS('Data manipulation'!$V$40:$V$43,'Data manipulation'!$X$40:$X$43,$E85,'Data manipulation'!$Y$40:$Y$43,$D85)</f>
        <v>8.7890944193181816E-4</v>
      </c>
      <c r="AB85" s="449">
        <f t="shared" si="87"/>
        <v>1.0708384052004546E-2</v>
      </c>
      <c r="AC85" s="435">
        <f t="shared" si="88"/>
        <v>2.7201669490227269E-4</v>
      </c>
      <c r="AD85" s="456">
        <f t="shared" si="89"/>
        <v>8.6133125309318173E-4</v>
      </c>
      <c r="AU85" s="261"/>
      <c r="AZ85" s="253"/>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v>
      </c>
      <c r="G86" s="227" t="str">
        <f t="shared" si="143"/>
        <v>RESHUDB</v>
      </c>
      <c r="H86" s="230">
        <v>2018</v>
      </c>
      <c r="I86" s="251">
        <f>ROUNDUP(AB86/($O86*$P86)*$R86,1)</f>
        <v>3090.7999999999997</v>
      </c>
      <c r="J86" s="251">
        <f>ROUNDUP(AC86/($O86*$P86)*$R86,1)</f>
        <v>78.599999999999994</v>
      </c>
      <c r="K86" s="251">
        <f>ROUNDUP(AD86/($O86*$P86)*$R86,1)</f>
        <v>248.7</v>
      </c>
      <c r="L86" s="466">
        <v>0.72</v>
      </c>
      <c r="M86" s="466">
        <v>0.72</v>
      </c>
      <c r="N86" s="466">
        <v>0.72</v>
      </c>
      <c r="O86" s="244">
        <f>31.536/1000</f>
        <v>3.1536000000000002E-2</v>
      </c>
      <c r="P86" s="462">
        <v>0.15</v>
      </c>
      <c r="Q86" s="246">
        <v>22</v>
      </c>
      <c r="R86" s="227">
        <v>1.05</v>
      </c>
      <c r="T86" s="269">
        <f t="shared" si="105"/>
        <v>22.456916999999997</v>
      </c>
      <c r="U86" s="269"/>
      <c r="V86" s="227" t="s">
        <v>80</v>
      </c>
      <c r="W86" s="247" t="s">
        <v>187</v>
      </c>
      <c r="X86" s="247">
        <v>2018</v>
      </c>
      <c r="Y86" s="436">
        <f>_xlfn.IFNA(INDEX('Data manipulation'!$C$23:$O$40,MATCH($V86,'Data manipulation'!$B$23:$B$40,0),MATCH($X86,'Data manipulation'!$C$22:$O$22,0))/1000,0)*SUMIFS('Regional split'!$F$4:$F$6,'Regional split'!$B$4:$B$6,Y$3)*SUMIFS('Data manipulation'!$V$40:$V$43,'Data manipulation'!$X$40:$X$43,$E86,'Data manipulation'!$Y$40:$Y$43,$D86)</f>
        <v>19.339575708279273</v>
      </c>
      <c r="Z86" s="271">
        <f>_xlfn.IFNA(INDEX('Data manipulation'!$C$23:$O$40,MATCH($V86,'Data manipulation'!$B$23:$B$40,0),MATCH($X86,'Data manipulation'!$C$22:$O$22,0))/1000,0)*SUMIFS('Regional split'!$F$4:$F$6,'Regional split'!$B$4:$B$6,Z$3)*SUMIFS('Data manipulation'!$V$40:$V$43,'Data manipulation'!$X$40:$X$43,$E86,'Data manipulation'!$Y$40:$Y$43,$D86)</f>
        <v>0.49126809791563636</v>
      </c>
      <c r="AA86" s="458">
        <f>_xlfn.IFNA(INDEX('Data manipulation'!$C$23:$O$40,MATCH($V86,'Data manipulation'!$B$23:$B$40,0),MATCH($X86,'Data manipulation'!$C$22:$O$22,0))/1000,0)*SUMIFS('Regional split'!$F$4:$F$6,'Regional split'!$B$4:$B$6,AA$3)*SUMIFS('Data manipulation'!$V$40:$V$43,'Data manipulation'!$X$40:$X$43,$E86,'Data manipulation'!$Y$40:$Y$43,$D86)</f>
        <v>1.5555830738050909</v>
      </c>
      <c r="AB86" s="447">
        <f t="shared" si="87"/>
        <v>13.924494509961077</v>
      </c>
      <c r="AC86" s="252">
        <f t="shared" si="88"/>
        <v>0.35371303049925817</v>
      </c>
      <c r="AD86" s="448">
        <f t="shared" si="89"/>
        <v>1.1200198131396655</v>
      </c>
      <c r="AE86" s="263"/>
      <c r="AU86" s="261"/>
      <c r="AZ86" s="253"/>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1">
        <f t="shared" ref="I87:I93" si="145">ROUNDUP(AB87/($O87*$P87)*$R87,1)</f>
        <v>0.2</v>
      </c>
      <c r="J87" s="251">
        <f t="shared" ref="J87:J93" si="146">ROUNDUP(AC87/($O87*$P87)*$R87,1)</f>
        <v>0.1</v>
      </c>
      <c r="K87" s="251">
        <f t="shared" ref="K87:K93" si="147">ROUNDUP(AD87/($O87*$P87)*$R87,1)</f>
        <v>0.1</v>
      </c>
      <c r="L87" s="466">
        <v>0.71</v>
      </c>
      <c r="M87" s="466">
        <v>0.71</v>
      </c>
      <c r="N87" s="466">
        <v>0.71</v>
      </c>
      <c r="O87" s="244">
        <f>31.536/1000</f>
        <v>3.1536000000000002E-2</v>
      </c>
      <c r="P87" s="462">
        <v>0.15</v>
      </c>
      <c r="Q87" s="246">
        <v>20</v>
      </c>
      <c r="R87" s="227">
        <v>1.05</v>
      </c>
      <c r="T87" s="269">
        <f t="shared" si="105"/>
        <v>2.6650140845070427E-3</v>
      </c>
      <c r="V87" s="227" t="s">
        <v>213</v>
      </c>
      <c r="W87" s="255" t="s">
        <v>728</v>
      </c>
      <c r="X87" s="247">
        <v>2018</v>
      </c>
      <c r="Y87" s="436">
        <f>_xlfn.IFNA(INDEX('Data manipulation'!$C$23:$O$40,MATCH($V87,'Data manipulation'!$B$23:$B$40,0),MATCH($X87,'Data manipulation'!$C$22:$O$22,0))/1000,0)*SUMIFS('Regional split'!$F$4:$F$6,'Regional split'!$B$4:$B$6,Y$3)*SUMIFS('Data manipulation'!$V$40:$V$43,'Data manipulation'!$X$40:$X$43,$E87,'Data manipulation'!$Y$40:$Y$43,$D87)</f>
        <v>9.9544468363636372E-4</v>
      </c>
      <c r="Z87" s="271">
        <f>_xlfn.IFNA(INDEX('Data manipulation'!$C$23:$O$40,MATCH($V87,'Data manipulation'!$B$23:$B$40,0),MATCH($X87,'Data manipulation'!$C$22:$O$22,0))/1000,0)*SUMIFS('Regional split'!$F$4:$F$6,'Regional split'!$B$4:$B$6,Z$3)*SUMIFS('Data manipulation'!$V$40:$V$43,'Data manipulation'!$X$40:$X$43,$E87,'Data manipulation'!$Y$40:$Y$43,$D87)</f>
        <v>2.5286501818181821E-5</v>
      </c>
      <c r="AA87" s="458">
        <f>_xlfn.IFNA(INDEX('Data manipulation'!$C$23:$O$40,MATCH($V87,'Data manipulation'!$B$23:$B$40,0),MATCH($X87,'Data manipulation'!$C$22:$O$22,0))/1000,0)*SUMIFS('Regional split'!$F$4:$F$6,'Regional split'!$B$4:$B$6,AA$3)*SUMIFS('Data manipulation'!$V$40:$V$43,'Data manipulation'!$X$40:$X$43,$E87,'Data manipulation'!$Y$40:$Y$43,$D87)</f>
        <v>8.0068814545454544E-5</v>
      </c>
      <c r="AB87" s="447">
        <f t="shared" si="87"/>
        <v>7.0676572538181824E-4</v>
      </c>
      <c r="AC87" s="252">
        <f t="shared" si="88"/>
        <v>1.7953416290909092E-5</v>
      </c>
      <c r="AD87" s="448">
        <f t="shared" si="89"/>
        <v>5.6848858327272723E-5</v>
      </c>
      <c r="AE87" s="263"/>
      <c r="AU87" s="261"/>
      <c r="AZ87" s="253"/>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1">
        <f t="shared" si="145"/>
        <v>10.7</v>
      </c>
      <c r="J88" s="251">
        <f t="shared" si="146"/>
        <v>0.30000000000000004</v>
      </c>
      <c r="K88" s="251">
        <f t="shared" si="147"/>
        <v>0.9</v>
      </c>
      <c r="L88" s="466">
        <v>0.61</v>
      </c>
      <c r="M88" s="466">
        <v>0.61</v>
      </c>
      <c r="N88" s="466">
        <v>0.61</v>
      </c>
      <c r="O88" s="244">
        <f t="shared" ref="O88:O105" si="149">31.536/1000</f>
        <v>3.1536000000000002E-2</v>
      </c>
      <c r="P88" s="462">
        <v>0.15</v>
      </c>
      <c r="Q88" s="246">
        <v>20</v>
      </c>
      <c r="R88" s="227">
        <v>1.05</v>
      </c>
      <c r="T88" s="269">
        <f t="shared" si="105"/>
        <v>9.2281573770491801E-2</v>
      </c>
      <c r="U88" s="269"/>
      <c r="V88" s="227" t="s">
        <v>214</v>
      </c>
      <c r="W88" s="255" t="s">
        <v>728</v>
      </c>
      <c r="X88" s="247">
        <v>2018</v>
      </c>
      <c r="Y88" s="436">
        <f>_xlfn.IFNA(INDEX('Data manipulation'!$C$23:$O$40,MATCH($V88,'Data manipulation'!$B$23:$B$40,0),MATCH($X88,'Data manipulation'!$C$22:$O$22,0))/1000,0)*SUMIFS('Regional split'!$F$4:$F$6,'Regional split'!$B$4:$B$6,Y$3)*SUMIFS('Data manipulation'!$V$40:$V$43,'Data manipulation'!$X$40:$X$43,$E88,'Data manipulation'!$Y$40:$Y$43,$D88)</f>
        <v>7.8987378152727272E-2</v>
      </c>
      <c r="Z88" s="271">
        <f>_xlfn.IFNA(INDEX('Data manipulation'!$C$23:$O$40,MATCH($V88,'Data manipulation'!$B$23:$B$40,0),MATCH($X88,'Data manipulation'!$C$22:$O$22,0))/1000,0)*SUMIFS('Regional split'!$F$4:$F$6,'Regional split'!$B$4:$B$6,Z$3)*SUMIFS('Data manipulation'!$V$40:$V$43,'Data manipulation'!$X$40:$X$43,$E88,'Data manipulation'!$Y$40:$Y$43,$D88)</f>
        <v>2.0064545163636367E-3</v>
      </c>
      <c r="AA88" s="458">
        <f>_xlfn.IFNA(INDEX('Data manipulation'!$C$23:$O$40,MATCH($V88,'Data manipulation'!$B$23:$B$40,0),MATCH($X88,'Data manipulation'!$C$22:$O$22,0))/1000,0)*SUMIFS('Regional split'!$F$4:$F$6,'Regional split'!$B$4:$B$6,AA$3)*SUMIFS('Data manipulation'!$V$40:$V$43,'Data manipulation'!$X$40:$X$43,$E88,'Data manipulation'!$Y$40:$Y$43,$D88)</f>
        <v>6.3533673309090913E-3</v>
      </c>
      <c r="AB88" s="447">
        <f t="shared" si="87"/>
        <v>4.8182300673163633E-2</v>
      </c>
      <c r="AC88" s="252">
        <f t="shared" si="88"/>
        <v>1.2239372549818185E-3</v>
      </c>
      <c r="AD88" s="448">
        <f t="shared" si="89"/>
        <v>3.8755540718545456E-3</v>
      </c>
      <c r="AE88" s="263"/>
      <c r="AU88" s="261"/>
      <c r="AZ88" s="253"/>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1">
        <f t="shared" si="145"/>
        <v>15.799999999999999</v>
      </c>
      <c r="J89" s="251">
        <f t="shared" si="146"/>
        <v>0.4</v>
      </c>
      <c r="K89" s="251">
        <f t="shared" si="147"/>
        <v>1.3</v>
      </c>
      <c r="L89" s="466">
        <v>0.65000022993955098</v>
      </c>
      <c r="M89" s="466">
        <v>0.65000022993955098</v>
      </c>
      <c r="N89" s="466">
        <v>0.65000022993955098</v>
      </c>
      <c r="O89" s="244">
        <f t="shared" si="149"/>
        <v>3.1536000000000002E-2</v>
      </c>
      <c r="P89" s="462">
        <v>0.15</v>
      </c>
      <c r="Q89" s="246">
        <v>20</v>
      </c>
      <c r="R89" s="227">
        <v>1.05</v>
      </c>
      <c r="T89" s="269">
        <f t="shared" si="105"/>
        <v>0.12735687802402562</v>
      </c>
      <c r="U89" s="269"/>
      <c r="V89" s="227" t="s">
        <v>221</v>
      </c>
      <c r="W89" s="255" t="s">
        <v>197</v>
      </c>
      <c r="X89" s="247">
        <v>2018</v>
      </c>
      <c r="Y89" s="436">
        <f>_xlfn.IFNA(INDEX('Data manipulation'!$C$23:$O$40,MATCH($V89,'Data manipulation'!$B$23:$B$40,0),MATCH($X89,'Data manipulation'!$C$22:$O$22,0))/1000,0)*SUMIFS('Regional split'!$F$4:$F$6,'Regional split'!$B$4:$B$6,Y$3)*SUMIFS('Data manipulation'!$V$40:$V$43,'Data manipulation'!$X$40:$X$43,$E89,'Data manipulation'!$Y$40:$Y$43,$D89)</f>
        <v>0.10898961792</v>
      </c>
      <c r="Z89" s="271">
        <f>_xlfn.IFNA(INDEX('Data manipulation'!$C$23:$O$40,MATCH($V89,'Data manipulation'!$B$23:$B$40,0),MATCH($X89,'Data manipulation'!$C$22:$O$22,0))/1000,0)*SUMIFS('Regional split'!$F$4:$F$6,'Regional split'!$B$4:$B$6,Z$3)*SUMIFS('Data manipulation'!$V$40:$V$43,'Data manipulation'!$X$40:$X$43,$E89,'Data manipulation'!$Y$40:$Y$43,$D89)</f>
        <v>2.7685779200000002E-3</v>
      </c>
      <c r="AA89" s="458">
        <f>_xlfn.IFNA(INDEX('Data manipulation'!$C$23:$O$40,MATCH($V89,'Data manipulation'!$B$23:$B$40,0),MATCH($X89,'Data manipulation'!$C$22:$O$22,0))/1000,0)*SUMIFS('Regional split'!$F$4:$F$6,'Regional split'!$B$4:$B$6,AA$3)*SUMIFS('Data manipulation'!$V$40:$V$43,'Data manipulation'!$X$40:$X$43,$E89,'Data manipulation'!$Y$40:$Y$43,$D89)</f>
        <v>8.7666041600000001E-3</v>
      </c>
      <c r="AB89" s="447">
        <f t="shared" si="87"/>
        <v>7.0843276709023809E-2</v>
      </c>
      <c r="AC89" s="252">
        <f t="shared" si="88"/>
        <v>1.7995762846055639E-3</v>
      </c>
      <c r="AD89" s="448">
        <f t="shared" si="89"/>
        <v>5.698294719789024E-3</v>
      </c>
      <c r="AE89" s="263"/>
      <c r="AU89" s="261"/>
      <c r="AZ89" s="253"/>
    </row>
    <row r="90" spans="2:52" ht="15" customHeight="1">
      <c r="B90" s="233" t="str">
        <f t="shared" ref="B90:G90" si="151">B50</f>
        <v>RHTUDSTRE1</v>
      </c>
      <c r="C90" s="233" t="str">
        <f t="shared" si="151"/>
        <v>Residential Heating Technology Urban Detached - Straw - Existing 1</v>
      </c>
      <c r="D90" s="233" t="str">
        <f t="shared" si="151"/>
        <v>Urban</v>
      </c>
      <c r="E90" s="233" t="str">
        <f t="shared" si="151"/>
        <v>Detached</v>
      </c>
      <c r="F90" s="233" t="str">
        <f t="shared" si="151"/>
        <v>RESSTR</v>
      </c>
      <c r="G90" s="233" t="str">
        <f t="shared" si="151"/>
        <v>RESHUDB</v>
      </c>
      <c r="H90" s="230">
        <v>2018</v>
      </c>
      <c r="I90" s="251">
        <f t="shared" si="145"/>
        <v>0</v>
      </c>
      <c r="J90" s="251">
        <f t="shared" si="146"/>
        <v>0</v>
      </c>
      <c r="K90" s="251">
        <f t="shared" si="147"/>
        <v>0</v>
      </c>
      <c r="L90" s="466">
        <v>0.61</v>
      </c>
      <c r="M90" s="466">
        <v>0.61</v>
      </c>
      <c r="N90" s="466">
        <v>0.61</v>
      </c>
      <c r="O90" s="244">
        <f t="shared" si="149"/>
        <v>3.1536000000000002E-2</v>
      </c>
      <c r="P90" s="462">
        <v>0.15</v>
      </c>
      <c r="Q90" s="246">
        <v>20</v>
      </c>
      <c r="R90" s="227">
        <v>1.05</v>
      </c>
      <c r="T90" s="269">
        <f t="shared" si="105"/>
        <v>0</v>
      </c>
      <c r="U90" s="269"/>
      <c r="W90" s="255" t="s">
        <v>188</v>
      </c>
      <c r="X90" s="247">
        <v>2018</v>
      </c>
      <c r="Y90" s="436">
        <f>_xlfn.IFNA(INDEX('Data manipulation'!$C$23:$O$40,MATCH($V90,'Data manipulation'!$B$23:$B$40,0),MATCH($X90,'Data manipulation'!$C$22:$O$22,0))/1000,0)*SUMIFS('Regional split'!$F$4:$F$6,'Regional split'!$B$4:$B$6,Y$3)*SUMIFS('Data manipulation'!$V$40:$V$43,'Data manipulation'!$X$40:$X$43,$E90,'Data manipulation'!$Y$40:$Y$43,$D90)</f>
        <v>0</v>
      </c>
      <c r="Z90" s="271">
        <f>_xlfn.IFNA(INDEX('Data manipulation'!$C$23:$O$40,MATCH($V90,'Data manipulation'!$B$23:$B$40,0),MATCH($X90,'Data manipulation'!$C$22:$O$22,0))/1000,0)*SUMIFS('Regional split'!$F$4:$F$6,'Regional split'!$B$4:$B$6,Z$3)*SUMIFS('Data manipulation'!$V$40:$V$43,'Data manipulation'!$X$40:$X$43,$E90,'Data manipulation'!$Y$40:$Y$43,$D90)</f>
        <v>0</v>
      </c>
      <c r="AA90" s="458">
        <f>_xlfn.IFNA(INDEX('Data manipulation'!$C$23:$O$40,MATCH($V90,'Data manipulation'!$B$23:$B$40,0),MATCH($X90,'Data manipulation'!$C$22:$O$22,0))/1000,0)*SUMIFS('Regional split'!$F$4:$F$6,'Regional split'!$B$4:$B$6,AA$3)*SUMIFS('Data manipulation'!$V$40:$V$43,'Data manipulation'!$X$40:$X$43,$E90,'Data manipulation'!$Y$40:$Y$43,$D90)</f>
        <v>0</v>
      </c>
      <c r="AB90" s="447">
        <f t="shared" si="87"/>
        <v>0</v>
      </c>
      <c r="AC90" s="252">
        <f t="shared" si="88"/>
        <v>0</v>
      </c>
      <c r="AD90" s="448">
        <f t="shared" si="89"/>
        <v>0</v>
      </c>
      <c r="AE90" s="263"/>
      <c r="AU90" s="261"/>
      <c r="AZ90" s="253"/>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1">
        <f t="shared" si="145"/>
        <v>0</v>
      </c>
      <c r="J91" s="251">
        <f t="shared" si="146"/>
        <v>0</v>
      </c>
      <c r="K91" s="251">
        <f t="shared" si="147"/>
        <v>0</v>
      </c>
      <c r="L91" s="466">
        <v>1</v>
      </c>
      <c r="M91" s="466">
        <v>1</v>
      </c>
      <c r="N91" s="466">
        <v>1</v>
      </c>
      <c r="O91" s="244">
        <f t="shared" si="149"/>
        <v>3.1536000000000002E-2</v>
      </c>
      <c r="P91" s="462">
        <v>0.15</v>
      </c>
      <c r="Q91" s="246">
        <v>20</v>
      </c>
      <c r="R91" s="227">
        <v>1.05</v>
      </c>
      <c r="T91" s="269">
        <f t="shared" si="105"/>
        <v>0</v>
      </c>
      <c r="U91" s="269"/>
      <c r="W91" s="255" t="s">
        <v>189</v>
      </c>
      <c r="X91" s="247">
        <v>2018</v>
      </c>
      <c r="Y91" s="436">
        <f>_xlfn.IFNA(INDEX('Data manipulation'!$C$23:$O$40,MATCH($V91,'Data manipulation'!$B$23:$B$40,0),MATCH($X91,'Data manipulation'!$C$22:$O$22,0))/1000,0)*SUMIFS('Regional split'!$F$4:$F$6,'Regional split'!$B$4:$B$6,Y$3)*SUMIFS('Data manipulation'!$V$40:$V$43,'Data manipulation'!$X$40:$X$43,$E91,'Data manipulation'!$Y$40:$Y$43,$D91)</f>
        <v>0</v>
      </c>
      <c r="Z91" s="271">
        <f>_xlfn.IFNA(INDEX('Data manipulation'!$C$23:$O$40,MATCH($V91,'Data manipulation'!$B$23:$B$40,0),MATCH($X91,'Data manipulation'!$C$22:$O$22,0))/1000,0)*SUMIFS('Regional split'!$F$4:$F$6,'Regional split'!$B$4:$B$6,Z$3)*SUMIFS('Data manipulation'!$V$40:$V$43,'Data manipulation'!$X$40:$X$43,$E91,'Data manipulation'!$Y$40:$Y$43,$D91)</f>
        <v>0</v>
      </c>
      <c r="AA91" s="458">
        <f>_xlfn.IFNA(INDEX('Data manipulation'!$C$23:$O$40,MATCH($V91,'Data manipulation'!$B$23:$B$40,0),MATCH($X91,'Data manipulation'!$C$22:$O$22,0))/1000,0)*SUMIFS('Regional split'!$F$4:$F$6,'Regional split'!$B$4:$B$6,AA$3)*SUMIFS('Data manipulation'!$V$40:$V$43,'Data manipulation'!$X$40:$X$43,$E91,'Data manipulation'!$Y$40:$Y$43,$D91)</f>
        <v>0</v>
      </c>
      <c r="AB91" s="447">
        <f t="shared" si="87"/>
        <v>0</v>
      </c>
      <c r="AC91" s="252">
        <f t="shared" si="88"/>
        <v>0</v>
      </c>
      <c r="AD91" s="448">
        <f t="shared" si="89"/>
        <v>0</v>
      </c>
      <c r="AE91" s="263"/>
      <c r="AU91" s="261"/>
      <c r="AZ91" s="253"/>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1">
        <f t="shared" si="145"/>
        <v>0</v>
      </c>
      <c r="J92" s="251">
        <f t="shared" si="146"/>
        <v>0</v>
      </c>
      <c r="K92" s="251">
        <f t="shared" si="147"/>
        <v>0</v>
      </c>
      <c r="L92" s="466">
        <v>1</v>
      </c>
      <c r="M92" s="466">
        <v>1</v>
      </c>
      <c r="N92" s="466">
        <v>1</v>
      </c>
      <c r="O92" s="244">
        <f t="shared" si="149"/>
        <v>3.1536000000000002E-2</v>
      </c>
      <c r="P92" s="462">
        <v>0.15</v>
      </c>
      <c r="Q92" s="246">
        <v>30</v>
      </c>
      <c r="R92" s="227">
        <v>1.05</v>
      </c>
      <c r="T92" s="269">
        <f t="shared" si="105"/>
        <v>0</v>
      </c>
      <c r="U92" s="269"/>
      <c r="V92" s="227" t="str">
        <f>V62</f>
        <v>Electricity</v>
      </c>
      <c r="W92" s="255" t="s">
        <v>190</v>
      </c>
      <c r="X92" s="247">
        <v>2018</v>
      </c>
      <c r="Y92" s="436">
        <f>_xlfn.IFNA(INDEX('Data manipulation'!$C$23:$O$40,MATCH($V92,'Data manipulation'!$B$23:$B$40,0),MATCH($X92,'Data manipulation'!$C$22:$O$22,0))/1000,0)*SUMIFS('Regional split'!$F$4:$F$6,'Regional split'!$B$4:$B$6,Y$3)*SUMIFS('Data manipulation'!$V$40:$V$43,'Data manipulation'!$X$40:$X$43,$E92,'Data manipulation'!$Y$40:$Y$43,$D92)</f>
        <v>0</v>
      </c>
      <c r="Z92" s="271">
        <f>_xlfn.IFNA(INDEX('Data manipulation'!$C$23:$O$40,MATCH($V92,'Data manipulation'!$B$23:$B$40,0),MATCH($X92,'Data manipulation'!$C$22:$O$22,0))/1000,0)*SUMIFS('Regional split'!$F$4:$F$6,'Regional split'!$B$4:$B$6,Z$3)*SUMIFS('Data manipulation'!$V$40:$V$43,'Data manipulation'!$X$40:$X$43,$E92,'Data manipulation'!$Y$40:$Y$43,$D92)</f>
        <v>0</v>
      </c>
      <c r="AA92" s="458">
        <f>_xlfn.IFNA(INDEX('Data manipulation'!$C$23:$O$40,MATCH($V92,'Data manipulation'!$B$23:$B$40,0),MATCH($X92,'Data manipulation'!$C$22:$O$22,0))/1000,0)*SUMIFS('Regional split'!$F$4:$F$6,'Regional split'!$B$4:$B$6,AA$3)*SUMIFS('Data manipulation'!$V$40:$V$43,'Data manipulation'!$X$40:$X$43,$E92,'Data manipulation'!$Y$40:$Y$43,$D92)</f>
        <v>0</v>
      </c>
      <c r="AB92" s="447">
        <f t="shared" si="87"/>
        <v>0</v>
      </c>
      <c r="AC92" s="252">
        <f t="shared" si="88"/>
        <v>0</v>
      </c>
      <c r="AD92" s="448">
        <f t="shared" si="89"/>
        <v>0</v>
      </c>
      <c r="AU92" s="261"/>
      <c r="AZ92" s="253"/>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1">
        <f t="shared" si="145"/>
        <v>0</v>
      </c>
      <c r="J93" s="251">
        <f t="shared" si="146"/>
        <v>0</v>
      </c>
      <c r="K93" s="251">
        <f t="shared" si="147"/>
        <v>0</v>
      </c>
      <c r="L93" s="466">
        <v>2.3149999999999999</v>
      </c>
      <c r="M93" s="466">
        <v>2.3149999999999999</v>
      </c>
      <c r="N93" s="466">
        <v>2.3149999999999999</v>
      </c>
      <c r="O93" s="244">
        <f t="shared" si="149"/>
        <v>3.1536000000000002E-2</v>
      </c>
      <c r="P93" s="462">
        <v>0.15</v>
      </c>
      <c r="Q93" s="246">
        <v>30</v>
      </c>
      <c r="R93" s="227">
        <v>1.05</v>
      </c>
      <c r="T93" s="269">
        <f t="shared" si="105"/>
        <v>0</v>
      </c>
      <c r="U93" s="269"/>
      <c r="W93" s="255" t="s">
        <v>191</v>
      </c>
      <c r="X93" s="247">
        <v>2018</v>
      </c>
      <c r="Y93" s="436">
        <f>_xlfn.IFNA(INDEX('Data manipulation'!$C$23:$O$40,MATCH($V93,'Data manipulation'!$B$23:$B$40,0),MATCH($X93,'Data manipulation'!$C$22:$O$22,0))/1000,0)*SUMIFS('Regional split'!$F$4:$F$6,'Regional split'!$B$4:$B$6,Y$3)*SUMIFS('Data manipulation'!$V$40:$V$43,'Data manipulation'!$X$40:$X$43,$E93,'Data manipulation'!$Y$40:$Y$43,$D93)</f>
        <v>0</v>
      </c>
      <c r="Z93" s="271">
        <f>_xlfn.IFNA(INDEX('Data manipulation'!$C$23:$O$40,MATCH($V93,'Data manipulation'!$B$23:$B$40,0),MATCH($X93,'Data manipulation'!$C$22:$O$22,0))/1000,0)*SUMIFS('Regional split'!$F$4:$F$6,'Regional split'!$B$4:$B$6,Z$3)*SUMIFS('Data manipulation'!$V$40:$V$43,'Data manipulation'!$X$40:$X$43,$E93,'Data manipulation'!$Y$40:$Y$43,$D93)</f>
        <v>0</v>
      </c>
      <c r="AA93" s="458">
        <f>_xlfn.IFNA(INDEX('Data manipulation'!$C$23:$O$40,MATCH($V93,'Data manipulation'!$B$23:$B$40,0),MATCH($X93,'Data manipulation'!$C$22:$O$22,0))/1000,0)*SUMIFS('Regional split'!$F$4:$F$6,'Regional split'!$B$4:$B$6,AA$3)*SUMIFS('Data manipulation'!$V$40:$V$43,'Data manipulation'!$X$40:$X$43,$E93,'Data manipulation'!$Y$40:$Y$43,$D93)</f>
        <v>0</v>
      </c>
      <c r="AB93" s="447">
        <f t="shared" si="87"/>
        <v>0</v>
      </c>
      <c r="AC93" s="252">
        <f t="shared" si="88"/>
        <v>0</v>
      </c>
      <c r="AD93" s="448">
        <f t="shared" si="89"/>
        <v>0</v>
      </c>
      <c r="AU93" s="261"/>
      <c r="AZ93" s="253"/>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83">
        <f>ROUNDUP(AB94/($O94*$P94)*$I$1,1)+ROUNDUP(AC94/($O94*$P94)*$I$1,1)+ROUNDUP(AD94/($O94*$P94)*$I$1,1)+ROUNDUP(AB104/($O104*$P104)*$I$1,1)+ROUNDUP(AC104/($O104*$P104)*$I$1,1)+ROUNDUP(AD104/($O104*$P104)*$I$1,1)</f>
        <v>779.50000000000011</v>
      </c>
      <c r="J94" s="583">
        <v>0</v>
      </c>
      <c r="K94" s="583">
        <v>0</v>
      </c>
      <c r="L94" s="466">
        <v>0.95</v>
      </c>
      <c r="M94" s="466">
        <v>0.95</v>
      </c>
      <c r="N94" s="466">
        <v>0.95</v>
      </c>
      <c r="O94" s="244">
        <f t="shared" si="149"/>
        <v>3.1536000000000002E-2</v>
      </c>
      <c r="P94" s="462">
        <v>0.15</v>
      </c>
      <c r="Q94" s="246">
        <v>30</v>
      </c>
      <c r="R94" s="227">
        <v>1.05</v>
      </c>
      <c r="T94" s="269">
        <f t="shared" si="105"/>
        <v>3.8814176842105272</v>
      </c>
      <c r="U94" s="269"/>
      <c r="V94" s="227" t="s">
        <v>220</v>
      </c>
      <c r="W94" s="255" t="s">
        <v>192</v>
      </c>
      <c r="X94" s="247">
        <v>2018</v>
      </c>
      <c r="Y94" s="436">
        <f>_xlfn.IFNA(INDEX('Data manipulation'!$C$23:$O$40,MATCH($V94,'Data manipulation'!$B$23:$B$40,0),MATCH($X94,'Data manipulation'!$C$22:$O$22,0))/1000,0)*SUMIFS('Regional split'!$F$4:$F$6,'Regional split'!$B$4:$B$6,Y$3)*SUMIFS('Data manipulation'!$V$40:$V$43,'Data manipulation'!$X$40:$X$43,$E94,'Data manipulation'!$Y$40:$Y$43,$D94)</f>
        <v>1.1693465548799999</v>
      </c>
      <c r="Z94" s="271">
        <f>_xlfn.IFNA(INDEX('Data manipulation'!$C$23:$O$40,MATCH($V94,'Data manipulation'!$B$23:$B$40,0),MATCH($X94,'Data manipulation'!$C$22:$O$22,0))/1000,0)*SUMIFS('Regional split'!$F$4:$F$6,'Regional split'!$B$4:$B$6,Z$3)*SUMIFS('Data manipulation'!$V$40:$V$43,'Data manipulation'!$X$40:$X$43,$E94,'Data manipulation'!$Y$40:$Y$43,$D94)</f>
        <v>2.9703994880000001E-2</v>
      </c>
      <c r="AA94" s="458">
        <f>_xlfn.IFNA(INDEX('Data manipulation'!$C$23:$O$40,MATCH($V94,'Data manipulation'!$B$23:$B$40,0),MATCH($X94,'Data manipulation'!$C$22:$O$22,0))/1000,0)*SUMIFS('Regional split'!$F$4:$F$6,'Regional split'!$B$4:$B$6,AA$3)*SUMIFS('Data manipulation'!$V$40:$V$43,'Data manipulation'!$X$40:$X$43,$E94,'Data manipulation'!$Y$40:$Y$43,$D94)</f>
        <v>9.4056650239999998E-2</v>
      </c>
      <c r="AB94" s="447">
        <f t="shared" si="87"/>
        <v>1.110879227136</v>
      </c>
      <c r="AC94" s="252">
        <f t="shared" si="88"/>
        <v>2.8218795136000001E-2</v>
      </c>
      <c r="AD94" s="448">
        <f t="shared" si="89"/>
        <v>8.9353817727999996E-2</v>
      </c>
      <c r="AU94" s="261"/>
      <c r="AZ94" s="253"/>
    </row>
    <row r="95" spans="2:52" ht="15" customHeight="1" thickBot="1">
      <c r="B95" s="256" t="str">
        <f t="shared" ref="B95:G95" si="156">B55</f>
        <v>RHTUDLPGE1</v>
      </c>
      <c r="C95" s="256" t="str">
        <f t="shared" si="156"/>
        <v>Residential Heating Technology Urban Detached - LPG - Existing 1</v>
      </c>
      <c r="D95" s="546" t="str">
        <f t="shared" si="156"/>
        <v>Urban</v>
      </c>
      <c r="E95" s="546" t="str">
        <f t="shared" si="156"/>
        <v>Detached</v>
      </c>
      <c r="F95" s="256" t="str">
        <f t="shared" si="156"/>
        <v>RESLPG</v>
      </c>
      <c r="G95" s="256" t="str">
        <f t="shared" si="156"/>
        <v>RESHUDB</v>
      </c>
      <c r="H95" s="424">
        <v>2018</v>
      </c>
      <c r="I95" s="298">
        <f t="shared" ref="I95" si="157">ROUNDUP(AB95/($O95*$P95)*$R95,1)</f>
        <v>9.1</v>
      </c>
      <c r="J95" s="298">
        <f t="shared" ref="J95" si="158">ROUNDUP(AC95/($O95*$P95)*$R95,1)</f>
        <v>0.30000000000000004</v>
      </c>
      <c r="K95" s="298">
        <f t="shared" ref="K95" si="159">ROUNDUP(AD95/($O95*$P95)*$R95,1)</f>
        <v>0.79999999999999993</v>
      </c>
      <c r="L95" s="467">
        <v>0.95</v>
      </c>
      <c r="M95" s="467">
        <v>0.95</v>
      </c>
      <c r="N95" s="467">
        <v>0.95</v>
      </c>
      <c r="O95" s="258">
        <f t="shared" si="149"/>
        <v>3.1536000000000002E-2</v>
      </c>
      <c r="P95" s="463">
        <v>0.15</v>
      </c>
      <c r="Q95" s="259">
        <v>30</v>
      </c>
      <c r="R95" s="227">
        <v>1.05</v>
      </c>
      <c r="T95" s="269">
        <f t="shared" si="105"/>
        <v>5.0789557894736853E-2</v>
      </c>
      <c r="U95" s="269"/>
      <c r="V95" s="227" t="s">
        <v>210</v>
      </c>
      <c r="W95" s="429" t="s">
        <v>769</v>
      </c>
      <c r="X95" s="247">
        <v>2018</v>
      </c>
      <c r="Y95" s="437">
        <f>_xlfn.IFNA(INDEX('Data manipulation'!$C$23:$O$40,MATCH($V95,'Data manipulation'!$B$23:$B$40,0),MATCH($X95,'Data manipulation'!$C$22:$O$22,0))/1000,0)*SUMIFS('Regional split'!$F$4:$F$6,'Regional split'!$B$4:$B$6,Y$3)*SUMIFS('Data manipulation'!$V$40:$V$43,'Data manipulation'!$X$40:$X$43,$E95,'Data manipulation'!$Y$40:$Y$43,$D95)</f>
        <v>4.304025013527274E-2</v>
      </c>
      <c r="Z95" s="434">
        <f>_xlfn.IFNA(INDEX('Data manipulation'!$C$23:$O$40,MATCH($V95,'Data manipulation'!$B$23:$B$40,0),MATCH($X95,'Data manipulation'!$C$22:$O$22,0))/1000,0)*SUMIFS('Regional split'!$F$4:$F$6,'Regional split'!$B$4:$B$6,Z$3)*SUMIFS('Data manipulation'!$V$40:$V$43,'Data manipulation'!$X$40:$X$43,$E95,'Data manipulation'!$Y$40:$Y$43,$D95)</f>
        <v>1.0933177716363639E-3</v>
      </c>
      <c r="AA95" s="459">
        <f>_xlfn.IFNA(INDEX('Data manipulation'!$C$23:$O$40,MATCH($V95,'Data manipulation'!$B$23:$B$40,0),MATCH($X95,'Data manipulation'!$C$22:$O$22,0))/1000,0)*SUMIFS('Regional split'!$F$4:$F$6,'Regional split'!$B$4:$B$6,AA$3)*SUMIFS('Data manipulation'!$V$40:$V$43,'Data manipulation'!$X$40:$X$43,$E95,'Data manipulation'!$Y$40:$Y$43,$D95)</f>
        <v>3.4619520930909099E-3</v>
      </c>
      <c r="AB95" s="454">
        <f t="shared" si="87"/>
        <v>4.08882376285091E-2</v>
      </c>
      <c r="AC95" s="278">
        <f t="shared" si="88"/>
        <v>1.0386518830545455E-3</v>
      </c>
      <c r="AD95" s="450">
        <f t="shared" si="89"/>
        <v>3.2888544884363642E-3</v>
      </c>
      <c r="AU95" s="261"/>
      <c r="AZ95" s="253"/>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60">
        <v>2018</v>
      </c>
      <c r="I96" s="251">
        <f>ROUNDUP(AB96/($O96*$P96)*$R96,1)</f>
        <v>6107</v>
      </c>
      <c r="J96" s="251">
        <f>ROUNDUP(AC96/($O96*$P96)*$R96,1)</f>
        <v>155.19999999999999</v>
      </c>
      <c r="K96" s="251">
        <f>ROUNDUP(AD96/($O96*$P96)*$R96,1)</f>
        <v>491.3</v>
      </c>
      <c r="L96" s="466">
        <v>0.79</v>
      </c>
      <c r="M96" s="466">
        <v>0.79</v>
      </c>
      <c r="N96" s="466">
        <v>0.79</v>
      </c>
      <c r="O96" s="244">
        <f t="shared" si="149"/>
        <v>3.1536000000000002E-2</v>
      </c>
      <c r="P96" s="462">
        <v>0.15</v>
      </c>
      <c r="Q96" s="246">
        <v>25</v>
      </c>
      <c r="R96" s="227">
        <v>1.05</v>
      </c>
      <c r="T96" s="269">
        <f t="shared" si="105"/>
        <v>40.438932151898733</v>
      </c>
      <c r="U96" s="269"/>
      <c r="V96" s="227" t="s">
        <v>80</v>
      </c>
      <c r="W96" s="255" t="s">
        <v>187</v>
      </c>
      <c r="X96" s="247">
        <v>2018</v>
      </c>
      <c r="Y96" s="436">
        <f>_xlfn.IFNA(INDEX('Data manipulation'!$C$23:$O$40,MATCH($V96,'Data manipulation'!$B$23:$B$40,0),MATCH($X96,'Data manipulation'!$C$22:$O$22,0))/1000,0)*SUMIFS('Regional split'!$F$4:$F$6,'Regional split'!$B$4:$B$6,Y$3)*SUMIFS('Data manipulation'!$V$40:$V$43,'Data manipulation'!$X$40:$X$43,$E96,'Data manipulation'!$Y$40:$Y$43,$D96)</f>
        <v>34.826345318424785</v>
      </c>
      <c r="Z96" s="271">
        <f>_xlfn.IFNA(INDEX('Data manipulation'!$C$23:$O$40,MATCH($V96,'Data manipulation'!$B$23:$B$40,0),MATCH($X96,'Data manipulation'!$C$22:$O$22,0))/1000,0)*SUMIFS('Regional split'!$F$4:$F$6,'Regional split'!$B$4:$B$6,Z$3)*SUMIFS('Data manipulation'!$V$40:$V$43,'Data manipulation'!$X$40:$X$43,$E96,'Data manipulation'!$Y$40:$Y$43,$D96)</f>
        <v>0.8846663794496421</v>
      </c>
      <c r="AA96" s="458">
        <f>_xlfn.IFNA(INDEX('Data manipulation'!$C$23:$O$40,MATCH($V96,'Data manipulation'!$B$23:$B$40,0),MATCH($X96,'Data manipulation'!$C$22:$O$22,0))/1000,0)*SUMIFS('Regional split'!$F$4:$F$6,'Regional split'!$B$4:$B$6,AA$3)*SUMIFS('Data manipulation'!$V$40:$V$43,'Data manipulation'!$X$40:$X$43,$E96,'Data manipulation'!$Y$40:$Y$43,$D96)</f>
        <v>2.801264832125574</v>
      </c>
      <c r="AB96" s="455">
        <f t="shared" si="87"/>
        <v>27.512812801555583</v>
      </c>
      <c r="AC96" s="279">
        <f t="shared" si="88"/>
        <v>0.69888643976521725</v>
      </c>
      <c r="AD96" s="451">
        <f t="shared" si="89"/>
        <v>2.2129992173792035</v>
      </c>
      <c r="AU96" s="261"/>
      <c r="AZ96" s="253"/>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60">
        <v>2018</v>
      </c>
      <c r="I97" s="251">
        <f t="shared" ref="I97:I103" si="162">ROUNDUP(AB97/($O97*$P97)*$R97,1)</f>
        <v>0.4</v>
      </c>
      <c r="J97" s="251">
        <f t="shared" ref="J97:J103" si="163">ROUNDUP(AC97/($O97*$P97)*$R97,1)</f>
        <v>0.1</v>
      </c>
      <c r="K97" s="251">
        <f t="shared" ref="K97:K103" si="164">ROUNDUP(AD97/($O97*$P97)*$R97,1)</f>
        <v>0.1</v>
      </c>
      <c r="L97" s="466">
        <v>0.79</v>
      </c>
      <c r="M97" s="466">
        <v>0.79</v>
      </c>
      <c r="N97" s="466">
        <v>0.79</v>
      </c>
      <c r="O97" s="244">
        <f t="shared" si="149"/>
        <v>3.1536000000000002E-2</v>
      </c>
      <c r="P97" s="462">
        <v>0.15</v>
      </c>
      <c r="Q97" s="246">
        <v>20</v>
      </c>
      <c r="R97" s="227">
        <v>1.05</v>
      </c>
      <c r="T97" s="269">
        <f t="shared" si="105"/>
        <v>3.5927088607594936E-3</v>
      </c>
      <c r="V97" s="227" t="s">
        <v>213</v>
      </c>
      <c r="W97" s="255" t="s">
        <v>728</v>
      </c>
      <c r="X97" s="247">
        <v>2018</v>
      </c>
      <c r="Y97" s="436">
        <f>_xlfn.IFNA(INDEX('Data manipulation'!$C$23:$O$40,MATCH($V97,'Data manipulation'!$B$23:$B$40,0),MATCH($X97,'Data manipulation'!$C$22:$O$22,0))/1000,0)*SUMIFS('Regional split'!$F$4:$F$6,'Regional split'!$B$4:$B$6,Y$3)*SUMIFS('Data manipulation'!$V$40:$V$43,'Data manipulation'!$X$40:$X$43,$E97,'Data manipulation'!$Y$40:$Y$43,$D97)</f>
        <v>1.7925781217045455E-3</v>
      </c>
      <c r="Z97" s="271">
        <f>_xlfn.IFNA(INDEX('Data manipulation'!$C$23:$O$40,MATCH($V97,'Data manipulation'!$B$23:$B$40,0),MATCH($X97,'Data manipulation'!$C$22:$O$22,0))/1000,0)*SUMIFS('Regional split'!$F$4:$F$6,'Regional split'!$B$4:$B$6,Z$3)*SUMIFS('Data manipulation'!$V$40:$V$43,'Data manipulation'!$X$40:$X$43,$E97,'Data manipulation'!$Y$40:$Y$43,$D97)</f>
        <v>4.5535458352272732E-5</v>
      </c>
      <c r="AA97" s="458">
        <f>_xlfn.IFNA(INDEX('Data manipulation'!$C$23:$O$40,MATCH($V97,'Data manipulation'!$B$23:$B$40,0),MATCH($X97,'Data manipulation'!$C$22:$O$22,0))/1000,0)*SUMIFS('Regional split'!$F$4:$F$6,'Regional split'!$B$4:$B$6,AA$3)*SUMIFS('Data manipulation'!$V$40:$V$43,'Data manipulation'!$X$40:$X$43,$E97,'Data manipulation'!$Y$40:$Y$43,$D97)</f>
        <v>1.4418641994318182E-4</v>
      </c>
      <c r="AB97" s="447">
        <f t="shared" si="87"/>
        <v>1.4161367161465909E-3</v>
      </c>
      <c r="AC97" s="252">
        <f t="shared" si="88"/>
        <v>3.5973012098295458E-5</v>
      </c>
      <c r="AD97" s="448">
        <f t="shared" si="89"/>
        <v>1.1390727175511364E-4</v>
      </c>
      <c r="AU97" s="261"/>
      <c r="AZ97" s="253"/>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60">
        <v>2018</v>
      </c>
      <c r="I98" s="251">
        <f t="shared" si="162"/>
        <v>21.200000000000003</v>
      </c>
      <c r="J98" s="251">
        <f t="shared" si="163"/>
        <v>0.6</v>
      </c>
      <c r="K98" s="251">
        <f t="shared" si="164"/>
        <v>1.8</v>
      </c>
      <c r="L98" s="466">
        <v>0.67</v>
      </c>
      <c r="M98" s="466">
        <v>0.67</v>
      </c>
      <c r="N98" s="466">
        <v>0.67</v>
      </c>
      <c r="O98" s="244">
        <f>31.536/1000</f>
        <v>3.1536000000000002E-2</v>
      </c>
      <c r="P98" s="462">
        <v>0.15</v>
      </c>
      <c r="Q98" s="246">
        <v>20</v>
      </c>
      <c r="R98" s="227">
        <v>1.05</v>
      </c>
      <c r="T98" s="269">
        <f t="shared" si="105"/>
        <v>0.16662304477611942</v>
      </c>
      <c r="U98" s="269"/>
      <c r="V98" s="269" t="s">
        <v>214</v>
      </c>
      <c r="W98" s="255" t="s">
        <v>728</v>
      </c>
      <c r="X98" s="247">
        <v>2018</v>
      </c>
      <c r="Y98" s="436">
        <f>_xlfn.IFNA(INDEX('Data manipulation'!$C$23:$O$40,MATCH($V98,'Data manipulation'!$B$23:$B$40,0),MATCH($X98,'Data manipulation'!$C$22:$O$22,0))/1000,0)*SUMIFS('Regional split'!$F$4:$F$6,'Regional split'!$B$4:$B$6,Y$3)*SUMIFS('Data manipulation'!$V$40:$V$43,'Data manipulation'!$X$40:$X$43,$E98,'Data manipulation'!$Y$40:$Y$43,$D98)</f>
        <v>0.14223898956409092</v>
      </c>
      <c r="Z98" s="271">
        <f>_xlfn.IFNA(INDEX('Data manipulation'!$C$23:$O$40,MATCH($V98,'Data manipulation'!$B$23:$B$40,0),MATCH($X98,'Data manipulation'!$C$22:$O$22,0))/1000,0)*SUMIFS('Regional split'!$F$4:$F$6,'Regional split'!$B$4:$B$6,Z$3)*SUMIFS('Data manipulation'!$V$40:$V$43,'Data manipulation'!$X$40:$X$43,$E98,'Data manipulation'!$Y$40:$Y$43,$D98)</f>
        <v>3.613185672045455E-3</v>
      </c>
      <c r="AA98" s="458">
        <f>_xlfn.IFNA(INDEX('Data manipulation'!$C$23:$O$40,MATCH($V98,'Data manipulation'!$B$23:$B$40,0),MATCH($X98,'Data manipulation'!$C$22:$O$22,0))/1000,0)*SUMIFS('Regional split'!$F$4:$F$6,'Regional split'!$B$4:$B$6,AA$3)*SUMIFS('Data manipulation'!$V$40:$V$43,'Data manipulation'!$X$40:$X$43,$E98,'Data manipulation'!$Y$40:$Y$43,$D98)</f>
        <v>1.1441024763863637E-2</v>
      </c>
      <c r="AB98" s="447">
        <f t="shared" si="87"/>
        <v>9.5300123007940926E-2</v>
      </c>
      <c r="AC98" s="252">
        <f t="shared" si="88"/>
        <v>2.420834400270455E-3</v>
      </c>
      <c r="AD98" s="448">
        <f t="shared" si="89"/>
        <v>7.6654865917886372E-3</v>
      </c>
      <c r="AU98" s="261"/>
      <c r="AZ98" s="253"/>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60">
        <v>2018</v>
      </c>
      <c r="I99" s="251">
        <f t="shared" si="162"/>
        <v>29.200000000000003</v>
      </c>
      <c r="J99" s="251">
        <f t="shared" si="163"/>
        <v>0.79999999999999993</v>
      </c>
      <c r="K99" s="251">
        <f t="shared" si="164"/>
        <v>2.4</v>
      </c>
      <c r="L99" s="466">
        <v>0.67</v>
      </c>
      <c r="M99" s="466">
        <v>0.67</v>
      </c>
      <c r="N99" s="466">
        <v>0.67</v>
      </c>
      <c r="O99" s="244">
        <f>31.536/1000</f>
        <v>3.1536000000000002E-2</v>
      </c>
      <c r="P99" s="462">
        <v>0.15</v>
      </c>
      <c r="Q99" s="246">
        <v>20</v>
      </c>
      <c r="R99" s="227">
        <v>1.05</v>
      </c>
      <c r="T99" s="269">
        <f t="shared" si="105"/>
        <v>0.22875367164179108</v>
      </c>
      <c r="U99" s="269"/>
      <c r="V99" s="227" t="s">
        <v>221</v>
      </c>
      <c r="W99" s="255" t="s">
        <v>197</v>
      </c>
      <c r="X99" s="247">
        <v>2018</v>
      </c>
      <c r="Y99" s="436">
        <f>_xlfn.IFNA(INDEX('Data manipulation'!$C$23:$O$40,MATCH($V99,'Data manipulation'!$B$23:$B$40,0),MATCH($X99,'Data manipulation'!$C$22:$O$22,0))/1000,0)*SUMIFS('Regional split'!$F$4:$F$6,'Regional split'!$B$4:$B$6,Y$3)*SUMIFS('Data manipulation'!$V$40:$V$43,'Data manipulation'!$X$40:$X$43,$E99,'Data manipulation'!$Y$40:$Y$43,$D99)</f>
        <v>0.19626646039500001</v>
      </c>
      <c r="Z99" s="271">
        <f>_xlfn.IFNA(INDEX('Data manipulation'!$C$23:$O$40,MATCH($V99,'Data manipulation'!$B$23:$B$40,0),MATCH($X99,'Data manipulation'!$C$22:$O$22,0))/1000,0)*SUMIFS('Regional split'!$F$4:$F$6,'Regional split'!$B$4:$B$6,Z$3)*SUMIFS('Data manipulation'!$V$40:$V$43,'Data manipulation'!$X$40:$X$43,$E99,'Data manipulation'!$Y$40:$Y$43,$D99)</f>
        <v>4.9856032075000006E-3</v>
      </c>
      <c r="AA99" s="458">
        <f>_xlfn.IFNA(INDEX('Data manipulation'!$C$23:$O$40,MATCH($V99,'Data manipulation'!$B$23:$B$40,0),MATCH($X99,'Data manipulation'!$C$22:$O$22,0))/1000,0)*SUMIFS('Regional split'!$F$4:$F$6,'Regional split'!$B$4:$B$6,AA$3)*SUMIFS('Data manipulation'!$V$40:$V$43,'Data manipulation'!$X$40:$X$43,$E99,'Data manipulation'!$Y$40:$Y$43,$D99)</f>
        <v>1.5786736397500001E-2</v>
      </c>
      <c r="AB99" s="447">
        <f t="shared" si="87"/>
        <v>0.13149852846465002</v>
      </c>
      <c r="AC99" s="252">
        <f t="shared" si="88"/>
        <v>3.3403541490250005E-3</v>
      </c>
      <c r="AD99" s="448">
        <f t="shared" si="89"/>
        <v>1.0577113386325001E-2</v>
      </c>
      <c r="AU99" s="261"/>
      <c r="AZ99" s="253"/>
    </row>
    <row r="100" spans="2:52" ht="15" customHeight="1">
      <c r="B100" s="233" t="str">
        <f t="shared" ref="B100:G100" si="167">B60</f>
        <v>RHTRDSTRE1</v>
      </c>
      <c r="C100" s="233" t="str">
        <f t="shared" si="167"/>
        <v>Residential Heating Technology Rural Detached - Straw - Existing 1</v>
      </c>
      <c r="D100" s="233" t="str">
        <f t="shared" si="167"/>
        <v>Rural</v>
      </c>
      <c r="E100" s="233" t="str">
        <f t="shared" si="167"/>
        <v>Detached</v>
      </c>
      <c r="F100" s="233" t="str">
        <f t="shared" si="167"/>
        <v>RESSTR</v>
      </c>
      <c r="G100" s="233" t="str">
        <f t="shared" si="167"/>
        <v>RESHRDB</v>
      </c>
      <c r="H100" s="260">
        <v>2018</v>
      </c>
      <c r="I100" s="251">
        <f t="shared" si="162"/>
        <v>0</v>
      </c>
      <c r="J100" s="251">
        <f t="shared" si="163"/>
        <v>0</v>
      </c>
      <c r="K100" s="251">
        <f t="shared" si="164"/>
        <v>0</v>
      </c>
      <c r="L100" s="466">
        <v>0.61</v>
      </c>
      <c r="M100" s="466">
        <v>0.61</v>
      </c>
      <c r="N100" s="466">
        <v>0.61</v>
      </c>
      <c r="O100" s="244">
        <f t="shared" si="149"/>
        <v>3.1536000000000002E-2</v>
      </c>
      <c r="P100" s="462">
        <v>0.15</v>
      </c>
      <c r="Q100" s="246">
        <v>20</v>
      </c>
      <c r="R100" s="227">
        <v>1.05</v>
      </c>
      <c r="T100" s="269">
        <f t="shared" si="105"/>
        <v>0</v>
      </c>
      <c r="U100" s="269"/>
      <c r="W100" s="255" t="s">
        <v>188</v>
      </c>
      <c r="X100" s="247">
        <v>2018</v>
      </c>
      <c r="Y100" s="436">
        <f>_xlfn.IFNA(INDEX('Data manipulation'!$C$23:$O$40,MATCH($V100,'Data manipulation'!$B$23:$B$40,0),MATCH($X100,'Data manipulation'!$C$22:$O$22,0))/1000,0)*SUMIFS('Regional split'!$F$4:$F$6,'Regional split'!$B$4:$B$6,Y$3)*SUMIFS('Data manipulation'!$V$40:$V$43,'Data manipulation'!$X$40:$X$43,$E100,'Data manipulation'!$Y$40:$Y$43,$D100)</f>
        <v>0</v>
      </c>
      <c r="Z100" s="271">
        <f>_xlfn.IFNA(INDEX('Data manipulation'!$C$23:$O$40,MATCH($V100,'Data manipulation'!$B$23:$B$40,0),MATCH($X100,'Data manipulation'!$C$22:$O$22,0))/1000,0)*SUMIFS('Regional split'!$F$4:$F$6,'Regional split'!$B$4:$B$6,Z$3)*SUMIFS('Data manipulation'!$V$40:$V$43,'Data manipulation'!$X$40:$X$43,$E100,'Data manipulation'!$Y$40:$Y$43,$D100)</f>
        <v>0</v>
      </c>
      <c r="AA100" s="458">
        <f>_xlfn.IFNA(INDEX('Data manipulation'!$C$23:$O$40,MATCH($V100,'Data manipulation'!$B$23:$B$40,0),MATCH($X100,'Data manipulation'!$C$22:$O$22,0))/1000,0)*SUMIFS('Regional split'!$F$4:$F$6,'Regional split'!$B$4:$B$6,AA$3)*SUMIFS('Data manipulation'!$V$40:$V$43,'Data manipulation'!$X$40:$X$43,$E100,'Data manipulation'!$Y$40:$Y$43,$D100)</f>
        <v>0</v>
      </c>
      <c r="AB100" s="447">
        <f t="shared" si="87"/>
        <v>0</v>
      </c>
      <c r="AC100" s="252">
        <f t="shared" si="88"/>
        <v>0</v>
      </c>
      <c r="AD100" s="448">
        <f t="shared" si="89"/>
        <v>0</v>
      </c>
      <c r="AU100" s="261"/>
      <c r="AZ100" s="253"/>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60">
        <v>2018</v>
      </c>
      <c r="I101" s="251">
        <f t="shared" si="162"/>
        <v>0</v>
      </c>
      <c r="J101" s="251">
        <f t="shared" si="163"/>
        <v>0</v>
      </c>
      <c r="K101" s="251">
        <f t="shared" si="164"/>
        <v>0</v>
      </c>
      <c r="L101" s="466">
        <v>1</v>
      </c>
      <c r="M101" s="466">
        <v>1</v>
      </c>
      <c r="N101" s="466">
        <v>1</v>
      </c>
      <c r="O101" s="244">
        <f t="shared" si="149"/>
        <v>3.1536000000000002E-2</v>
      </c>
      <c r="P101" s="462">
        <v>0.15</v>
      </c>
      <c r="Q101" s="246">
        <v>20</v>
      </c>
      <c r="R101" s="227">
        <v>1.05</v>
      </c>
      <c r="T101" s="269">
        <f t="shared" si="105"/>
        <v>0</v>
      </c>
      <c r="U101" s="269"/>
      <c r="W101" s="255" t="s">
        <v>189</v>
      </c>
      <c r="X101" s="247">
        <v>2018</v>
      </c>
      <c r="Y101" s="436">
        <f>_xlfn.IFNA(INDEX('Data manipulation'!$C$23:$O$40,MATCH($V101,'Data manipulation'!$B$23:$B$40,0),MATCH($X101,'Data manipulation'!$C$22:$O$22,0))/1000,0)*SUMIFS('Regional split'!$F$4:$F$6,'Regional split'!$B$4:$B$6,Y$3)*SUMIFS('Data manipulation'!$V$40:$V$43,'Data manipulation'!$X$40:$X$43,$E101,'Data manipulation'!$Y$40:$Y$43,$D101)</f>
        <v>0</v>
      </c>
      <c r="Z101" s="271">
        <f>_xlfn.IFNA(INDEX('Data manipulation'!$C$23:$O$40,MATCH($V101,'Data manipulation'!$B$23:$B$40,0),MATCH($X101,'Data manipulation'!$C$22:$O$22,0))/1000,0)*SUMIFS('Regional split'!$F$4:$F$6,'Regional split'!$B$4:$B$6,Z$3)*SUMIFS('Data manipulation'!$V$40:$V$43,'Data manipulation'!$X$40:$X$43,$E101,'Data manipulation'!$Y$40:$Y$43,$D101)</f>
        <v>0</v>
      </c>
      <c r="AA101" s="458">
        <f>_xlfn.IFNA(INDEX('Data manipulation'!$C$23:$O$40,MATCH($V101,'Data manipulation'!$B$23:$B$40,0),MATCH($X101,'Data manipulation'!$C$22:$O$22,0))/1000,0)*SUMIFS('Regional split'!$F$4:$F$6,'Regional split'!$B$4:$B$6,AA$3)*SUMIFS('Data manipulation'!$V$40:$V$43,'Data manipulation'!$X$40:$X$43,$E101,'Data manipulation'!$Y$40:$Y$43,$D101)</f>
        <v>0</v>
      </c>
      <c r="AB101" s="447">
        <f t="shared" si="87"/>
        <v>0</v>
      </c>
      <c r="AC101" s="252">
        <f t="shared" si="88"/>
        <v>0</v>
      </c>
      <c r="AD101" s="448">
        <f t="shared" si="89"/>
        <v>0</v>
      </c>
      <c r="AU101" s="261"/>
      <c r="AZ101" s="253"/>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60">
        <v>2018</v>
      </c>
      <c r="I102" s="251">
        <f t="shared" si="162"/>
        <v>0</v>
      </c>
      <c r="J102" s="251">
        <f t="shared" si="163"/>
        <v>0</v>
      </c>
      <c r="K102" s="251">
        <f t="shared" si="164"/>
        <v>0</v>
      </c>
      <c r="L102" s="466">
        <v>1</v>
      </c>
      <c r="M102" s="466">
        <v>1</v>
      </c>
      <c r="N102" s="466">
        <v>1</v>
      </c>
      <c r="O102" s="244">
        <f t="shared" si="149"/>
        <v>3.1536000000000002E-2</v>
      </c>
      <c r="P102" s="462">
        <v>0.15</v>
      </c>
      <c r="Q102" s="246">
        <v>30</v>
      </c>
      <c r="R102" s="227">
        <v>1.05</v>
      </c>
      <c r="T102" s="269">
        <f t="shared" si="105"/>
        <v>0</v>
      </c>
      <c r="U102" s="269"/>
      <c r="V102" s="227" t="str">
        <f>V92</f>
        <v>Electricity</v>
      </c>
      <c r="W102" s="255" t="s">
        <v>190</v>
      </c>
      <c r="X102" s="247">
        <v>2018</v>
      </c>
      <c r="Y102" s="436">
        <f>_xlfn.IFNA(INDEX('Data manipulation'!$C$23:$O$40,MATCH($V102,'Data manipulation'!$B$23:$B$40,0),MATCH($X102,'Data manipulation'!$C$22:$O$22,0))/1000,0)*SUMIFS('Regional split'!$F$4:$F$6,'Regional split'!$B$4:$B$6,Y$3)*SUMIFS('Data manipulation'!$V$40:$V$43,'Data manipulation'!$X$40:$X$43,$E102,'Data manipulation'!$Y$40:$Y$43,$D102)</f>
        <v>0</v>
      </c>
      <c r="Z102" s="271">
        <f>_xlfn.IFNA(INDEX('Data manipulation'!$C$23:$O$40,MATCH($V102,'Data manipulation'!$B$23:$B$40,0),MATCH($X102,'Data manipulation'!$C$22:$O$22,0))/1000,0)*SUMIFS('Regional split'!$F$4:$F$6,'Regional split'!$B$4:$B$6,Z$3)*SUMIFS('Data manipulation'!$V$40:$V$43,'Data manipulation'!$X$40:$X$43,$E102,'Data manipulation'!$Y$40:$Y$43,$D102)</f>
        <v>0</v>
      </c>
      <c r="AA102" s="458">
        <f>_xlfn.IFNA(INDEX('Data manipulation'!$C$23:$O$40,MATCH($V102,'Data manipulation'!$B$23:$B$40,0),MATCH($X102,'Data manipulation'!$C$22:$O$22,0))/1000,0)*SUMIFS('Regional split'!$F$4:$F$6,'Regional split'!$B$4:$B$6,AA$3)*SUMIFS('Data manipulation'!$V$40:$V$43,'Data manipulation'!$X$40:$X$43,$E102,'Data manipulation'!$Y$40:$Y$43,$D102)</f>
        <v>0</v>
      </c>
      <c r="AB102" s="447">
        <f t="shared" si="87"/>
        <v>0</v>
      </c>
      <c r="AC102" s="252">
        <f t="shared" si="88"/>
        <v>0</v>
      </c>
      <c r="AD102" s="448">
        <f t="shared" si="89"/>
        <v>0</v>
      </c>
      <c r="AU102" s="261"/>
      <c r="AZ102" s="253"/>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60">
        <v>2018</v>
      </c>
      <c r="I103" s="251">
        <f t="shared" si="162"/>
        <v>0</v>
      </c>
      <c r="J103" s="251">
        <f t="shared" si="163"/>
        <v>0</v>
      </c>
      <c r="K103" s="251">
        <f t="shared" si="164"/>
        <v>0</v>
      </c>
      <c r="L103" s="466">
        <v>2.3149999999999999</v>
      </c>
      <c r="M103" s="466">
        <v>2.3149999999999999</v>
      </c>
      <c r="N103" s="466">
        <v>2.3149999999999999</v>
      </c>
      <c r="O103" s="244">
        <f t="shared" si="149"/>
        <v>3.1536000000000002E-2</v>
      </c>
      <c r="P103" s="462">
        <v>0.15</v>
      </c>
      <c r="Q103" s="246">
        <v>30</v>
      </c>
      <c r="R103" s="227">
        <v>1.05</v>
      </c>
      <c r="T103" s="269">
        <f t="shared" si="105"/>
        <v>0</v>
      </c>
      <c r="U103" s="269"/>
      <c r="W103" s="255" t="s">
        <v>191</v>
      </c>
      <c r="X103" s="247">
        <v>2018</v>
      </c>
      <c r="Y103" s="436">
        <f>_xlfn.IFNA(INDEX('Data manipulation'!$C$23:$O$40,MATCH($V103,'Data manipulation'!$B$23:$B$40,0),MATCH($X103,'Data manipulation'!$C$22:$O$22,0))/1000,0)*SUMIFS('Regional split'!$F$4:$F$6,'Regional split'!$B$4:$B$6,Y$3)*SUMIFS('Data manipulation'!$V$40:$V$43,'Data manipulation'!$X$40:$X$43,$E103,'Data manipulation'!$Y$40:$Y$43,$D103)</f>
        <v>0</v>
      </c>
      <c r="Z103" s="271">
        <f>_xlfn.IFNA(INDEX('Data manipulation'!$C$23:$O$40,MATCH($V103,'Data manipulation'!$B$23:$B$40,0),MATCH($X103,'Data manipulation'!$C$22:$O$22,0))/1000,0)*SUMIFS('Regional split'!$F$4:$F$6,'Regional split'!$B$4:$B$6,Z$3)*SUMIFS('Data manipulation'!$V$40:$V$43,'Data manipulation'!$X$40:$X$43,$E103,'Data manipulation'!$Y$40:$Y$43,$D103)</f>
        <v>0</v>
      </c>
      <c r="AA103" s="458">
        <f>_xlfn.IFNA(INDEX('Data manipulation'!$C$23:$O$40,MATCH($V103,'Data manipulation'!$B$23:$B$40,0),MATCH($X103,'Data manipulation'!$C$22:$O$22,0))/1000,0)*SUMIFS('Regional split'!$F$4:$F$6,'Regional split'!$B$4:$B$6,AA$3)*SUMIFS('Data manipulation'!$V$40:$V$43,'Data manipulation'!$X$40:$X$43,$E103,'Data manipulation'!$Y$40:$Y$43,$D103)</f>
        <v>0</v>
      </c>
      <c r="AB103" s="447">
        <f t="shared" si="87"/>
        <v>0</v>
      </c>
      <c r="AC103" s="252">
        <f t="shared" si="88"/>
        <v>0</v>
      </c>
      <c r="AD103" s="448">
        <f t="shared" si="89"/>
        <v>0</v>
      </c>
      <c r="AU103" s="261"/>
      <c r="AZ103" s="253"/>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2">
        <v>2018</v>
      </c>
      <c r="I104" s="583">
        <v>0</v>
      </c>
      <c r="J104" s="583">
        <v>0</v>
      </c>
      <c r="K104" s="583">
        <v>0</v>
      </c>
      <c r="L104" s="466">
        <v>0.98</v>
      </c>
      <c r="M104" s="466">
        <v>0.98</v>
      </c>
      <c r="N104" s="466">
        <v>0.98</v>
      </c>
      <c r="O104" s="244">
        <f t="shared" si="149"/>
        <v>3.1536000000000002E-2</v>
      </c>
      <c r="P104" s="462">
        <v>0.15</v>
      </c>
      <c r="Q104" s="246">
        <v>30</v>
      </c>
      <c r="R104" s="227">
        <v>1.05</v>
      </c>
      <c r="T104" s="269">
        <f t="shared" si="105"/>
        <v>0</v>
      </c>
      <c r="U104" s="269"/>
      <c r="V104" s="227" t="s">
        <v>220</v>
      </c>
      <c r="W104" s="255" t="s">
        <v>192</v>
      </c>
      <c r="X104" s="247">
        <v>2018</v>
      </c>
      <c r="Y104" s="436">
        <f>_xlfn.IFNA(INDEX('Data manipulation'!$C$23:$O$40,MATCH($V104,'Data manipulation'!$B$23:$B$40,0),MATCH($X104,'Data manipulation'!$C$22:$O$22,0))/1000,0)*SUMIFS('Regional split'!$F$4:$F$6,'Regional split'!$B$4:$B$6,Y$3)*SUMIFS('Data manipulation'!$V$40:$V$43,'Data manipulation'!$X$40:$X$43,$E104,'Data manipulation'!$Y$40:$Y$43,$D104)</f>
        <v>2.1057373507800001</v>
      </c>
      <c r="Z104" s="271">
        <f>_xlfn.IFNA(INDEX('Data manipulation'!$C$23:$O$40,MATCH($V104,'Data manipulation'!$B$23:$B$40,0),MATCH($X104,'Data manipulation'!$C$22:$O$22,0))/1000,0)*SUMIFS('Regional split'!$F$4:$F$6,'Regional split'!$B$4:$B$6,Z$3)*SUMIFS('Data manipulation'!$V$40:$V$43,'Data manipulation'!$X$40:$X$43,$E104,'Data manipulation'!$Y$40:$Y$43,$D104)</f>
        <v>5.3490397030000005E-2</v>
      </c>
      <c r="AA104" s="458">
        <f>_xlfn.IFNA(INDEX('Data manipulation'!$C$23:$O$40,MATCH($V104,'Data manipulation'!$B$23:$B$40,0),MATCH($X104,'Data manipulation'!$C$22:$O$22,0))/1000,0)*SUMIFS('Regional split'!$F$4:$F$6,'Regional split'!$B$4:$B$6,AA$3)*SUMIFS('Data manipulation'!$V$40:$V$43,'Data manipulation'!$X$40:$X$43,$E104,'Data manipulation'!$Y$40:$Y$43,$D104)</f>
        <v>0.16937545219</v>
      </c>
      <c r="AB104" s="447">
        <f t="shared" si="87"/>
        <v>2.0636226037643999</v>
      </c>
      <c r="AC104" s="252">
        <f t="shared" si="88"/>
        <v>5.2420589089400005E-2</v>
      </c>
      <c r="AD104" s="448">
        <f t="shared" si="89"/>
        <v>0.1659879431462</v>
      </c>
      <c r="AU104" s="261"/>
      <c r="AZ104" s="253"/>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2">
        <v>2018</v>
      </c>
      <c r="I105" s="298">
        <f t="shared" ref="I105" si="173">ROUNDUP(AB105/($O105*$P105)*$R105,1)</f>
        <v>16.900000000000002</v>
      </c>
      <c r="J105" s="298">
        <f t="shared" ref="J105" si="174">ROUNDUP(AC105/($O105*$P105)*$R105,1)</f>
        <v>0.5</v>
      </c>
      <c r="K105" s="298">
        <f t="shared" ref="K105" si="175">ROUNDUP(AD105/($O105*$P105)*$R105,1)</f>
        <v>1.4000000000000001</v>
      </c>
      <c r="L105" s="466">
        <v>0.98</v>
      </c>
      <c r="M105" s="466">
        <v>0.98</v>
      </c>
      <c r="N105" s="466">
        <v>0.98</v>
      </c>
      <c r="O105" s="244">
        <f t="shared" si="149"/>
        <v>3.1536000000000002E-2</v>
      </c>
      <c r="P105" s="462">
        <v>0.15</v>
      </c>
      <c r="Q105" s="246">
        <v>30</v>
      </c>
      <c r="R105" s="227">
        <v>1.05</v>
      </c>
      <c r="T105" s="269">
        <f t="shared" si="105"/>
        <v>9.0746448979591859E-2</v>
      </c>
      <c r="U105" s="269"/>
      <c r="V105" s="227" t="s">
        <v>210</v>
      </c>
      <c r="W105" s="429" t="s">
        <v>769</v>
      </c>
      <c r="X105" s="247">
        <v>2018</v>
      </c>
      <c r="Y105" s="437">
        <f>_xlfn.IFNA(INDEX('Data manipulation'!$C$23:$O$40,MATCH($V105,'Data manipulation'!$B$23:$B$40,0),MATCH($X105,'Data manipulation'!$C$22:$O$22,0))/1000,0)*SUMIFS('Regional split'!$F$4:$F$6,'Regional split'!$B$4:$B$6,Y$3)*SUMIFS('Data manipulation'!$V$40:$V$43,'Data manipulation'!$X$40:$X$43,$E105,'Data manipulation'!$Y$40:$Y$43,$D105)</f>
        <v>7.7506075438909111E-2</v>
      </c>
      <c r="Z105" s="434">
        <f>_xlfn.IFNA(INDEX('Data manipulation'!$C$23:$O$40,MATCH($V105,'Data manipulation'!$B$23:$B$40,0),MATCH($X105,'Data manipulation'!$C$22:$O$22,0))/1000,0)*SUMIFS('Regional split'!$F$4:$F$6,'Regional split'!$B$4:$B$6,Z$3)*SUMIFS('Data manipulation'!$V$40:$V$43,'Data manipulation'!$X$40:$X$43,$E105,'Data manipulation'!$Y$40:$Y$43,$D105)</f>
        <v>1.9688261434545459E-3</v>
      </c>
      <c r="AA105" s="459">
        <f>_xlfn.IFNA(INDEX('Data manipulation'!$C$23:$O$40,MATCH($V105,'Data manipulation'!$B$23:$B$40,0),MATCH($X105,'Data manipulation'!$C$22:$O$22,0))/1000,0)*SUMIFS('Regional split'!$F$4:$F$6,'Regional split'!$B$4:$B$6,AA$3)*SUMIFS('Data manipulation'!$V$40:$V$43,'Data manipulation'!$X$40:$X$43,$E105,'Data manipulation'!$Y$40:$Y$43,$D105)</f>
        <v>6.2342184176363653E-3</v>
      </c>
      <c r="AB105" s="449">
        <f t="shared" si="87"/>
        <v>7.5955953930130923E-2</v>
      </c>
      <c r="AC105" s="435">
        <f t="shared" si="88"/>
        <v>1.929449620585455E-3</v>
      </c>
      <c r="AD105" s="456">
        <f t="shared" si="89"/>
        <v>6.1095340492836377E-3</v>
      </c>
      <c r="AU105" s="261"/>
      <c r="AZ105" s="253"/>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1">
        <f>ROUNDUP(AB106/($O106*$P106)*$R106,1)</f>
        <v>3187.4</v>
      </c>
      <c r="J106" s="251">
        <f>ROUNDUP(AC106/($O106*$P106)*$R106,1)</f>
        <v>81</v>
      </c>
      <c r="K106" s="251">
        <f>ROUNDUP(AD106/($O106*$P106)*$R106,1)</f>
        <v>256.40000000000003</v>
      </c>
      <c r="L106" s="466">
        <v>0.72</v>
      </c>
      <c r="M106" s="466">
        <v>0.72</v>
      </c>
      <c r="N106" s="466">
        <v>0.72</v>
      </c>
      <c r="O106" s="244">
        <f>31.536/1000</f>
        <v>3.1536000000000002E-2</v>
      </c>
      <c r="P106" s="462">
        <v>0.15</v>
      </c>
      <c r="Q106" s="246">
        <v>22</v>
      </c>
      <c r="R106" s="227">
        <v>1.05</v>
      </c>
      <c r="T106" s="269">
        <f t="shared" si="105"/>
        <v>23.157936000000003</v>
      </c>
      <c r="U106" s="269"/>
      <c r="V106" s="227" t="s">
        <v>80</v>
      </c>
      <c r="W106" s="247" t="s">
        <v>187</v>
      </c>
      <c r="X106" s="247">
        <v>2018</v>
      </c>
      <c r="Y106" s="436">
        <f>_xlfn.IFNA(INDEX('Data manipulation'!$C$23:$O$40,MATCH($V106,'Data manipulation'!$B$23:$B$40,0),MATCH($X106,'Data manipulation'!$C$22:$O$22,0))/1000,0)*SUMIFS('Regional split'!$F$4:$F$6,'Regional split'!$B$4:$B$6,Y$3)*SUMIFS('Data manipulation'!$V$40:$V$43,'Data manipulation'!$X$40:$X$43,$E106,'Data manipulation'!$Y$40:$Y$43,$D106)</f>
        <v>19.943937449163002</v>
      </c>
      <c r="Z106" s="271">
        <f>_xlfn.IFNA(INDEX('Data manipulation'!$C$23:$O$40,MATCH($V106,'Data manipulation'!$B$23:$B$40,0),MATCH($X106,'Data manipulation'!$C$22:$O$22,0))/1000,0)*SUMIFS('Regional split'!$F$4:$F$6,'Regional split'!$B$4:$B$6,Z$3)*SUMIFS('Data manipulation'!$V$40:$V$43,'Data manipulation'!$X$40:$X$43,$E106,'Data manipulation'!$Y$40:$Y$43,$D106)</f>
        <v>0.50662022597550005</v>
      </c>
      <c r="AA106" s="458">
        <f>_xlfn.IFNA(INDEX('Data manipulation'!$C$23:$O$40,MATCH($V106,'Data manipulation'!$B$23:$B$40,0),MATCH($X106,'Data manipulation'!$C$22:$O$22,0))/1000,0)*SUMIFS('Regional split'!$F$4:$F$6,'Regional split'!$B$4:$B$6,AA$3)*SUMIFS('Data manipulation'!$V$40:$V$43,'Data manipulation'!$X$40:$X$43,$E106,'Data manipulation'!$Y$40:$Y$43,$D106)</f>
        <v>1.6041950448615001</v>
      </c>
      <c r="AB106" s="447">
        <f t="shared" ref="AB106:AB185" si="177">Y106*L106</f>
        <v>14.359634963397362</v>
      </c>
      <c r="AC106" s="252">
        <f t="shared" ref="AC106:AC185" si="178">Z106*M106</f>
        <v>0.36476656270236002</v>
      </c>
      <c r="AD106" s="448">
        <f t="shared" ref="AD106:AD185" si="179">AA106*N106</f>
        <v>1.15502043230028</v>
      </c>
      <c r="AE106" s="263"/>
      <c r="AU106" s="261"/>
      <c r="AZ106" s="253"/>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1">
        <f t="shared" ref="I107:I113" si="181">ROUNDUP(AB107/($O107*$P107)*$R107,1)</f>
        <v>0.2</v>
      </c>
      <c r="J107" s="251">
        <f t="shared" ref="J107:J113" si="182">ROUNDUP(AC107/($O107*$P107)*$R107,1)</f>
        <v>0.1</v>
      </c>
      <c r="K107" s="251">
        <f t="shared" ref="K107:K113" si="183">ROUNDUP(AD107/($O107*$P107)*$R107,1)</f>
        <v>0.1</v>
      </c>
      <c r="L107" s="466">
        <v>0.71</v>
      </c>
      <c r="M107" s="466">
        <v>0.71</v>
      </c>
      <c r="N107" s="466">
        <v>0.71</v>
      </c>
      <c r="O107" s="244">
        <f>31.536/1000</f>
        <v>3.1536000000000002E-2</v>
      </c>
      <c r="P107" s="462">
        <v>0.15</v>
      </c>
      <c r="Q107" s="246">
        <v>20</v>
      </c>
      <c r="R107" s="227">
        <v>1.05</v>
      </c>
      <c r="T107" s="269">
        <f t="shared" si="105"/>
        <v>2.6650140845070427E-3</v>
      </c>
      <c r="V107" s="227" t="s">
        <v>213</v>
      </c>
      <c r="W107" s="255" t="s">
        <v>728</v>
      </c>
      <c r="X107" s="247">
        <v>2018</v>
      </c>
      <c r="Y107" s="436">
        <f>_xlfn.IFNA(INDEX('Data manipulation'!$C$23:$O$40,MATCH($V107,'Data manipulation'!$B$23:$B$40,0),MATCH($X107,'Data manipulation'!$C$22:$O$22,0))/1000,0)*SUMIFS('Regional split'!$F$4:$F$6,'Regional split'!$B$4:$B$6,Y$3)*SUMIFS('Data manipulation'!$V$40:$V$43,'Data manipulation'!$X$40:$X$43,$E107,'Data manipulation'!$Y$40:$Y$43,$D107)</f>
        <v>1.02655233E-3</v>
      </c>
      <c r="Z107" s="271">
        <f>_xlfn.IFNA(INDEX('Data manipulation'!$C$23:$O$40,MATCH($V107,'Data manipulation'!$B$23:$B$40,0),MATCH($X107,'Data manipulation'!$C$22:$O$22,0))/1000,0)*SUMIFS('Regional split'!$F$4:$F$6,'Regional split'!$B$4:$B$6,Z$3)*SUMIFS('Data manipulation'!$V$40:$V$43,'Data manipulation'!$X$40:$X$43,$E107,'Data manipulation'!$Y$40:$Y$43,$D107)</f>
        <v>2.6076705000000004E-5</v>
      </c>
      <c r="AA107" s="458">
        <f>_xlfn.IFNA(INDEX('Data manipulation'!$C$23:$O$40,MATCH($V107,'Data manipulation'!$B$23:$B$40,0),MATCH($X107,'Data manipulation'!$C$22:$O$22,0))/1000,0)*SUMIFS('Regional split'!$F$4:$F$6,'Regional split'!$B$4:$B$6,AA$3)*SUMIFS('Data manipulation'!$V$40:$V$43,'Data manipulation'!$X$40:$X$43,$E107,'Data manipulation'!$Y$40:$Y$43,$D107)</f>
        <v>8.2570964999999997E-5</v>
      </c>
      <c r="AB107" s="447">
        <f t="shared" si="177"/>
        <v>7.2885215429999996E-4</v>
      </c>
      <c r="AC107" s="252">
        <f t="shared" si="178"/>
        <v>1.8514460550000001E-5</v>
      </c>
      <c r="AD107" s="448">
        <f t="shared" si="179"/>
        <v>5.8625385149999996E-5</v>
      </c>
      <c r="AE107" s="263"/>
      <c r="AU107" s="261"/>
      <c r="AZ107" s="253"/>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1">
        <f t="shared" si="181"/>
        <v>11.1</v>
      </c>
      <c r="J108" s="251">
        <f t="shared" si="182"/>
        <v>0.30000000000000004</v>
      </c>
      <c r="K108" s="251">
        <f t="shared" si="183"/>
        <v>0.9</v>
      </c>
      <c r="L108" s="466">
        <v>0.61</v>
      </c>
      <c r="M108" s="466">
        <v>0.61</v>
      </c>
      <c r="N108" s="466">
        <v>0.61</v>
      </c>
      <c r="O108" s="244">
        <f t="shared" ref="O108:O125" si="185">31.536/1000</f>
        <v>3.1536000000000002E-2</v>
      </c>
      <c r="P108" s="462">
        <v>0.15</v>
      </c>
      <c r="Q108" s="246">
        <v>20</v>
      </c>
      <c r="R108" s="227">
        <v>1.05</v>
      </c>
      <c r="T108" s="269">
        <f t="shared" si="105"/>
        <v>9.5383475409836063E-2</v>
      </c>
      <c r="U108" s="269"/>
      <c r="V108" s="227" t="s">
        <v>214</v>
      </c>
      <c r="W108" s="255" t="s">
        <v>728</v>
      </c>
      <c r="X108" s="247">
        <v>2018</v>
      </c>
      <c r="Y108" s="436">
        <f>_xlfn.IFNA(INDEX('Data manipulation'!$C$23:$O$40,MATCH($V108,'Data manipulation'!$B$23:$B$40,0),MATCH($X108,'Data manipulation'!$C$22:$O$22,0))/1000,0)*SUMIFS('Regional split'!$F$4:$F$6,'Regional split'!$B$4:$B$6,Y$3)*SUMIFS('Data manipulation'!$V$40:$V$43,'Data manipulation'!$X$40:$X$43,$E108,'Data manipulation'!$Y$40:$Y$43,$D108)</f>
        <v>8.1455733720000006E-2</v>
      </c>
      <c r="Z108" s="271">
        <f>_xlfn.IFNA(INDEX('Data manipulation'!$C$23:$O$40,MATCH($V108,'Data manipulation'!$B$23:$B$40,0),MATCH($X108,'Data manipulation'!$C$22:$O$22,0))/1000,0)*SUMIFS('Regional split'!$F$4:$F$6,'Regional split'!$B$4:$B$6,Z$3)*SUMIFS('Data manipulation'!$V$40:$V$43,'Data manipulation'!$X$40:$X$43,$E108,'Data manipulation'!$Y$40:$Y$43,$D108)</f>
        <v>2.0691562200000004E-3</v>
      </c>
      <c r="AA108" s="458">
        <f>_xlfn.IFNA(INDEX('Data manipulation'!$C$23:$O$40,MATCH($V108,'Data manipulation'!$B$23:$B$40,0),MATCH($X108,'Data manipulation'!$C$22:$O$22,0))/1000,0)*SUMIFS('Regional split'!$F$4:$F$6,'Regional split'!$B$4:$B$6,AA$3)*SUMIFS('Data manipulation'!$V$40:$V$43,'Data manipulation'!$X$40:$X$43,$E108,'Data manipulation'!$Y$40:$Y$43,$D108)</f>
        <v>6.55191006E-3</v>
      </c>
      <c r="AB108" s="447">
        <f t="shared" si="177"/>
        <v>4.9687997569200004E-2</v>
      </c>
      <c r="AC108" s="252">
        <f t="shared" si="178"/>
        <v>1.2621852942000002E-3</v>
      </c>
      <c r="AD108" s="448">
        <f t="shared" si="179"/>
        <v>3.9966651365999995E-3</v>
      </c>
      <c r="AE108" s="263"/>
      <c r="AU108" s="261"/>
      <c r="AZ108" s="253"/>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1">
        <f t="shared" si="181"/>
        <v>16.3</v>
      </c>
      <c r="J109" s="251">
        <f t="shared" si="182"/>
        <v>0.5</v>
      </c>
      <c r="K109" s="251">
        <f t="shared" si="183"/>
        <v>1.4000000000000001</v>
      </c>
      <c r="L109" s="466">
        <v>0.65000022993955098</v>
      </c>
      <c r="M109" s="466">
        <v>0.65000022993955098</v>
      </c>
      <c r="N109" s="466">
        <v>0.65000022993955098</v>
      </c>
      <c r="O109" s="244">
        <f t="shared" si="185"/>
        <v>3.1536000000000002E-2</v>
      </c>
      <c r="P109" s="462">
        <v>0.15</v>
      </c>
      <c r="Q109" s="246">
        <v>20</v>
      </c>
      <c r="R109" s="227">
        <v>1.05</v>
      </c>
      <c r="T109" s="269">
        <f t="shared" si="105"/>
        <v>0.13245115314498665</v>
      </c>
      <c r="U109" s="269"/>
      <c r="V109" s="227" t="s">
        <v>221</v>
      </c>
      <c r="W109" s="255" t="s">
        <v>197</v>
      </c>
      <c r="X109" s="247">
        <v>2018</v>
      </c>
      <c r="Y109" s="436">
        <f>_xlfn.IFNA(INDEX('Data manipulation'!$C$23:$O$40,MATCH($V109,'Data manipulation'!$B$23:$B$40,0),MATCH($X109,'Data manipulation'!$C$22:$O$22,0))/1000,0)*SUMIFS('Regional split'!$F$4:$F$6,'Regional split'!$B$4:$B$6,Y$3)*SUMIFS('Data manipulation'!$V$40:$V$43,'Data manipulation'!$X$40:$X$43,$E109,'Data manipulation'!$Y$40:$Y$43,$D109)</f>
        <v>0.11239554348000001</v>
      </c>
      <c r="Z109" s="271">
        <f>_xlfn.IFNA(INDEX('Data manipulation'!$C$23:$O$40,MATCH($V109,'Data manipulation'!$B$23:$B$40,0),MATCH($X109,'Data manipulation'!$C$22:$O$22,0))/1000,0)*SUMIFS('Regional split'!$F$4:$F$6,'Regional split'!$B$4:$B$6,Z$3)*SUMIFS('Data manipulation'!$V$40:$V$43,'Data manipulation'!$X$40:$X$43,$E109,'Data manipulation'!$Y$40:$Y$43,$D109)</f>
        <v>2.8550959800000002E-3</v>
      </c>
      <c r="AA109" s="458">
        <f>_xlfn.IFNA(INDEX('Data manipulation'!$C$23:$O$40,MATCH($V109,'Data manipulation'!$B$23:$B$40,0),MATCH($X109,'Data manipulation'!$C$22:$O$22,0))/1000,0)*SUMIFS('Regional split'!$F$4:$F$6,'Regional split'!$B$4:$B$6,AA$3)*SUMIFS('Data manipulation'!$V$40:$V$43,'Data manipulation'!$X$40:$X$43,$E109,'Data manipulation'!$Y$40:$Y$43,$D109)</f>
        <v>9.0405605400000009E-3</v>
      </c>
      <c r="AB109" s="447">
        <f t="shared" si="177"/>
        <v>7.3057129106180813E-2</v>
      </c>
      <c r="AC109" s="252">
        <f t="shared" si="178"/>
        <v>1.8558130434994879E-3</v>
      </c>
      <c r="AD109" s="448">
        <f t="shared" si="179"/>
        <v>5.8763664297824319E-3</v>
      </c>
      <c r="AE109" s="263"/>
      <c r="AU109" s="261"/>
      <c r="AZ109" s="253"/>
    </row>
    <row r="110" spans="2:52" ht="15" customHeight="1">
      <c r="B110" s="233" t="str">
        <f t="shared" ref="B110:G110" si="187">B70</f>
        <v>RHTUMSTRE1</v>
      </c>
      <c r="C110" s="233" t="str">
        <f t="shared" si="187"/>
        <v>Residential Heating Technology Urban Multi - Straw - Existing 1</v>
      </c>
      <c r="D110" s="233" t="str">
        <f t="shared" si="187"/>
        <v>Urban</v>
      </c>
      <c r="E110" s="233" t="str">
        <f t="shared" si="187"/>
        <v>Multi storey</v>
      </c>
      <c r="F110" s="233" t="str">
        <f t="shared" si="187"/>
        <v>RESSTR</v>
      </c>
      <c r="G110" s="233" t="str">
        <f t="shared" si="187"/>
        <v>RESHUMB</v>
      </c>
      <c r="H110" s="230">
        <v>2018</v>
      </c>
      <c r="I110" s="251">
        <f t="shared" si="181"/>
        <v>0</v>
      </c>
      <c r="J110" s="251">
        <f t="shared" si="182"/>
        <v>0</v>
      </c>
      <c r="K110" s="251">
        <f t="shared" si="183"/>
        <v>0</v>
      </c>
      <c r="L110" s="466">
        <v>0.61</v>
      </c>
      <c r="M110" s="466">
        <v>0.61</v>
      </c>
      <c r="N110" s="466">
        <v>0.61</v>
      </c>
      <c r="O110" s="244">
        <f t="shared" si="185"/>
        <v>3.1536000000000002E-2</v>
      </c>
      <c r="P110" s="462">
        <v>0.15</v>
      </c>
      <c r="Q110" s="246">
        <v>20</v>
      </c>
      <c r="R110" s="227">
        <v>1.05</v>
      </c>
      <c r="T110" s="269">
        <f t="shared" si="105"/>
        <v>0</v>
      </c>
      <c r="U110" s="269"/>
      <c r="W110" s="255" t="s">
        <v>188</v>
      </c>
      <c r="X110" s="247">
        <v>2018</v>
      </c>
      <c r="Y110" s="436">
        <f>_xlfn.IFNA(INDEX('Data manipulation'!$C$23:$O$40,MATCH($V110,'Data manipulation'!$B$23:$B$40,0),MATCH($X110,'Data manipulation'!$C$22:$O$22,0))/1000,0)*SUMIFS('Regional split'!$F$4:$F$6,'Regional split'!$B$4:$B$6,Y$3)*SUMIFS('Data manipulation'!$V$40:$V$43,'Data manipulation'!$X$40:$X$43,$E110,'Data manipulation'!$Y$40:$Y$43,$D110)</f>
        <v>0</v>
      </c>
      <c r="Z110" s="271">
        <f>_xlfn.IFNA(INDEX('Data manipulation'!$C$23:$O$40,MATCH($V110,'Data manipulation'!$B$23:$B$40,0),MATCH($X110,'Data manipulation'!$C$22:$O$22,0))/1000,0)*SUMIFS('Regional split'!$F$4:$F$6,'Regional split'!$B$4:$B$6,Z$3)*SUMIFS('Data manipulation'!$V$40:$V$43,'Data manipulation'!$X$40:$X$43,$E110,'Data manipulation'!$Y$40:$Y$43,$D110)</f>
        <v>0</v>
      </c>
      <c r="AA110" s="458">
        <f>_xlfn.IFNA(INDEX('Data manipulation'!$C$23:$O$40,MATCH($V110,'Data manipulation'!$B$23:$B$40,0),MATCH($X110,'Data manipulation'!$C$22:$O$22,0))/1000,0)*SUMIFS('Regional split'!$F$4:$F$6,'Regional split'!$B$4:$B$6,AA$3)*SUMIFS('Data manipulation'!$V$40:$V$43,'Data manipulation'!$X$40:$X$43,$E110,'Data manipulation'!$Y$40:$Y$43,$D110)</f>
        <v>0</v>
      </c>
      <c r="AB110" s="447">
        <f t="shared" si="177"/>
        <v>0</v>
      </c>
      <c r="AC110" s="252">
        <f t="shared" si="178"/>
        <v>0</v>
      </c>
      <c r="AD110" s="448">
        <f t="shared" si="179"/>
        <v>0</v>
      </c>
      <c r="AE110" s="263"/>
      <c r="AU110" s="261"/>
      <c r="AZ110" s="253"/>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1">
        <f t="shared" si="181"/>
        <v>0</v>
      </c>
      <c r="J111" s="251">
        <f t="shared" si="182"/>
        <v>0</v>
      </c>
      <c r="K111" s="251">
        <f t="shared" si="183"/>
        <v>0</v>
      </c>
      <c r="L111" s="466">
        <v>1</v>
      </c>
      <c r="M111" s="466">
        <v>1</v>
      </c>
      <c r="N111" s="466">
        <v>1</v>
      </c>
      <c r="O111" s="244">
        <f t="shared" si="185"/>
        <v>3.1536000000000002E-2</v>
      </c>
      <c r="P111" s="462">
        <v>0.15</v>
      </c>
      <c r="Q111" s="246">
        <v>20</v>
      </c>
      <c r="R111" s="227">
        <v>1.05</v>
      </c>
      <c r="T111" s="269">
        <f t="shared" si="105"/>
        <v>0</v>
      </c>
      <c r="U111" s="269"/>
      <c r="W111" s="255" t="s">
        <v>189</v>
      </c>
      <c r="X111" s="247">
        <v>2018</v>
      </c>
      <c r="Y111" s="436">
        <f>_xlfn.IFNA(INDEX('Data manipulation'!$C$23:$O$40,MATCH($V111,'Data manipulation'!$B$23:$B$40,0),MATCH($X111,'Data manipulation'!$C$22:$O$22,0))/1000,0)*SUMIFS('Regional split'!$F$4:$F$6,'Regional split'!$B$4:$B$6,Y$3)*SUMIFS('Data manipulation'!$V$40:$V$43,'Data manipulation'!$X$40:$X$43,$E111,'Data manipulation'!$Y$40:$Y$43,$D111)</f>
        <v>0</v>
      </c>
      <c r="Z111" s="271">
        <f>_xlfn.IFNA(INDEX('Data manipulation'!$C$23:$O$40,MATCH($V111,'Data manipulation'!$B$23:$B$40,0),MATCH($X111,'Data manipulation'!$C$22:$O$22,0))/1000,0)*SUMIFS('Regional split'!$F$4:$F$6,'Regional split'!$B$4:$B$6,Z$3)*SUMIFS('Data manipulation'!$V$40:$V$43,'Data manipulation'!$X$40:$X$43,$E111,'Data manipulation'!$Y$40:$Y$43,$D111)</f>
        <v>0</v>
      </c>
      <c r="AA111" s="458">
        <f>_xlfn.IFNA(INDEX('Data manipulation'!$C$23:$O$40,MATCH($V111,'Data manipulation'!$B$23:$B$40,0),MATCH($X111,'Data manipulation'!$C$22:$O$22,0))/1000,0)*SUMIFS('Regional split'!$F$4:$F$6,'Regional split'!$B$4:$B$6,AA$3)*SUMIFS('Data manipulation'!$V$40:$V$43,'Data manipulation'!$X$40:$X$43,$E111,'Data manipulation'!$Y$40:$Y$43,$D111)</f>
        <v>0</v>
      </c>
      <c r="AB111" s="447">
        <f t="shared" si="177"/>
        <v>0</v>
      </c>
      <c r="AC111" s="252">
        <f t="shared" si="178"/>
        <v>0</v>
      </c>
      <c r="AD111" s="448">
        <f t="shared" si="179"/>
        <v>0</v>
      </c>
      <c r="AE111" s="263"/>
      <c r="AU111" s="261"/>
      <c r="AZ111" s="253"/>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1">
        <f t="shared" si="181"/>
        <v>0</v>
      </c>
      <c r="J112" s="251">
        <f t="shared" si="182"/>
        <v>0</v>
      </c>
      <c r="K112" s="251">
        <f t="shared" si="183"/>
        <v>0</v>
      </c>
      <c r="L112" s="466">
        <v>1</v>
      </c>
      <c r="M112" s="466">
        <v>1</v>
      </c>
      <c r="N112" s="466">
        <v>1</v>
      </c>
      <c r="O112" s="244">
        <f t="shared" si="185"/>
        <v>3.1536000000000002E-2</v>
      </c>
      <c r="P112" s="462">
        <v>0.15</v>
      </c>
      <c r="Q112" s="246">
        <v>30</v>
      </c>
      <c r="R112" s="227">
        <v>1.05</v>
      </c>
      <c r="T112" s="269">
        <f t="shared" si="105"/>
        <v>0</v>
      </c>
      <c r="U112" s="269"/>
      <c r="V112" s="227" t="str">
        <f>V82</f>
        <v>Electricity</v>
      </c>
      <c r="W112" s="255" t="s">
        <v>190</v>
      </c>
      <c r="X112" s="247">
        <v>2018</v>
      </c>
      <c r="Y112" s="436">
        <f>_xlfn.IFNA(INDEX('Data manipulation'!$C$23:$O$40,MATCH($V112,'Data manipulation'!$B$23:$B$40,0),MATCH($X112,'Data manipulation'!$C$22:$O$22,0))/1000,0)*SUMIFS('Regional split'!$F$4:$F$6,'Regional split'!$B$4:$B$6,Y$3)*SUMIFS('Data manipulation'!$V$40:$V$43,'Data manipulation'!$X$40:$X$43,$E112,'Data manipulation'!$Y$40:$Y$43,$D112)</f>
        <v>0</v>
      </c>
      <c r="Z112" s="271">
        <f>_xlfn.IFNA(INDEX('Data manipulation'!$C$23:$O$40,MATCH($V112,'Data manipulation'!$B$23:$B$40,0),MATCH($X112,'Data manipulation'!$C$22:$O$22,0))/1000,0)*SUMIFS('Regional split'!$F$4:$F$6,'Regional split'!$B$4:$B$6,Z$3)*SUMIFS('Data manipulation'!$V$40:$V$43,'Data manipulation'!$X$40:$X$43,$E112,'Data manipulation'!$Y$40:$Y$43,$D112)</f>
        <v>0</v>
      </c>
      <c r="AA112" s="458">
        <f>_xlfn.IFNA(INDEX('Data manipulation'!$C$23:$O$40,MATCH($V112,'Data manipulation'!$B$23:$B$40,0),MATCH($X112,'Data manipulation'!$C$22:$O$22,0))/1000,0)*SUMIFS('Regional split'!$F$4:$F$6,'Regional split'!$B$4:$B$6,AA$3)*SUMIFS('Data manipulation'!$V$40:$V$43,'Data manipulation'!$X$40:$X$43,$E112,'Data manipulation'!$Y$40:$Y$43,$D112)</f>
        <v>0</v>
      </c>
      <c r="AB112" s="447">
        <f t="shared" si="177"/>
        <v>0</v>
      </c>
      <c r="AC112" s="252">
        <f t="shared" si="178"/>
        <v>0</v>
      </c>
      <c r="AD112" s="448">
        <f t="shared" si="179"/>
        <v>0</v>
      </c>
      <c r="AU112" s="261"/>
      <c r="AZ112" s="253"/>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1">
        <f t="shared" si="181"/>
        <v>0</v>
      </c>
      <c r="J113" s="251">
        <f t="shared" si="182"/>
        <v>0</v>
      </c>
      <c r="K113" s="251">
        <f t="shared" si="183"/>
        <v>0</v>
      </c>
      <c r="L113" s="466">
        <v>2.3149999999999999</v>
      </c>
      <c r="M113" s="466">
        <v>2.3149999999999999</v>
      </c>
      <c r="N113" s="466">
        <v>2.3149999999999999</v>
      </c>
      <c r="O113" s="244">
        <f t="shared" si="185"/>
        <v>3.1536000000000002E-2</v>
      </c>
      <c r="P113" s="462">
        <v>0.15</v>
      </c>
      <c r="Q113" s="246">
        <v>30</v>
      </c>
      <c r="R113" s="227">
        <v>1.05</v>
      </c>
      <c r="T113" s="269">
        <f t="shared" si="105"/>
        <v>0</v>
      </c>
      <c r="U113" s="269"/>
      <c r="W113" s="255" t="s">
        <v>191</v>
      </c>
      <c r="X113" s="247">
        <v>2018</v>
      </c>
      <c r="Y113" s="436">
        <f>_xlfn.IFNA(INDEX('Data manipulation'!$C$23:$O$40,MATCH($V113,'Data manipulation'!$B$23:$B$40,0),MATCH($X113,'Data manipulation'!$C$22:$O$22,0))/1000,0)*SUMIFS('Regional split'!$F$4:$F$6,'Regional split'!$B$4:$B$6,Y$3)*SUMIFS('Data manipulation'!$V$40:$V$43,'Data manipulation'!$X$40:$X$43,$E113,'Data manipulation'!$Y$40:$Y$43,$D113)</f>
        <v>0</v>
      </c>
      <c r="Z113" s="271">
        <f>_xlfn.IFNA(INDEX('Data manipulation'!$C$23:$O$40,MATCH($V113,'Data manipulation'!$B$23:$B$40,0),MATCH($X113,'Data manipulation'!$C$22:$O$22,0))/1000,0)*SUMIFS('Regional split'!$F$4:$F$6,'Regional split'!$B$4:$B$6,Z$3)*SUMIFS('Data manipulation'!$V$40:$V$43,'Data manipulation'!$X$40:$X$43,$E113,'Data manipulation'!$Y$40:$Y$43,$D113)</f>
        <v>0</v>
      </c>
      <c r="AA113" s="458">
        <f>_xlfn.IFNA(INDEX('Data manipulation'!$C$23:$O$40,MATCH($V113,'Data manipulation'!$B$23:$B$40,0),MATCH($X113,'Data manipulation'!$C$22:$O$22,0))/1000,0)*SUMIFS('Regional split'!$F$4:$F$6,'Regional split'!$B$4:$B$6,AA$3)*SUMIFS('Data manipulation'!$V$40:$V$43,'Data manipulation'!$X$40:$X$43,$E113,'Data manipulation'!$Y$40:$Y$43,$D113)</f>
        <v>0</v>
      </c>
      <c r="AB113" s="447">
        <f t="shared" si="177"/>
        <v>0</v>
      </c>
      <c r="AC113" s="252">
        <f t="shared" si="178"/>
        <v>0</v>
      </c>
      <c r="AD113" s="448">
        <f t="shared" si="179"/>
        <v>0</v>
      </c>
      <c r="AU113" s="261"/>
      <c r="AZ113" s="253"/>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83">
        <f>ROUNDUP(AB114/($O114*$P114)*$I$1,1)+ROUNDUP(AC114/($O114*$P114)*$I$1,1)+ROUNDUP(AD114/($O114*$P114)*$I$1,1)+ROUNDUP(AB124/($O124*$P124)*$I$1,1)+ROUNDUP(AC124/($O124*$P124)*$I$1,1)+ROUNDUP(AD124/($O124*$P124)*$I$1,1)</f>
        <v>303.39999999999998</v>
      </c>
      <c r="J114" s="583">
        <v>0</v>
      </c>
      <c r="K114" s="583">
        <v>0</v>
      </c>
      <c r="L114" s="466">
        <v>0.95</v>
      </c>
      <c r="M114" s="466">
        <v>0.95</v>
      </c>
      <c r="N114" s="466">
        <v>0.95</v>
      </c>
      <c r="O114" s="244">
        <f t="shared" si="185"/>
        <v>3.1536000000000002E-2</v>
      </c>
      <c r="P114" s="462">
        <v>0.15</v>
      </c>
      <c r="Q114" s="246">
        <v>30</v>
      </c>
      <c r="R114" s="227">
        <v>1.05</v>
      </c>
      <c r="T114" s="269">
        <f t="shared" si="105"/>
        <v>1.5107403789473686</v>
      </c>
      <c r="U114" s="269"/>
      <c r="V114" s="227" t="s">
        <v>220</v>
      </c>
      <c r="W114" s="255" t="s">
        <v>192</v>
      </c>
      <c r="X114" s="247">
        <v>2018</v>
      </c>
      <c r="Y114" s="436">
        <f>_xlfn.IFNA(INDEX('Data manipulation'!$C$23:$O$40,MATCH($V114,'Data manipulation'!$B$23:$B$40,0),MATCH($X114,'Data manipulation'!$C$22:$O$22,0))/1000,0)*SUMIFS('Regional split'!$F$4:$F$6,'Regional split'!$B$4:$B$6,Y$3)*SUMIFS('Data manipulation'!$V$40:$V$43,'Data manipulation'!$X$40:$X$43,$E114,'Data manipulation'!$Y$40:$Y$43,$D114)</f>
        <v>1.20588863472</v>
      </c>
      <c r="Z114" s="271">
        <f>_xlfn.IFNA(INDEX('Data manipulation'!$C$23:$O$40,MATCH($V114,'Data manipulation'!$B$23:$B$40,0),MATCH($X114,'Data manipulation'!$C$22:$O$22,0))/1000,0)*SUMIFS('Regional split'!$F$4:$F$6,'Regional split'!$B$4:$B$6,Z$3)*SUMIFS('Data manipulation'!$V$40:$V$43,'Data manipulation'!$X$40:$X$43,$E114,'Data manipulation'!$Y$40:$Y$43,$D114)</f>
        <v>3.063224472E-2</v>
      </c>
      <c r="AA114" s="458">
        <f>_xlfn.IFNA(INDEX('Data manipulation'!$C$23:$O$40,MATCH($V114,'Data manipulation'!$B$23:$B$40,0),MATCH($X114,'Data manipulation'!$C$22:$O$22,0))/1000,0)*SUMIFS('Regional split'!$F$4:$F$6,'Regional split'!$B$4:$B$6,AA$3)*SUMIFS('Data manipulation'!$V$40:$V$43,'Data manipulation'!$X$40:$X$43,$E114,'Data manipulation'!$Y$40:$Y$43,$D114)</f>
        <v>9.6995920560000004E-2</v>
      </c>
      <c r="AB114" s="447">
        <f t="shared" si="177"/>
        <v>1.1455942029839998</v>
      </c>
      <c r="AC114" s="252">
        <f t="shared" si="178"/>
        <v>2.9100632483999998E-2</v>
      </c>
      <c r="AD114" s="448">
        <f t="shared" si="179"/>
        <v>9.2146124531999996E-2</v>
      </c>
      <c r="AU114" s="261"/>
      <c r="AZ114" s="253"/>
    </row>
    <row r="115" spans="2:52" ht="15" customHeight="1" thickBot="1">
      <c r="B115" s="256" t="str">
        <f t="shared" ref="B115:G115" si="192">B75</f>
        <v>RHTUMLPGE1</v>
      </c>
      <c r="C115" s="256" t="str">
        <f t="shared" si="192"/>
        <v>Residential Heating Technology Urban Multi - LPG - Existing 1</v>
      </c>
      <c r="D115" s="546" t="str">
        <f t="shared" si="192"/>
        <v>Urban</v>
      </c>
      <c r="E115" s="546" t="str">
        <f t="shared" si="192"/>
        <v>Multi storey</v>
      </c>
      <c r="F115" s="256" t="str">
        <f t="shared" si="192"/>
        <v>RESLPG</v>
      </c>
      <c r="G115" s="256" t="str">
        <f t="shared" si="192"/>
        <v>RESHUMB</v>
      </c>
      <c r="H115" s="424">
        <v>2018</v>
      </c>
      <c r="I115" s="298">
        <f t="shared" ref="I115" si="193">ROUNDUP(AB115/($O115*$P115)*$R115,1)</f>
        <v>9.4</v>
      </c>
      <c r="J115" s="298">
        <f t="shared" ref="J115" si="194">ROUNDUP(AC115/($O115*$P115)*$R115,1)</f>
        <v>0.30000000000000004</v>
      </c>
      <c r="K115" s="298">
        <f t="shared" ref="K115" si="195">ROUNDUP(AD115/($O115*$P115)*$R115,1)</f>
        <v>0.79999999999999993</v>
      </c>
      <c r="L115" s="467">
        <v>0.95</v>
      </c>
      <c r="M115" s="467">
        <v>0.95</v>
      </c>
      <c r="N115" s="467">
        <v>0.95</v>
      </c>
      <c r="O115" s="258">
        <f t="shared" si="185"/>
        <v>3.1536000000000002E-2</v>
      </c>
      <c r="P115" s="463">
        <v>0.15</v>
      </c>
      <c r="Q115" s="259">
        <v>30</v>
      </c>
      <c r="R115" s="227">
        <v>1.05</v>
      </c>
      <c r="T115" s="269">
        <f t="shared" si="105"/>
        <v>5.2283368421052648E-2</v>
      </c>
      <c r="U115" s="269"/>
      <c r="V115" s="227" t="s">
        <v>210</v>
      </c>
      <c r="W115" s="429" t="s">
        <v>769</v>
      </c>
      <c r="X115" s="247">
        <v>2018</v>
      </c>
      <c r="Y115" s="437">
        <f>_xlfn.IFNA(INDEX('Data manipulation'!$C$23:$O$40,MATCH($V115,'Data manipulation'!$B$23:$B$40,0),MATCH($X115,'Data manipulation'!$C$22:$O$22,0))/1000,0)*SUMIFS('Regional split'!$F$4:$F$6,'Regional split'!$B$4:$B$6,Y$3)*SUMIFS('Data manipulation'!$V$40:$V$43,'Data manipulation'!$X$40:$X$43,$E115,'Data manipulation'!$Y$40:$Y$43,$D115)</f>
        <v>4.4385257952000011E-2</v>
      </c>
      <c r="Z115" s="434">
        <f>_xlfn.IFNA(INDEX('Data manipulation'!$C$23:$O$40,MATCH($V115,'Data manipulation'!$B$23:$B$40,0),MATCH($X115,'Data manipulation'!$C$22:$O$22,0))/1000,0)*SUMIFS('Regional split'!$F$4:$F$6,'Regional split'!$B$4:$B$6,Z$3)*SUMIFS('Data manipulation'!$V$40:$V$43,'Data manipulation'!$X$40:$X$43,$E115,'Data manipulation'!$Y$40:$Y$43,$D115)</f>
        <v>1.1274839520000002E-3</v>
      </c>
      <c r="AA115" s="459">
        <f>_xlfn.IFNA(INDEX('Data manipulation'!$C$23:$O$40,MATCH($V115,'Data manipulation'!$B$23:$B$40,0),MATCH($X115,'Data manipulation'!$C$22:$O$22,0))/1000,0)*SUMIFS('Regional split'!$F$4:$F$6,'Regional split'!$B$4:$B$6,AA$3)*SUMIFS('Data manipulation'!$V$40:$V$43,'Data manipulation'!$X$40:$X$43,$E115,'Data manipulation'!$Y$40:$Y$43,$D115)</f>
        <v>3.570138096000001E-3</v>
      </c>
      <c r="AB115" s="454">
        <f t="shared" si="177"/>
        <v>4.216599505440001E-2</v>
      </c>
      <c r="AC115" s="278">
        <f t="shared" si="178"/>
        <v>1.0711097544000001E-3</v>
      </c>
      <c r="AD115" s="450">
        <f t="shared" si="179"/>
        <v>3.3916311912000007E-3</v>
      </c>
      <c r="AU115" s="261"/>
      <c r="AZ115" s="253"/>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60">
        <v>2018</v>
      </c>
      <c r="I116" s="251">
        <f>ROUNDUP(AB116/($O116*$P116)*$R116,1)</f>
        <v>265</v>
      </c>
      <c r="J116" s="251">
        <f>ROUNDUP(AC116/($O116*$P116)*$R116,1)</f>
        <v>6.8</v>
      </c>
      <c r="K116" s="251">
        <f>ROUNDUP(AD116/($O116*$P116)*$R116,1)</f>
        <v>21.400000000000002</v>
      </c>
      <c r="L116" s="466">
        <v>0.79</v>
      </c>
      <c r="M116" s="466">
        <v>0.79</v>
      </c>
      <c r="N116" s="466">
        <v>0.79</v>
      </c>
      <c r="O116" s="244">
        <f t="shared" si="185"/>
        <v>3.1536000000000002E-2</v>
      </c>
      <c r="P116" s="462">
        <v>0.15</v>
      </c>
      <c r="Q116" s="246">
        <v>25</v>
      </c>
      <c r="R116" s="227">
        <v>1.05</v>
      </c>
      <c r="T116" s="269">
        <f t="shared" si="105"/>
        <v>1.7556370632911391</v>
      </c>
      <c r="U116" s="269"/>
      <c r="V116" s="227" t="s">
        <v>80</v>
      </c>
      <c r="W116" s="255" t="s">
        <v>187</v>
      </c>
      <c r="X116" s="247">
        <v>2018</v>
      </c>
      <c r="Y116" s="436">
        <f>_xlfn.IFNA(INDEX('Data manipulation'!$C$23:$O$40,MATCH($V116,'Data manipulation'!$B$23:$B$40,0),MATCH($X116,'Data manipulation'!$C$22:$O$22,0))/1000,0)*SUMIFS('Regional split'!$F$4:$F$6,'Regional split'!$B$4:$B$6,Y$3)*SUMIFS('Data manipulation'!$V$40:$V$43,'Data manipulation'!$X$40:$X$43,$E116,'Data manipulation'!$Y$40:$Y$43,$D116)</f>
        <v>1.5109043522093182</v>
      </c>
      <c r="Z116" s="271">
        <f>_xlfn.IFNA(INDEX('Data manipulation'!$C$23:$O$40,MATCH($V116,'Data manipulation'!$B$23:$B$40,0),MATCH($X116,'Data manipulation'!$C$22:$O$22,0))/1000,0)*SUMIFS('Regional split'!$F$4:$F$6,'Regional split'!$B$4:$B$6,Z$3)*SUMIFS('Data manipulation'!$V$40:$V$43,'Data manipulation'!$X$40:$X$43,$E116,'Data manipulation'!$Y$40:$Y$43,$D116)</f>
        <v>3.8380320149659093E-2</v>
      </c>
      <c r="AA116" s="458">
        <f>_xlfn.IFNA(INDEX('Data manipulation'!$C$23:$O$40,MATCH($V116,'Data manipulation'!$B$23:$B$40,0),MATCH($X116,'Data manipulation'!$C$22:$O$22,0))/1000,0)*SUMIFS('Regional split'!$F$4:$F$6,'Regional split'!$B$4:$B$6,AA$3)*SUMIFS('Data manipulation'!$V$40:$V$43,'Data manipulation'!$X$40:$X$43,$E116,'Data manipulation'!$Y$40:$Y$43,$D116)</f>
        <v>0.12152992764102273</v>
      </c>
      <c r="AB116" s="455">
        <f t="shared" si="177"/>
        <v>1.1936144382453615</v>
      </c>
      <c r="AC116" s="279">
        <f t="shared" si="178"/>
        <v>3.0320452918230684E-2</v>
      </c>
      <c r="AD116" s="451">
        <f t="shared" si="179"/>
        <v>9.6008642836407962E-2</v>
      </c>
      <c r="AU116" s="261"/>
      <c r="AZ116" s="253"/>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60">
        <v>2018</v>
      </c>
      <c r="I117" s="251">
        <f t="shared" ref="I117:I123" si="198">ROUNDUP(AB117/($O117*$P117)*$R117,1)</f>
        <v>0.1</v>
      </c>
      <c r="J117" s="251">
        <f t="shared" ref="J117:J123" si="199">ROUNDUP(AC117/($O117*$P117)*$R117,1)</f>
        <v>0.1</v>
      </c>
      <c r="K117" s="251">
        <f t="shared" ref="K117:K123" si="200">ROUNDUP(AD117/($O117*$P117)*$R117,1)</f>
        <v>0.1</v>
      </c>
      <c r="L117" s="466">
        <v>0.79</v>
      </c>
      <c r="M117" s="466">
        <v>0.79</v>
      </c>
      <c r="N117" s="466">
        <v>0.79</v>
      </c>
      <c r="O117" s="244">
        <f t="shared" si="185"/>
        <v>3.1536000000000002E-2</v>
      </c>
      <c r="P117" s="462">
        <v>0.15</v>
      </c>
      <c r="Q117" s="246">
        <v>20</v>
      </c>
      <c r="R117" s="227">
        <v>1.05</v>
      </c>
      <c r="T117" s="269">
        <f t="shared" si="105"/>
        <v>1.796354430379747E-3</v>
      </c>
      <c r="V117" s="227" t="s">
        <v>213</v>
      </c>
      <c r="W117" s="255" t="s">
        <v>728</v>
      </c>
      <c r="X117" s="247">
        <v>2018</v>
      </c>
      <c r="Y117" s="436">
        <f>_xlfn.IFNA(INDEX('Data manipulation'!$C$23:$O$40,MATCH($V117,'Data manipulation'!$B$23:$B$40,0),MATCH($X117,'Data manipulation'!$C$22:$O$22,0))/1000,0)*SUMIFS('Regional split'!$F$4:$F$6,'Regional split'!$B$4:$B$6,Y$3)*SUMIFS('Data manipulation'!$V$40:$V$43,'Data manipulation'!$X$40:$X$43,$E117,'Data manipulation'!$Y$40:$Y$43,$D117)</f>
        <v>7.7769115909090913E-5</v>
      </c>
      <c r="Z117" s="271">
        <f>_xlfn.IFNA(INDEX('Data manipulation'!$C$23:$O$40,MATCH($V117,'Data manipulation'!$B$23:$B$40,0),MATCH($X117,'Data manipulation'!$C$22:$O$22,0))/1000,0)*SUMIFS('Regional split'!$F$4:$F$6,'Regional split'!$B$4:$B$6,Z$3)*SUMIFS('Data manipulation'!$V$40:$V$43,'Data manipulation'!$X$40:$X$43,$E117,'Data manipulation'!$Y$40:$Y$43,$D117)</f>
        <v>1.9755079545454547E-6</v>
      </c>
      <c r="AA117" s="458">
        <f>_xlfn.IFNA(INDEX('Data manipulation'!$C$23:$O$40,MATCH($V117,'Data manipulation'!$B$23:$B$40,0),MATCH($X117,'Data manipulation'!$C$22:$O$22,0))/1000,0)*SUMIFS('Regional split'!$F$4:$F$6,'Regional split'!$B$4:$B$6,AA$3)*SUMIFS('Data manipulation'!$V$40:$V$43,'Data manipulation'!$X$40:$X$43,$E117,'Data manipulation'!$Y$40:$Y$43,$D117)</f>
        <v>6.2553761363636364E-6</v>
      </c>
      <c r="AB117" s="447">
        <f t="shared" si="177"/>
        <v>6.1437601568181826E-5</v>
      </c>
      <c r="AC117" s="252">
        <f t="shared" si="178"/>
        <v>1.5606512840909093E-6</v>
      </c>
      <c r="AD117" s="448">
        <f t="shared" si="179"/>
        <v>4.9417471477272732E-6</v>
      </c>
      <c r="AU117" s="261"/>
      <c r="AZ117" s="253"/>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60">
        <v>2018</v>
      </c>
      <c r="I118" s="251">
        <f t="shared" si="198"/>
        <v>1</v>
      </c>
      <c r="J118" s="251">
        <f t="shared" si="199"/>
        <v>0.1</v>
      </c>
      <c r="K118" s="251">
        <f t="shared" si="200"/>
        <v>0.1</v>
      </c>
      <c r="L118" s="466">
        <v>0.67</v>
      </c>
      <c r="M118" s="466">
        <v>0.67</v>
      </c>
      <c r="N118" s="466">
        <v>0.67</v>
      </c>
      <c r="O118" s="244">
        <f>31.536/1000</f>
        <v>3.1536000000000002E-2</v>
      </c>
      <c r="P118" s="462">
        <v>0.15</v>
      </c>
      <c r="Q118" s="246">
        <v>20</v>
      </c>
      <c r="R118" s="227">
        <v>1.05</v>
      </c>
      <c r="T118" s="269">
        <f t="shared" si="105"/>
        <v>8.4723582089552257E-3</v>
      </c>
      <c r="U118" s="269"/>
      <c r="V118" s="269" t="s">
        <v>214</v>
      </c>
      <c r="W118" s="255" t="s">
        <v>728</v>
      </c>
      <c r="X118" s="247">
        <v>2018</v>
      </c>
      <c r="Y118" s="436">
        <f>_xlfn.IFNA(INDEX('Data manipulation'!$C$23:$O$40,MATCH($V118,'Data manipulation'!$B$23:$B$40,0),MATCH($X118,'Data manipulation'!$C$22:$O$22,0))/1000,0)*SUMIFS('Regional split'!$F$4:$F$6,'Regional split'!$B$4:$B$6,Y$3)*SUMIFS('Data manipulation'!$V$40:$V$43,'Data manipulation'!$X$40:$X$43,$E118,'Data manipulation'!$Y$40:$Y$43,$D118)</f>
        <v>6.1708889181818181E-3</v>
      </c>
      <c r="Z118" s="271">
        <f>_xlfn.IFNA(INDEX('Data manipulation'!$C$23:$O$40,MATCH($V118,'Data manipulation'!$B$23:$B$40,0),MATCH($X118,'Data manipulation'!$C$22:$O$22,0))/1000,0)*SUMIFS('Regional split'!$F$4:$F$6,'Regional split'!$B$4:$B$6,Z$3)*SUMIFS('Data manipulation'!$V$40:$V$43,'Data manipulation'!$X$40:$X$43,$E118,'Data manipulation'!$Y$40:$Y$43,$D118)</f>
        <v>1.567542590909091E-4</v>
      </c>
      <c r="AA118" s="458">
        <f>_xlfn.IFNA(INDEX('Data manipulation'!$C$23:$O$40,MATCH($V118,'Data manipulation'!$B$23:$B$40,0),MATCH($X118,'Data manipulation'!$C$22:$O$22,0))/1000,0)*SUMIFS('Regional split'!$F$4:$F$6,'Regional split'!$B$4:$B$6,AA$3)*SUMIFS('Data manipulation'!$V$40:$V$43,'Data manipulation'!$X$40:$X$43,$E118,'Data manipulation'!$Y$40:$Y$43,$D118)</f>
        <v>4.9635682272727269E-4</v>
      </c>
      <c r="AB118" s="447">
        <f t="shared" si="177"/>
        <v>4.1344955751818182E-3</v>
      </c>
      <c r="AC118" s="252">
        <f t="shared" si="178"/>
        <v>1.0502535359090911E-4</v>
      </c>
      <c r="AD118" s="448">
        <f t="shared" si="179"/>
        <v>3.3255907122727274E-4</v>
      </c>
      <c r="AU118" s="261"/>
      <c r="AZ118" s="253"/>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60">
        <v>2018</v>
      </c>
      <c r="I119" s="251">
        <f t="shared" si="198"/>
        <v>1.3</v>
      </c>
      <c r="J119" s="251">
        <f t="shared" si="199"/>
        <v>0.1</v>
      </c>
      <c r="K119" s="251">
        <f t="shared" si="200"/>
        <v>0.2</v>
      </c>
      <c r="L119" s="466">
        <v>0.67</v>
      </c>
      <c r="M119" s="466">
        <v>0.67</v>
      </c>
      <c r="N119" s="466">
        <v>0.67</v>
      </c>
      <c r="O119" s="244">
        <f>31.536/1000</f>
        <v>3.1536000000000002E-2</v>
      </c>
      <c r="P119" s="462">
        <v>0.15</v>
      </c>
      <c r="Q119" s="246">
        <v>20</v>
      </c>
      <c r="R119" s="227">
        <v>1.05</v>
      </c>
      <c r="T119" s="269">
        <f t="shared" si="105"/>
        <v>1.1296477611940298E-2</v>
      </c>
      <c r="U119" s="269"/>
      <c r="V119" s="227" t="s">
        <v>221</v>
      </c>
      <c r="W119" s="255" t="s">
        <v>197</v>
      </c>
      <c r="X119" s="247">
        <v>2018</v>
      </c>
      <c r="Y119" s="436">
        <f>_xlfn.IFNA(INDEX('Data manipulation'!$C$23:$O$40,MATCH($V119,'Data manipulation'!$B$23:$B$40,0),MATCH($X119,'Data manipulation'!$C$22:$O$22,0))/1000,0)*SUMIFS('Regional split'!$F$4:$F$6,'Regional split'!$B$4:$B$6,Y$3)*SUMIFS('Data manipulation'!$V$40:$V$43,'Data manipulation'!$X$40:$X$43,$E119,'Data manipulation'!$Y$40:$Y$43,$D119)</f>
        <v>8.5148138999999994E-3</v>
      </c>
      <c r="Z119" s="271">
        <f>_xlfn.IFNA(INDEX('Data manipulation'!$C$23:$O$40,MATCH($V119,'Data manipulation'!$B$23:$B$40,0),MATCH($X119,'Data manipulation'!$C$22:$O$22,0))/1000,0)*SUMIFS('Regional split'!$F$4:$F$6,'Regional split'!$B$4:$B$6,Z$3)*SUMIFS('Data manipulation'!$V$40:$V$43,'Data manipulation'!$X$40:$X$43,$E119,'Data manipulation'!$Y$40:$Y$43,$D119)</f>
        <v>2.1629515000000003E-4</v>
      </c>
      <c r="AA119" s="458">
        <f>_xlfn.IFNA(INDEX('Data manipulation'!$C$23:$O$40,MATCH($V119,'Data manipulation'!$B$23:$B$40,0),MATCH($X119,'Data manipulation'!$C$22:$O$22,0))/1000,0)*SUMIFS('Regional split'!$F$4:$F$6,'Regional split'!$B$4:$B$6,AA$3)*SUMIFS('Data manipulation'!$V$40:$V$43,'Data manipulation'!$X$40:$X$43,$E119,'Data manipulation'!$Y$40:$Y$43,$D119)</f>
        <v>6.8489095000000006E-4</v>
      </c>
      <c r="AB119" s="447">
        <f t="shared" si="177"/>
        <v>5.7049253129999996E-3</v>
      </c>
      <c r="AC119" s="252">
        <f t="shared" si="178"/>
        <v>1.4491775050000003E-4</v>
      </c>
      <c r="AD119" s="448">
        <f t="shared" si="179"/>
        <v>4.588769365000001E-4</v>
      </c>
      <c r="AU119" s="261"/>
      <c r="AZ119" s="253"/>
    </row>
    <row r="120" spans="2:52" ht="15" customHeight="1">
      <c r="B120" s="233" t="str">
        <f t="shared" ref="B120:G120" si="203">B80</f>
        <v>RHTRMSTRE1</v>
      </c>
      <c r="C120" s="233" t="str">
        <f t="shared" si="203"/>
        <v>Residential Heating Technology Rural Multi - Straw - Existing 1</v>
      </c>
      <c r="D120" s="233" t="str">
        <f t="shared" si="203"/>
        <v>Rural</v>
      </c>
      <c r="E120" s="233" t="str">
        <f t="shared" si="203"/>
        <v>Multi storey</v>
      </c>
      <c r="F120" s="233" t="str">
        <f t="shared" si="203"/>
        <v>RESSTR</v>
      </c>
      <c r="G120" s="233" t="str">
        <f t="shared" si="203"/>
        <v>RESHRMB</v>
      </c>
      <c r="H120" s="260">
        <v>2018</v>
      </c>
      <c r="I120" s="251">
        <f t="shared" si="198"/>
        <v>0</v>
      </c>
      <c r="J120" s="251">
        <f t="shared" si="199"/>
        <v>0</v>
      </c>
      <c r="K120" s="251">
        <f t="shared" si="200"/>
        <v>0</v>
      </c>
      <c r="L120" s="466">
        <v>0.61</v>
      </c>
      <c r="M120" s="466">
        <v>0.61</v>
      </c>
      <c r="N120" s="466">
        <v>0.61</v>
      </c>
      <c r="O120" s="244">
        <f t="shared" si="185"/>
        <v>3.1536000000000002E-2</v>
      </c>
      <c r="P120" s="462">
        <v>0.15</v>
      </c>
      <c r="Q120" s="246">
        <v>20</v>
      </c>
      <c r="R120" s="227">
        <v>1.05</v>
      </c>
      <c r="T120" s="269">
        <f t="shared" si="105"/>
        <v>0</v>
      </c>
      <c r="U120" s="269"/>
      <c r="W120" s="255" t="s">
        <v>188</v>
      </c>
      <c r="X120" s="247">
        <v>2018</v>
      </c>
      <c r="Y120" s="436">
        <f>_xlfn.IFNA(INDEX('Data manipulation'!$C$23:$O$40,MATCH($V120,'Data manipulation'!$B$23:$B$40,0),MATCH($X120,'Data manipulation'!$C$22:$O$22,0))/1000,0)*SUMIFS('Regional split'!$F$4:$F$6,'Regional split'!$B$4:$B$6,Y$3)*SUMIFS('Data manipulation'!$V$40:$V$43,'Data manipulation'!$X$40:$X$43,$E120,'Data manipulation'!$Y$40:$Y$43,$D120)</f>
        <v>0</v>
      </c>
      <c r="Z120" s="271">
        <f>_xlfn.IFNA(INDEX('Data manipulation'!$C$23:$O$40,MATCH($V120,'Data manipulation'!$B$23:$B$40,0),MATCH($X120,'Data manipulation'!$C$22:$O$22,0))/1000,0)*SUMIFS('Regional split'!$F$4:$F$6,'Regional split'!$B$4:$B$6,Z$3)*SUMIFS('Data manipulation'!$V$40:$V$43,'Data manipulation'!$X$40:$X$43,$E120,'Data manipulation'!$Y$40:$Y$43,$D120)</f>
        <v>0</v>
      </c>
      <c r="AA120" s="458">
        <f>_xlfn.IFNA(INDEX('Data manipulation'!$C$23:$O$40,MATCH($V120,'Data manipulation'!$B$23:$B$40,0),MATCH($X120,'Data manipulation'!$C$22:$O$22,0))/1000,0)*SUMIFS('Regional split'!$F$4:$F$6,'Regional split'!$B$4:$B$6,AA$3)*SUMIFS('Data manipulation'!$V$40:$V$43,'Data manipulation'!$X$40:$X$43,$E120,'Data manipulation'!$Y$40:$Y$43,$D120)</f>
        <v>0</v>
      </c>
      <c r="AB120" s="447">
        <f t="shared" si="177"/>
        <v>0</v>
      </c>
      <c r="AC120" s="252">
        <f t="shared" si="178"/>
        <v>0</v>
      </c>
      <c r="AD120" s="448">
        <f t="shared" si="179"/>
        <v>0</v>
      </c>
      <c r="AU120" s="261"/>
      <c r="AZ120" s="253"/>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60">
        <v>2018</v>
      </c>
      <c r="I121" s="251">
        <f t="shared" si="198"/>
        <v>0</v>
      </c>
      <c r="J121" s="251">
        <f t="shared" si="199"/>
        <v>0</v>
      </c>
      <c r="K121" s="251">
        <f t="shared" si="200"/>
        <v>0</v>
      </c>
      <c r="L121" s="466">
        <v>1</v>
      </c>
      <c r="M121" s="466">
        <v>1</v>
      </c>
      <c r="N121" s="466">
        <v>1</v>
      </c>
      <c r="O121" s="244">
        <f t="shared" si="185"/>
        <v>3.1536000000000002E-2</v>
      </c>
      <c r="P121" s="462">
        <v>0.15</v>
      </c>
      <c r="Q121" s="246">
        <v>20</v>
      </c>
      <c r="R121" s="227">
        <v>1.05</v>
      </c>
      <c r="T121" s="269">
        <f t="shared" si="105"/>
        <v>0</v>
      </c>
      <c r="U121" s="269"/>
      <c r="W121" s="255" t="s">
        <v>189</v>
      </c>
      <c r="X121" s="247">
        <v>2018</v>
      </c>
      <c r="Y121" s="436">
        <f>_xlfn.IFNA(INDEX('Data manipulation'!$C$23:$O$40,MATCH($V121,'Data manipulation'!$B$23:$B$40,0),MATCH($X121,'Data manipulation'!$C$22:$O$22,0))/1000,0)*SUMIFS('Regional split'!$F$4:$F$6,'Regional split'!$B$4:$B$6,Y$3)*SUMIFS('Data manipulation'!$V$40:$V$43,'Data manipulation'!$X$40:$X$43,$E121,'Data manipulation'!$Y$40:$Y$43,$D121)</f>
        <v>0</v>
      </c>
      <c r="Z121" s="271">
        <f>_xlfn.IFNA(INDEX('Data manipulation'!$C$23:$O$40,MATCH($V121,'Data manipulation'!$B$23:$B$40,0),MATCH($X121,'Data manipulation'!$C$22:$O$22,0))/1000,0)*SUMIFS('Regional split'!$F$4:$F$6,'Regional split'!$B$4:$B$6,Z$3)*SUMIFS('Data manipulation'!$V$40:$V$43,'Data manipulation'!$X$40:$X$43,$E121,'Data manipulation'!$Y$40:$Y$43,$D121)</f>
        <v>0</v>
      </c>
      <c r="AA121" s="458">
        <f>_xlfn.IFNA(INDEX('Data manipulation'!$C$23:$O$40,MATCH($V121,'Data manipulation'!$B$23:$B$40,0),MATCH($X121,'Data manipulation'!$C$22:$O$22,0))/1000,0)*SUMIFS('Regional split'!$F$4:$F$6,'Regional split'!$B$4:$B$6,AA$3)*SUMIFS('Data manipulation'!$V$40:$V$43,'Data manipulation'!$X$40:$X$43,$E121,'Data manipulation'!$Y$40:$Y$43,$D121)</f>
        <v>0</v>
      </c>
      <c r="AB121" s="447">
        <f t="shared" si="177"/>
        <v>0</v>
      </c>
      <c r="AC121" s="252">
        <f t="shared" si="178"/>
        <v>0</v>
      </c>
      <c r="AD121" s="448">
        <f t="shared" si="179"/>
        <v>0</v>
      </c>
      <c r="AU121" s="261"/>
      <c r="AZ121" s="253"/>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60">
        <v>2018</v>
      </c>
      <c r="I122" s="251">
        <f t="shared" si="198"/>
        <v>0</v>
      </c>
      <c r="J122" s="251">
        <f t="shared" si="199"/>
        <v>0</v>
      </c>
      <c r="K122" s="251">
        <f t="shared" si="200"/>
        <v>0</v>
      </c>
      <c r="L122" s="466">
        <v>1</v>
      </c>
      <c r="M122" s="466">
        <v>1</v>
      </c>
      <c r="N122" s="466">
        <v>1</v>
      </c>
      <c r="O122" s="244">
        <f t="shared" si="185"/>
        <v>3.1536000000000002E-2</v>
      </c>
      <c r="P122" s="462">
        <v>0.15</v>
      </c>
      <c r="Q122" s="246">
        <v>30</v>
      </c>
      <c r="R122" s="227">
        <v>1.05</v>
      </c>
      <c r="T122" s="269">
        <f t="shared" si="105"/>
        <v>0</v>
      </c>
      <c r="U122" s="269"/>
      <c r="V122" s="227" t="str">
        <f>V112</f>
        <v>Electricity</v>
      </c>
      <c r="W122" s="255" t="s">
        <v>190</v>
      </c>
      <c r="X122" s="247">
        <v>2018</v>
      </c>
      <c r="Y122" s="436">
        <f>_xlfn.IFNA(INDEX('Data manipulation'!$C$23:$O$40,MATCH($V122,'Data manipulation'!$B$23:$B$40,0),MATCH($X122,'Data manipulation'!$C$22:$O$22,0))/1000,0)*SUMIFS('Regional split'!$F$4:$F$6,'Regional split'!$B$4:$B$6,Y$3)*SUMIFS('Data manipulation'!$V$40:$V$43,'Data manipulation'!$X$40:$X$43,$E122,'Data manipulation'!$Y$40:$Y$43,$D122)</f>
        <v>0</v>
      </c>
      <c r="Z122" s="271">
        <f>_xlfn.IFNA(INDEX('Data manipulation'!$C$23:$O$40,MATCH($V122,'Data manipulation'!$B$23:$B$40,0),MATCH($X122,'Data manipulation'!$C$22:$O$22,0))/1000,0)*SUMIFS('Regional split'!$F$4:$F$6,'Regional split'!$B$4:$B$6,Z$3)*SUMIFS('Data manipulation'!$V$40:$V$43,'Data manipulation'!$X$40:$X$43,$E122,'Data manipulation'!$Y$40:$Y$43,$D122)</f>
        <v>0</v>
      </c>
      <c r="AA122" s="458">
        <f>_xlfn.IFNA(INDEX('Data manipulation'!$C$23:$O$40,MATCH($V122,'Data manipulation'!$B$23:$B$40,0),MATCH($X122,'Data manipulation'!$C$22:$O$22,0))/1000,0)*SUMIFS('Regional split'!$F$4:$F$6,'Regional split'!$B$4:$B$6,AA$3)*SUMIFS('Data manipulation'!$V$40:$V$43,'Data manipulation'!$X$40:$X$43,$E122,'Data manipulation'!$Y$40:$Y$43,$D122)</f>
        <v>0</v>
      </c>
      <c r="AB122" s="447">
        <f t="shared" si="177"/>
        <v>0</v>
      </c>
      <c r="AC122" s="252">
        <f t="shared" si="178"/>
        <v>0</v>
      </c>
      <c r="AD122" s="448">
        <f t="shared" si="179"/>
        <v>0</v>
      </c>
      <c r="AU122" s="261"/>
      <c r="AZ122" s="253"/>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60">
        <v>2018</v>
      </c>
      <c r="I123" s="251">
        <f t="shared" si="198"/>
        <v>0</v>
      </c>
      <c r="J123" s="251">
        <f t="shared" si="199"/>
        <v>0</v>
      </c>
      <c r="K123" s="251">
        <f t="shared" si="200"/>
        <v>0</v>
      </c>
      <c r="L123" s="466">
        <v>2.3149999999999999</v>
      </c>
      <c r="M123" s="466">
        <v>2.3149999999999999</v>
      </c>
      <c r="N123" s="466">
        <v>2.3149999999999999</v>
      </c>
      <c r="O123" s="244">
        <f t="shared" si="185"/>
        <v>3.1536000000000002E-2</v>
      </c>
      <c r="P123" s="462">
        <v>0.15</v>
      </c>
      <c r="Q123" s="246">
        <v>30</v>
      </c>
      <c r="R123" s="227">
        <v>1.05</v>
      </c>
      <c r="T123" s="269">
        <f t="shared" si="105"/>
        <v>0</v>
      </c>
      <c r="U123" s="269"/>
      <c r="W123" s="255" t="s">
        <v>191</v>
      </c>
      <c r="X123" s="247">
        <v>2018</v>
      </c>
      <c r="Y123" s="436">
        <f>_xlfn.IFNA(INDEX('Data manipulation'!$C$23:$O$40,MATCH($V123,'Data manipulation'!$B$23:$B$40,0),MATCH($X123,'Data manipulation'!$C$22:$O$22,0))/1000,0)*SUMIFS('Regional split'!$F$4:$F$6,'Regional split'!$B$4:$B$6,Y$3)*SUMIFS('Data manipulation'!$V$40:$V$43,'Data manipulation'!$X$40:$X$43,$E123,'Data manipulation'!$Y$40:$Y$43,$D123)</f>
        <v>0</v>
      </c>
      <c r="Z123" s="271">
        <f>_xlfn.IFNA(INDEX('Data manipulation'!$C$23:$O$40,MATCH($V123,'Data manipulation'!$B$23:$B$40,0),MATCH($X123,'Data manipulation'!$C$22:$O$22,0))/1000,0)*SUMIFS('Regional split'!$F$4:$F$6,'Regional split'!$B$4:$B$6,Z$3)*SUMIFS('Data manipulation'!$V$40:$V$43,'Data manipulation'!$X$40:$X$43,$E123,'Data manipulation'!$Y$40:$Y$43,$D123)</f>
        <v>0</v>
      </c>
      <c r="AA123" s="458">
        <f>_xlfn.IFNA(INDEX('Data manipulation'!$C$23:$O$40,MATCH($V123,'Data manipulation'!$B$23:$B$40,0),MATCH($X123,'Data manipulation'!$C$22:$O$22,0))/1000,0)*SUMIFS('Regional split'!$F$4:$F$6,'Regional split'!$B$4:$B$6,AA$3)*SUMIFS('Data manipulation'!$V$40:$V$43,'Data manipulation'!$X$40:$X$43,$E123,'Data manipulation'!$Y$40:$Y$43,$D123)</f>
        <v>0</v>
      </c>
      <c r="AB123" s="447">
        <f t="shared" si="177"/>
        <v>0</v>
      </c>
      <c r="AC123" s="252">
        <f t="shared" si="178"/>
        <v>0</v>
      </c>
      <c r="AD123" s="448">
        <f t="shared" si="179"/>
        <v>0</v>
      </c>
      <c r="AU123" s="261"/>
      <c r="AZ123" s="253"/>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2">
        <v>2018</v>
      </c>
      <c r="I124" s="583">
        <v>0</v>
      </c>
      <c r="J124" s="583">
        <v>0</v>
      </c>
      <c r="K124" s="583">
        <v>0</v>
      </c>
      <c r="L124" s="466">
        <v>0.98</v>
      </c>
      <c r="M124" s="466">
        <v>0.98</v>
      </c>
      <c r="N124" s="466">
        <v>0.98</v>
      </c>
      <c r="O124" s="244">
        <f t="shared" si="185"/>
        <v>3.1536000000000002E-2</v>
      </c>
      <c r="P124" s="462">
        <v>0.15</v>
      </c>
      <c r="Q124" s="246">
        <v>30</v>
      </c>
      <c r="R124" s="227">
        <v>1.05</v>
      </c>
      <c r="T124" s="269">
        <f t="shared" si="105"/>
        <v>0</v>
      </c>
      <c r="U124" s="269"/>
      <c r="V124" s="227" t="s">
        <v>220</v>
      </c>
      <c r="W124" s="255" t="s">
        <v>192</v>
      </c>
      <c r="X124" s="247">
        <v>2018</v>
      </c>
      <c r="Y124" s="436">
        <f>_xlfn.IFNA(INDEX('Data manipulation'!$C$23:$O$40,MATCH($V124,'Data manipulation'!$B$23:$B$40,0),MATCH($X124,'Data manipulation'!$C$22:$O$22,0))/1000,0)*SUMIFS('Regional split'!$F$4:$F$6,'Regional split'!$B$4:$B$6,Y$3)*SUMIFS('Data manipulation'!$V$40:$V$43,'Data manipulation'!$X$40:$X$43,$E124,'Data manipulation'!$Y$40:$Y$43,$D124)</f>
        <v>9.1355199600000006E-2</v>
      </c>
      <c r="Z124" s="271">
        <f>_xlfn.IFNA(INDEX('Data manipulation'!$C$23:$O$40,MATCH($V124,'Data manipulation'!$B$23:$B$40,0),MATCH($X124,'Data manipulation'!$C$22:$O$22,0))/1000,0)*SUMIFS('Regional split'!$F$4:$F$6,'Regional split'!$B$4:$B$6,Z$3)*SUMIFS('Data manipulation'!$V$40:$V$43,'Data manipulation'!$X$40:$X$43,$E124,'Data manipulation'!$Y$40:$Y$43,$D124)</f>
        <v>2.3206246000000001E-3</v>
      </c>
      <c r="AA124" s="458">
        <f>_xlfn.IFNA(INDEX('Data manipulation'!$C$23:$O$40,MATCH($V124,'Data manipulation'!$B$23:$B$40,0),MATCH($X124,'Data manipulation'!$C$22:$O$22,0))/1000,0)*SUMIFS('Regional split'!$F$4:$F$6,'Regional split'!$B$4:$B$6,AA$3)*SUMIFS('Data manipulation'!$V$40:$V$43,'Data manipulation'!$X$40:$X$43,$E124,'Data manipulation'!$Y$40:$Y$43,$D124)</f>
        <v>7.3481757999999996E-3</v>
      </c>
      <c r="AB124" s="447">
        <f t="shared" si="177"/>
        <v>8.9528095608E-2</v>
      </c>
      <c r="AC124" s="252">
        <f t="shared" si="178"/>
        <v>2.2742121079999999E-3</v>
      </c>
      <c r="AD124" s="448">
        <f t="shared" si="179"/>
        <v>7.2012122839999991E-3</v>
      </c>
      <c r="AU124" s="261"/>
      <c r="AZ124" s="253"/>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2">
        <v>2018</v>
      </c>
      <c r="I125" s="298">
        <f t="shared" ref="I125" si="209">ROUNDUP(AB125/($O125*$P125)*$R125,1)</f>
        <v>0.79999999999999993</v>
      </c>
      <c r="J125" s="298">
        <f t="shared" ref="J125" si="210">ROUNDUP(AC125/($O125*$P125)*$R125,1)</f>
        <v>0.1</v>
      </c>
      <c r="K125" s="298">
        <f t="shared" ref="K125" si="211">ROUNDUP(AD125/($O125*$P125)*$R125,1)</f>
        <v>0.1</v>
      </c>
      <c r="L125" s="466">
        <v>0.98</v>
      </c>
      <c r="M125" s="466">
        <v>0.98</v>
      </c>
      <c r="N125" s="466">
        <v>0.98</v>
      </c>
      <c r="O125" s="244">
        <f t="shared" si="185"/>
        <v>3.1536000000000002E-2</v>
      </c>
      <c r="P125" s="462">
        <v>0.15</v>
      </c>
      <c r="Q125" s="246">
        <v>30</v>
      </c>
      <c r="R125" s="227">
        <v>1.05</v>
      </c>
      <c r="T125" s="269">
        <f t="shared" si="105"/>
        <v>4.8269387755102032E-3</v>
      </c>
      <c r="U125" s="269"/>
      <c r="V125" s="227" t="s">
        <v>210</v>
      </c>
      <c r="W125" s="429" t="s">
        <v>769</v>
      </c>
      <c r="X125" s="247">
        <v>2018</v>
      </c>
      <c r="Y125" s="437">
        <f>_xlfn.IFNA(INDEX('Data manipulation'!$C$23:$O$40,MATCH($V125,'Data manipulation'!$B$23:$B$40,0),MATCH($X125,'Data manipulation'!$C$22:$O$22,0))/1000,0)*SUMIFS('Regional split'!$F$4:$F$6,'Regional split'!$B$4:$B$6,Y$3)*SUMIFS('Data manipulation'!$V$40:$V$43,'Data manipulation'!$X$40:$X$43,$E125,'Data manipulation'!$Y$40:$Y$43,$D125)</f>
        <v>3.3625195418181823E-3</v>
      </c>
      <c r="Z125" s="434">
        <f>_xlfn.IFNA(INDEX('Data manipulation'!$C$23:$O$40,MATCH($V125,'Data manipulation'!$B$23:$B$40,0),MATCH($X125,'Data manipulation'!$C$22:$O$22,0))/1000,0)*SUMIFS('Regional split'!$F$4:$F$6,'Regional split'!$B$4:$B$6,Z$3)*SUMIFS('Data manipulation'!$V$40:$V$43,'Data manipulation'!$X$40:$X$43,$E125,'Data manipulation'!$Y$40:$Y$43,$D125)</f>
        <v>8.5415450909090917E-5</v>
      </c>
      <c r="AA125" s="459">
        <f>_xlfn.IFNA(INDEX('Data manipulation'!$C$23:$O$40,MATCH($V125,'Data manipulation'!$B$23:$B$40,0),MATCH($X125,'Data manipulation'!$C$22:$O$22,0))/1000,0)*SUMIFS('Regional split'!$F$4:$F$6,'Regional split'!$B$4:$B$6,AA$3)*SUMIFS('Data manipulation'!$V$40:$V$43,'Data manipulation'!$X$40:$X$43,$E125,'Data manipulation'!$Y$40:$Y$43,$D125)</f>
        <v>2.7046500727272735E-4</v>
      </c>
      <c r="AB125" s="449">
        <f t="shared" si="177"/>
        <v>3.2952691509818186E-3</v>
      </c>
      <c r="AC125" s="435">
        <f t="shared" si="178"/>
        <v>8.37071418909091E-5</v>
      </c>
      <c r="AD125" s="456">
        <f t="shared" si="179"/>
        <v>2.650557071272728E-4</v>
      </c>
      <c r="AU125" s="261"/>
      <c r="AZ125" s="253"/>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v>
      </c>
      <c r="G126" s="227" t="str">
        <f t="shared" si="212"/>
        <v>RESHUDB</v>
      </c>
      <c r="H126" s="230">
        <v>2019</v>
      </c>
      <c r="I126" s="251">
        <f>ROUNDUP(AB126/($O126*$P126)*$R126,1)</f>
        <v>3355.4</v>
      </c>
      <c r="J126" s="251">
        <f>ROUNDUP(AC126/($O126*$P126)*$R126,1)</f>
        <v>85.3</v>
      </c>
      <c r="K126" s="251">
        <f>ROUNDUP(AD126/($O126*$P126)*$R126,1)</f>
        <v>269.90000000000003</v>
      </c>
      <c r="L126" s="466">
        <v>0.72</v>
      </c>
      <c r="M126" s="466">
        <v>0.72</v>
      </c>
      <c r="N126" s="466">
        <v>0.72</v>
      </c>
      <c r="O126" s="244">
        <f>31.536/1000</f>
        <v>3.1536000000000002E-2</v>
      </c>
      <c r="P126" s="462">
        <v>0.15</v>
      </c>
      <c r="Q126" s="246">
        <v>22</v>
      </c>
      <c r="R126" s="227">
        <v>1.05</v>
      </c>
      <c r="T126" s="269">
        <f t="shared" ref="T126:T165" si="213">SUM(I126:K126)*O126*P126/L126</f>
        <v>24.378642000000003</v>
      </c>
      <c r="U126" s="269"/>
      <c r="V126" s="227" t="s">
        <v>80</v>
      </c>
      <c r="W126" s="247" t="s">
        <v>187</v>
      </c>
      <c r="X126" s="247">
        <v>2019</v>
      </c>
      <c r="Y126" s="436">
        <f>_xlfn.IFNA(INDEX('Data manipulation'!$C$23:$O$40,MATCH($V126,'Data manipulation'!$B$23:$B$40,0),MATCH($X126,'Data manipulation'!$C$22:$O$22,0))/1000,0)*SUMIFS('Regional split'!$F$4:$F$6,'Regional split'!$B$4:$B$6,Y$3)*SUMIFS('Data manipulation'!$V$40:$V$43,'Data manipulation'!$X$40:$X$43,$E126,'Data manipulation'!$Y$40:$Y$43,$D126)</f>
        <v>20.994777978353454</v>
      </c>
      <c r="Z126" s="271">
        <f>_xlfn.IFNA(INDEX('Data manipulation'!$C$23:$O$40,MATCH($V126,'Data manipulation'!$B$23:$B$40,0),MATCH($X126,'Data manipulation'!$C$22:$O$22,0))/1000,0)*SUMIFS('Regional split'!$F$4:$F$6,'Regional split'!$B$4:$B$6,Z$3)*SUMIFS('Data manipulation'!$V$40:$V$43,'Data manipulation'!$X$40:$X$43,$E126,'Data manipulation'!$Y$40:$Y$43,$D126)</f>
        <v>0.53331390508072729</v>
      </c>
      <c r="AA126" s="458">
        <f>_xlfn.IFNA(INDEX('Data manipulation'!$C$23:$O$40,MATCH($V126,'Data manipulation'!$B$23:$B$40,0),MATCH($X126,'Data manipulation'!$C$22:$O$22,0))/1000,0)*SUMIFS('Regional split'!$F$4:$F$6,'Regional split'!$B$4:$B$6,AA$3)*SUMIFS('Data manipulation'!$V$40:$V$43,'Data manipulation'!$X$40:$X$43,$E126,'Data manipulation'!$Y$40:$Y$43,$D126)</f>
        <v>1.6887196365658181</v>
      </c>
      <c r="AB126" s="447">
        <f t="shared" si="177"/>
        <v>15.116240144414487</v>
      </c>
      <c r="AC126" s="252">
        <f t="shared" si="178"/>
        <v>0.38398601165812363</v>
      </c>
      <c r="AD126" s="448">
        <f t="shared" si="179"/>
        <v>1.2158781383273891</v>
      </c>
      <c r="AE126" s="263"/>
      <c r="AU126" s="261"/>
      <c r="AZ126" s="253"/>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1">
        <f t="shared" ref="I127:I133" si="215">ROUNDUP(AB127/($O127*$P127)*$R127,1)</f>
        <v>0.2</v>
      </c>
      <c r="J127" s="251">
        <f t="shared" ref="J127:J133" si="216">ROUNDUP(AC127/($O127*$P127)*$R127,1)</f>
        <v>0.1</v>
      </c>
      <c r="K127" s="251">
        <f t="shared" ref="K127:K133" si="217">ROUNDUP(AD127/($O127*$P127)*$R127,1)</f>
        <v>0.1</v>
      </c>
      <c r="L127" s="466">
        <v>0.71</v>
      </c>
      <c r="M127" s="466">
        <v>0.71</v>
      </c>
      <c r="N127" s="466">
        <v>0.71</v>
      </c>
      <c r="O127" s="244">
        <f>31.536/1000</f>
        <v>3.1536000000000002E-2</v>
      </c>
      <c r="P127" s="462">
        <v>0.15</v>
      </c>
      <c r="Q127" s="246">
        <v>20</v>
      </c>
      <c r="R127" s="227">
        <v>1.05</v>
      </c>
      <c r="T127" s="269">
        <f t="shared" si="213"/>
        <v>2.6650140845070427E-3</v>
      </c>
      <c r="V127" s="227" t="s">
        <v>213</v>
      </c>
      <c r="W127" s="255" t="s">
        <v>728</v>
      </c>
      <c r="X127" s="247">
        <v>2019</v>
      </c>
      <c r="Y127" s="436">
        <f>_xlfn.IFNA(INDEX('Data manipulation'!$C$23:$O$40,MATCH($V127,'Data manipulation'!$B$23:$B$40,0),MATCH($X127,'Data manipulation'!$C$22:$O$22,0))/1000,0)*SUMIFS('Regional split'!$F$4:$F$6,'Regional split'!$B$4:$B$6,Y$3)*SUMIFS('Data manipulation'!$V$40:$V$43,'Data manipulation'!$X$40:$X$43,$E127,'Data manipulation'!$Y$40:$Y$43,$D127)</f>
        <v>9.9544468363636372E-4</v>
      </c>
      <c r="Z127" s="271">
        <f>_xlfn.IFNA(INDEX('Data manipulation'!$C$23:$O$40,MATCH($V127,'Data manipulation'!$B$23:$B$40,0),MATCH($X127,'Data manipulation'!$C$22:$O$22,0))/1000,0)*SUMIFS('Regional split'!$F$4:$F$6,'Regional split'!$B$4:$B$6,Z$3)*SUMIFS('Data manipulation'!$V$40:$V$43,'Data manipulation'!$X$40:$X$43,$E127,'Data manipulation'!$Y$40:$Y$43,$D127)</f>
        <v>2.5286501818181821E-5</v>
      </c>
      <c r="AA127" s="458">
        <f>_xlfn.IFNA(INDEX('Data manipulation'!$C$23:$O$40,MATCH($V127,'Data manipulation'!$B$23:$B$40,0),MATCH($X127,'Data manipulation'!$C$22:$O$22,0))/1000,0)*SUMIFS('Regional split'!$F$4:$F$6,'Regional split'!$B$4:$B$6,AA$3)*SUMIFS('Data manipulation'!$V$40:$V$43,'Data manipulation'!$X$40:$X$43,$E127,'Data manipulation'!$Y$40:$Y$43,$D127)</f>
        <v>8.0068814545454544E-5</v>
      </c>
      <c r="AB127" s="447">
        <f t="shared" si="177"/>
        <v>7.0676572538181824E-4</v>
      </c>
      <c r="AC127" s="252">
        <f t="shared" si="178"/>
        <v>1.7953416290909092E-5</v>
      </c>
      <c r="AD127" s="448">
        <f t="shared" si="179"/>
        <v>5.6848858327272723E-5</v>
      </c>
      <c r="AE127" s="263"/>
      <c r="AU127" s="261"/>
      <c r="AZ127" s="253"/>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1">
        <f t="shared" si="215"/>
        <v>10.199999999999999</v>
      </c>
      <c r="J128" s="251">
        <f t="shared" si="216"/>
        <v>0.30000000000000004</v>
      </c>
      <c r="K128" s="251">
        <f t="shared" si="217"/>
        <v>0.9</v>
      </c>
      <c r="L128" s="466">
        <v>0.61</v>
      </c>
      <c r="M128" s="466">
        <v>0.61</v>
      </c>
      <c r="N128" s="466">
        <v>0.61</v>
      </c>
      <c r="O128" s="244">
        <f t="shared" ref="O128:O145" si="219">31.536/1000</f>
        <v>3.1536000000000002E-2</v>
      </c>
      <c r="P128" s="462">
        <v>0.15</v>
      </c>
      <c r="Q128" s="246">
        <v>20</v>
      </c>
      <c r="R128" s="227">
        <v>1.05</v>
      </c>
      <c r="T128" s="269">
        <f t="shared" si="213"/>
        <v>8.8404196721311473E-2</v>
      </c>
      <c r="U128" s="269"/>
      <c r="V128" s="227" t="s">
        <v>214</v>
      </c>
      <c r="W128" s="255" t="s">
        <v>728</v>
      </c>
      <c r="X128" s="247">
        <v>2019</v>
      </c>
      <c r="Y128" s="436">
        <f>_xlfn.IFNA(INDEX('Data manipulation'!$C$23:$O$40,MATCH($V128,'Data manipulation'!$B$23:$B$40,0),MATCH($X128,'Data manipulation'!$C$22:$O$22,0))/1000,0)*SUMIFS('Regional split'!$F$4:$F$6,'Regional split'!$B$4:$B$6,Y$3)*SUMIFS('Data manipulation'!$V$40:$V$43,'Data manipulation'!$X$40:$X$43,$E128,'Data manipulation'!$Y$40:$Y$43,$D128)</f>
        <v>7.5051899170909084E-2</v>
      </c>
      <c r="Z128" s="271">
        <f>_xlfn.IFNA(INDEX('Data manipulation'!$C$23:$O$40,MATCH($V128,'Data manipulation'!$B$23:$B$40,0),MATCH($X128,'Data manipulation'!$C$22:$O$22,0))/1000,0)*SUMIFS('Regional split'!$F$4:$F$6,'Regional split'!$B$4:$B$6,Z$3)*SUMIFS('Data manipulation'!$V$40:$V$43,'Data manipulation'!$X$40:$X$43,$E128,'Data manipulation'!$Y$40:$Y$43,$D128)</f>
        <v>1.9064846254545455E-3</v>
      </c>
      <c r="AA128" s="458">
        <f>_xlfn.IFNA(INDEX('Data manipulation'!$C$23:$O$40,MATCH($V128,'Data manipulation'!$B$23:$B$40,0),MATCH($X128,'Data manipulation'!$C$22:$O$22,0))/1000,0)*SUMIFS('Regional split'!$F$4:$F$6,'Regional split'!$B$4:$B$6,AA$3)*SUMIFS('Data manipulation'!$V$40:$V$43,'Data manipulation'!$X$40:$X$43,$E128,'Data manipulation'!$Y$40:$Y$43,$D128)</f>
        <v>6.0368162036363643E-3</v>
      </c>
      <c r="AB128" s="447">
        <f t="shared" si="177"/>
        <v>4.5781658494254543E-2</v>
      </c>
      <c r="AC128" s="252">
        <f t="shared" si="178"/>
        <v>1.1629556215272728E-3</v>
      </c>
      <c r="AD128" s="448">
        <f t="shared" si="179"/>
        <v>3.6824578842181823E-3</v>
      </c>
      <c r="AE128" s="263"/>
      <c r="AU128" s="261"/>
      <c r="AZ128" s="253"/>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1">
        <f t="shared" si="215"/>
        <v>13.9</v>
      </c>
      <c r="J129" s="251">
        <f t="shared" si="216"/>
        <v>0.4</v>
      </c>
      <c r="K129" s="251">
        <f t="shared" si="217"/>
        <v>1.2000000000000002</v>
      </c>
      <c r="L129" s="466">
        <v>0.65000022993955098</v>
      </c>
      <c r="M129" s="466">
        <v>0.65000022993955098</v>
      </c>
      <c r="N129" s="466">
        <v>0.65000022993955098</v>
      </c>
      <c r="O129" s="244">
        <f t="shared" si="219"/>
        <v>3.1536000000000002E-2</v>
      </c>
      <c r="P129" s="462">
        <v>0.15</v>
      </c>
      <c r="Q129" s="246">
        <v>20</v>
      </c>
      <c r="R129" s="227">
        <v>1.05</v>
      </c>
      <c r="T129" s="269">
        <f t="shared" si="213"/>
        <v>0.11280180624985127</v>
      </c>
      <c r="U129" s="269"/>
      <c r="V129" s="227" t="s">
        <v>221</v>
      </c>
      <c r="W129" s="255" t="s">
        <v>197</v>
      </c>
      <c r="X129" s="247">
        <v>2019</v>
      </c>
      <c r="Y129" s="436">
        <f>_xlfn.IFNA(INDEX('Data manipulation'!$C$23:$O$40,MATCH($V129,'Data manipulation'!$B$23:$B$40,0),MATCH($X129,'Data manipulation'!$C$22:$O$22,0))/1000,0)*SUMIFS('Regional split'!$F$4:$F$6,'Regional split'!$B$4:$B$6,Y$3)*SUMIFS('Data manipulation'!$V$40:$V$43,'Data manipulation'!$X$40:$X$43,$E129,'Data manipulation'!$Y$40:$Y$43,$D129)</f>
        <v>9.5840488145454539E-2</v>
      </c>
      <c r="Z129" s="271">
        <f>_xlfn.IFNA(INDEX('Data manipulation'!$C$23:$O$40,MATCH($V129,'Data manipulation'!$B$23:$B$40,0),MATCH($X129,'Data manipulation'!$C$22:$O$22,0))/1000,0)*SUMIFS('Regional split'!$F$4:$F$6,'Regional split'!$B$4:$B$6,Z$3)*SUMIFS('Data manipulation'!$V$40:$V$43,'Data manipulation'!$X$40:$X$43,$E129,'Data manipulation'!$Y$40:$Y$43,$D129)</f>
        <v>2.4345608727272729E-3</v>
      </c>
      <c r="AA129" s="458">
        <f>_xlfn.IFNA(INDEX('Data manipulation'!$C$23:$O$40,MATCH($V129,'Data manipulation'!$B$23:$B$40,0),MATCH($X129,'Data manipulation'!$C$22:$O$22,0))/1000,0)*SUMIFS('Regional split'!$F$4:$F$6,'Regional split'!$B$4:$B$6,AA$3)*SUMIFS('Data manipulation'!$V$40:$V$43,'Data manipulation'!$X$40:$X$43,$E129,'Data manipulation'!$Y$40:$Y$43,$D129)</f>
        <v>7.7089509818181814E-3</v>
      </c>
      <c r="AB129" s="447">
        <f t="shared" si="177"/>
        <v>6.2296339332064257E-2</v>
      </c>
      <c r="AC129" s="252">
        <f t="shared" si="178"/>
        <v>1.5824651270745613E-3</v>
      </c>
      <c r="AD129" s="448">
        <f t="shared" si="179"/>
        <v>5.0108199107745449E-3</v>
      </c>
      <c r="AE129" s="263"/>
      <c r="AU129" s="261"/>
      <c r="AZ129" s="253"/>
    </row>
    <row r="130" spans="2:52" ht="15" customHeight="1">
      <c r="B130" s="233" t="str">
        <f t="shared" ref="B130:G130" si="221">B90</f>
        <v>RHTUDSTRE1</v>
      </c>
      <c r="C130" s="233" t="str">
        <f t="shared" si="221"/>
        <v>Residential Heating Technology Urban Detached - Straw - Existing 1</v>
      </c>
      <c r="D130" s="233" t="str">
        <f t="shared" si="221"/>
        <v>Urban</v>
      </c>
      <c r="E130" s="233" t="str">
        <f t="shared" si="221"/>
        <v>Detached</v>
      </c>
      <c r="F130" s="233" t="str">
        <f t="shared" si="221"/>
        <v>RESSTR</v>
      </c>
      <c r="G130" s="233" t="str">
        <f t="shared" si="221"/>
        <v>RESHUDB</v>
      </c>
      <c r="H130" s="230">
        <v>2019</v>
      </c>
      <c r="I130" s="251">
        <f t="shared" si="215"/>
        <v>0</v>
      </c>
      <c r="J130" s="251">
        <f t="shared" si="216"/>
        <v>0</v>
      </c>
      <c r="K130" s="251">
        <f t="shared" si="217"/>
        <v>0</v>
      </c>
      <c r="L130" s="466">
        <v>0.61</v>
      </c>
      <c r="M130" s="466">
        <v>0.61</v>
      </c>
      <c r="N130" s="466">
        <v>0.61</v>
      </c>
      <c r="O130" s="244">
        <f t="shared" si="219"/>
        <v>3.1536000000000002E-2</v>
      </c>
      <c r="P130" s="462">
        <v>0.15</v>
      </c>
      <c r="Q130" s="246">
        <v>20</v>
      </c>
      <c r="R130" s="227">
        <v>1.05</v>
      </c>
      <c r="T130" s="269">
        <f t="shared" si="213"/>
        <v>0</v>
      </c>
      <c r="U130" s="269"/>
      <c r="W130" s="255" t="s">
        <v>188</v>
      </c>
      <c r="X130" s="247">
        <v>2019</v>
      </c>
      <c r="Y130" s="436">
        <f>_xlfn.IFNA(INDEX('Data manipulation'!$C$23:$O$40,MATCH($V130,'Data manipulation'!$B$23:$B$40,0),MATCH($X130,'Data manipulation'!$C$22:$O$22,0))/1000,0)*SUMIFS('Regional split'!$F$4:$F$6,'Regional split'!$B$4:$B$6,Y$3)*SUMIFS('Data manipulation'!$V$40:$V$43,'Data manipulation'!$X$40:$X$43,$E130,'Data manipulation'!$Y$40:$Y$43,$D130)</f>
        <v>0</v>
      </c>
      <c r="Z130" s="271">
        <f>_xlfn.IFNA(INDEX('Data manipulation'!$C$23:$O$40,MATCH($V130,'Data manipulation'!$B$23:$B$40,0),MATCH($X130,'Data manipulation'!$C$22:$O$22,0))/1000,0)*SUMIFS('Regional split'!$F$4:$F$6,'Regional split'!$B$4:$B$6,Z$3)*SUMIFS('Data manipulation'!$V$40:$V$43,'Data manipulation'!$X$40:$X$43,$E130,'Data manipulation'!$Y$40:$Y$43,$D130)</f>
        <v>0</v>
      </c>
      <c r="AA130" s="458">
        <f>_xlfn.IFNA(INDEX('Data manipulation'!$C$23:$O$40,MATCH($V130,'Data manipulation'!$B$23:$B$40,0),MATCH($X130,'Data manipulation'!$C$22:$O$22,0))/1000,0)*SUMIFS('Regional split'!$F$4:$F$6,'Regional split'!$B$4:$B$6,AA$3)*SUMIFS('Data manipulation'!$V$40:$V$43,'Data manipulation'!$X$40:$X$43,$E130,'Data manipulation'!$Y$40:$Y$43,$D130)</f>
        <v>0</v>
      </c>
      <c r="AB130" s="447">
        <f t="shared" si="177"/>
        <v>0</v>
      </c>
      <c r="AC130" s="252">
        <f t="shared" si="178"/>
        <v>0</v>
      </c>
      <c r="AD130" s="448">
        <f t="shared" si="179"/>
        <v>0</v>
      </c>
      <c r="AE130" s="263"/>
      <c r="AU130" s="261"/>
      <c r="AZ130" s="253"/>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1">
        <f t="shared" si="215"/>
        <v>0</v>
      </c>
      <c r="J131" s="251">
        <f t="shared" si="216"/>
        <v>0</v>
      </c>
      <c r="K131" s="251">
        <f t="shared" si="217"/>
        <v>0</v>
      </c>
      <c r="L131" s="466">
        <v>1</v>
      </c>
      <c r="M131" s="466">
        <v>1</v>
      </c>
      <c r="N131" s="466">
        <v>1</v>
      </c>
      <c r="O131" s="244">
        <f t="shared" si="219"/>
        <v>3.1536000000000002E-2</v>
      </c>
      <c r="P131" s="462">
        <v>0.15</v>
      </c>
      <c r="Q131" s="246">
        <v>20</v>
      </c>
      <c r="R131" s="227">
        <v>1.05</v>
      </c>
      <c r="T131" s="269">
        <f t="shared" si="213"/>
        <v>0</v>
      </c>
      <c r="U131" s="269"/>
      <c r="W131" s="255" t="s">
        <v>189</v>
      </c>
      <c r="X131" s="247">
        <v>2019</v>
      </c>
      <c r="Y131" s="436">
        <f>_xlfn.IFNA(INDEX('Data manipulation'!$C$23:$O$40,MATCH($V131,'Data manipulation'!$B$23:$B$40,0),MATCH($X131,'Data manipulation'!$C$22:$O$22,0))/1000,0)*SUMIFS('Regional split'!$F$4:$F$6,'Regional split'!$B$4:$B$6,Y$3)*SUMIFS('Data manipulation'!$V$40:$V$43,'Data manipulation'!$X$40:$X$43,$E131,'Data manipulation'!$Y$40:$Y$43,$D131)</f>
        <v>0</v>
      </c>
      <c r="Z131" s="271">
        <f>_xlfn.IFNA(INDEX('Data manipulation'!$C$23:$O$40,MATCH($V131,'Data manipulation'!$B$23:$B$40,0),MATCH($X131,'Data manipulation'!$C$22:$O$22,0))/1000,0)*SUMIFS('Regional split'!$F$4:$F$6,'Regional split'!$B$4:$B$6,Z$3)*SUMIFS('Data manipulation'!$V$40:$V$43,'Data manipulation'!$X$40:$X$43,$E131,'Data manipulation'!$Y$40:$Y$43,$D131)</f>
        <v>0</v>
      </c>
      <c r="AA131" s="458">
        <f>_xlfn.IFNA(INDEX('Data manipulation'!$C$23:$O$40,MATCH($V131,'Data manipulation'!$B$23:$B$40,0),MATCH($X131,'Data manipulation'!$C$22:$O$22,0))/1000,0)*SUMIFS('Regional split'!$F$4:$F$6,'Regional split'!$B$4:$B$6,AA$3)*SUMIFS('Data manipulation'!$V$40:$V$43,'Data manipulation'!$X$40:$X$43,$E131,'Data manipulation'!$Y$40:$Y$43,$D131)</f>
        <v>0</v>
      </c>
      <c r="AB131" s="447">
        <f t="shared" si="177"/>
        <v>0</v>
      </c>
      <c r="AC131" s="252">
        <f t="shared" si="178"/>
        <v>0</v>
      </c>
      <c r="AD131" s="448">
        <f t="shared" si="179"/>
        <v>0</v>
      </c>
      <c r="AE131" s="263"/>
      <c r="AU131" s="261"/>
      <c r="AZ131" s="253"/>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1">
        <f t="shared" si="215"/>
        <v>0</v>
      </c>
      <c r="J132" s="251">
        <f t="shared" si="216"/>
        <v>0</v>
      </c>
      <c r="K132" s="251">
        <f t="shared" si="217"/>
        <v>0</v>
      </c>
      <c r="L132" s="466">
        <v>1</v>
      </c>
      <c r="M132" s="466">
        <v>1</v>
      </c>
      <c r="N132" s="466">
        <v>1</v>
      </c>
      <c r="O132" s="244">
        <f t="shared" si="219"/>
        <v>3.1536000000000002E-2</v>
      </c>
      <c r="P132" s="462">
        <v>0.15</v>
      </c>
      <c r="Q132" s="246">
        <v>30</v>
      </c>
      <c r="R132" s="227">
        <v>1.05</v>
      </c>
      <c r="T132" s="269">
        <f t="shared" si="213"/>
        <v>0</v>
      </c>
      <c r="U132" s="269"/>
      <c r="V132" s="227" t="str">
        <f>V102</f>
        <v>Electricity</v>
      </c>
      <c r="W132" s="255" t="s">
        <v>190</v>
      </c>
      <c r="X132" s="247">
        <v>2019</v>
      </c>
      <c r="Y132" s="436">
        <f>_xlfn.IFNA(INDEX('Data manipulation'!$C$23:$O$40,MATCH($V132,'Data manipulation'!$B$23:$B$40,0),MATCH($X132,'Data manipulation'!$C$22:$O$22,0))/1000,0)*SUMIFS('Regional split'!$F$4:$F$6,'Regional split'!$B$4:$B$6,Y$3)*SUMIFS('Data manipulation'!$V$40:$V$43,'Data manipulation'!$X$40:$X$43,$E132,'Data manipulation'!$Y$40:$Y$43,$D132)</f>
        <v>0</v>
      </c>
      <c r="Z132" s="271">
        <f>_xlfn.IFNA(INDEX('Data manipulation'!$C$23:$O$40,MATCH($V132,'Data manipulation'!$B$23:$B$40,0),MATCH($X132,'Data manipulation'!$C$22:$O$22,0))/1000,0)*SUMIFS('Regional split'!$F$4:$F$6,'Regional split'!$B$4:$B$6,Z$3)*SUMIFS('Data manipulation'!$V$40:$V$43,'Data manipulation'!$X$40:$X$43,$E132,'Data manipulation'!$Y$40:$Y$43,$D132)</f>
        <v>0</v>
      </c>
      <c r="AA132" s="458">
        <f>_xlfn.IFNA(INDEX('Data manipulation'!$C$23:$O$40,MATCH($V132,'Data manipulation'!$B$23:$B$40,0),MATCH($X132,'Data manipulation'!$C$22:$O$22,0))/1000,0)*SUMIFS('Regional split'!$F$4:$F$6,'Regional split'!$B$4:$B$6,AA$3)*SUMIFS('Data manipulation'!$V$40:$V$43,'Data manipulation'!$X$40:$X$43,$E132,'Data manipulation'!$Y$40:$Y$43,$D132)</f>
        <v>0</v>
      </c>
      <c r="AB132" s="447">
        <f t="shared" si="177"/>
        <v>0</v>
      </c>
      <c r="AC132" s="252">
        <f t="shared" si="178"/>
        <v>0</v>
      </c>
      <c r="AD132" s="448">
        <f t="shared" si="179"/>
        <v>0</v>
      </c>
      <c r="AU132" s="261"/>
      <c r="AZ132" s="253"/>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1">
        <f t="shared" si="215"/>
        <v>0</v>
      </c>
      <c r="J133" s="251">
        <f t="shared" si="216"/>
        <v>0</v>
      </c>
      <c r="K133" s="251">
        <f t="shared" si="217"/>
        <v>0</v>
      </c>
      <c r="L133" s="466">
        <v>2.3149999999999999</v>
      </c>
      <c r="M133" s="466">
        <v>2.3149999999999999</v>
      </c>
      <c r="N133" s="466">
        <v>2.3149999999999999</v>
      </c>
      <c r="O133" s="244">
        <f t="shared" si="219"/>
        <v>3.1536000000000002E-2</v>
      </c>
      <c r="P133" s="462">
        <v>0.15</v>
      </c>
      <c r="Q133" s="246">
        <v>30</v>
      </c>
      <c r="R133" s="227">
        <v>1.05</v>
      </c>
      <c r="T133" s="269">
        <f t="shared" si="213"/>
        <v>0</v>
      </c>
      <c r="U133" s="269"/>
      <c r="W133" s="255" t="s">
        <v>191</v>
      </c>
      <c r="X133" s="247">
        <v>2019</v>
      </c>
      <c r="Y133" s="436">
        <f>_xlfn.IFNA(INDEX('Data manipulation'!$C$23:$O$40,MATCH($V133,'Data manipulation'!$B$23:$B$40,0),MATCH($X133,'Data manipulation'!$C$22:$O$22,0))/1000,0)*SUMIFS('Regional split'!$F$4:$F$6,'Regional split'!$B$4:$B$6,Y$3)*SUMIFS('Data manipulation'!$V$40:$V$43,'Data manipulation'!$X$40:$X$43,$E133,'Data manipulation'!$Y$40:$Y$43,$D133)</f>
        <v>0</v>
      </c>
      <c r="Z133" s="271">
        <f>_xlfn.IFNA(INDEX('Data manipulation'!$C$23:$O$40,MATCH($V133,'Data manipulation'!$B$23:$B$40,0),MATCH($X133,'Data manipulation'!$C$22:$O$22,0))/1000,0)*SUMIFS('Regional split'!$F$4:$F$6,'Regional split'!$B$4:$B$6,Z$3)*SUMIFS('Data manipulation'!$V$40:$V$43,'Data manipulation'!$X$40:$X$43,$E133,'Data manipulation'!$Y$40:$Y$43,$D133)</f>
        <v>0</v>
      </c>
      <c r="AA133" s="458">
        <f>_xlfn.IFNA(INDEX('Data manipulation'!$C$23:$O$40,MATCH($V133,'Data manipulation'!$B$23:$B$40,0),MATCH($X133,'Data manipulation'!$C$22:$O$22,0))/1000,0)*SUMIFS('Regional split'!$F$4:$F$6,'Regional split'!$B$4:$B$6,AA$3)*SUMIFS('Data manipulation'!$V$40:$V$43,'Data manipulation'!$X$40:$X$43,$E133,'Data manipulation'!$Y$40:$Y$43,$D133)</f>
        <v>0</v>
      </c>
      <c r="AB133" s="447">
        <f t="shared" si="177"/>
        <v>0</v>
      </c>
      <c r="AC133" s="252">
        <f t="shared" si="178"/>
        <v>0</v>
      </c>
      <c r="AD133" s="448">
        <f t="shared" si="179"/>
        <v>0</v>
      </c>
      <c r="AU133" s="261"/>
      <c r="AZ133" s="253"/>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83">
        <f>ROUNDUP(AB134/($O134*$P134)*$I$1,1)+ROUNDUP(AC134/($O134*$P134)*$I$1,1)+ROUNDUP(AD134/($O134*$P134)*$I$1,1)+ROUNDUP(AB144/($O144*$P144)*$I$1,1)+ROUNDUP(AC144/($O144*$P144)*$I$1,1)+ROUNDUP(AD144/($O144*$P144)*$I$1,1)</f>
        <v>781.2</v>
      </c>
      <c r="J134" s="583">
        <v>0</v>
      </c>
      <c r="K134" s="583">
        <v>0</v>
      </c>
      <c r="L134" s="466">
        <v>0.95</v>
      </c>
      <c r="M134" s="466">
        <v>0.95</v>
      </c>
      <c r="N134" s="466">
        <v>0.95</v>
      </c>
      <c r="O134" s="244">
        <f t="shared" si="219"/>
        <v>3.1536000000000002E-2</v>
      </c>
      <c r="P134" s="462">
        <v>0.15</v>
      </c>
      <c r="Q134" s="246">
        <v>30</v>
      </c>
      <c r="R134" s="227">
        <v>1.05</v>
      </c>
      <c r="T134" s="269">
        <f t="shared" si="213"/>
        <v>3.8898826105263167</v>
      </c>
      <c r="U134" s="269"/>
      <c r="V134" s="227" t="s">
        <v>220</v>
      </c>
      <c r="W134" s="255" t="s">
        <v>192</v>
      </c>
      <c r="X134" s="247">
        <v>2019</v>
      </c>
      <c r="Y134" s="436">
        <f>_xlfn.IFNA(INDEX('Data manipulation'!$C$23:$O$40,MATCH($V134,'Data manipulation'!$B$23:$B$40,0),MATCH($X134,'Data manipulation'!$C$22:$O$22,0))/1000,0)*SUMIFS('Regional split'!$F$4:$F$6,'Regional split'!$B$4:$B$6,Y$3)*SUMIFS('Data manipulation'!$V$40:$V$43,'Data manipulation'!$X$40:$X$43,$E134,'Data manipulation'!$Y$40:$Y$43,$D134)</f>
        <v>1.1718698914036363</v>
      </c>
      <c r="Z134" s="271">
        <f>_xlfn.IFNA(INDEX('Data manipulation'!$C$23:$O$40,MATCH($V134,'Data manipulation'!$B$23:$B$40,0),MATCH($X134,'Data manipulation'!$C$22:$O$22,0))/1000,0)*SUMIFS('Regional split'!$F$4:$F$6,'Regional split'!$B$4:$B$6,Z$3)*SUMIFS('Data manipulation'!$V$40:$V$43,'Data manipulation'!$X$40:$X$43,$E134,'Data manipulation'!$Y$40:$Y$43,$D134)</f>
        <v>2.9768093221818184E-2</v>
      </c>
      <c r="AA134" s="458">
        <f>_xlfn.IFNA(INDEX('Data manipulation'!$C$23:$O$40,MATCH($V134,'Data manipulation'!$B$23:$B$40,0),MATCH($X134,'Data manipulation'!$C$22:$O$22,0))/1000,0)*SUMIFS('Regional split'!$F$4:$F$6,'Regional split'!$B$4:$B$6,AA$3)*SUMIFS('Data manipulation'!$V$40:$V$43,'Data manipulation'!$X$40:$X$43,$E134,'Data manipulation'!$Y$40:$Y$43,$D134)</f>
        <v>9.4259615374545469E-2</v>
      </c>
      <c r="AB134" s="447">
        <f t="shared" si="177"/>
        <v>1.1132763968334545</v>
      </c>
      <c r="AC134" s="252">
        <f t="shared" si="178"/>
        <v>2.8279688560727274E-2</v>
      </c>
      <c r="AD134" s="448">
        <f t="shared" si="179"/>
        <v>8.9546634605818187E-2</v>
      </c>
      <c r="AU134" s="261"/>
      <c r="AZ134" s="253"/>
    </row>
    <row r="135" spans="2:52" ht="15" customHeight="1" thickBot="1">
      <c r="B135" s="256" t="str">
        <f t="shared" ref="B135:G135" si="226">B95</f>
        <v>RHTUDLPGE1</v>
      </c>
      <c r="C135" s="256" t="str">
        <f t="shared" si="226"/>
        <v>Residential Heating Technology Urban Detached - LPG - Existing 1</v>
      </c>
      <c r="D135" s="546" t="str">
        <f t="shared" si="226"/>
        <v>Urban</v>
      </c>
      <c r="E135" s="546" t="str">
        <f t="shared" si="226"/>
        <v>Detached</v>
      </c>
      <c r="F135" s="256" t="str">
        <f t="shared" si="226"/>
        <v>RESLPG</v>
      </c>
      <c r="G135" s="256" t="str">
        <f t="shared" si="226"/>
        <v>RESHUDB</v>
      </c>
      <c r="H135" s="424">
        <v>2019</v>
      </c>
      <c r="I135" s="298">
        <f t="shared" ref="I135" si="227">ROUNDUP(AB135/($O135*$P135)*$R135,1)</f>
        <v>4.5999999999999996</v>
      </c>
      <c r="J135" s="298">
        <f t="shared" ref="J135" si="228">ROUNDUP(AC135/($O135*$P135)*$R135,1)</f>
        <v>0.2</v>
      </c>
      <c r="K135" s="298">
        <f t="shared" ref="K135" si="229">ROUNDUP(AD135/($O135*$P135)*$R135,1)</f>
        <v>0.4</v>
      </c>
      <c r="L135" s="467">
        <v>0.95</v>
      </c>
      <c r="M135" s="467">
        <v>0.95</v>
      </c>
      <c r="N135" s="467">
        <v>0.95</v>
      </c>
      <c r="O135" s="258">
        <f t="shared" si="219"/>
        <v>3.1536000000000002E-2</v>
      </c>
      <c r="P135" s="463">
        <v>0.15</v>
      </c>
      <c r="Q135" s="259">
        <v>30</v>
      </c>
      <c r="R135" s="227">
        <v>1.05</v>
      </c>
      <c r="T135" s="269">
        <f t="shared" si="213"/>
        <v>2.5892715789473691E-2</v>
      </c>
      <c r="U135" s="269"/>
      <c r="V135" s="227" t="s">
        <v>210</v>
      </c>
      <c r="W135" s="429" t="s">
        <v>769</v>
      </c>
      <c r="X135" s="247">
        <v>2019</v>
      </c>
      <c r="Y135" s="437">
        <f>_xlfn.IFNA(INDEX('Data manipulation'!$C$23:$O$40,MATCH($V135,'Data manipulation'!$B$23:$B$40,0),MATCH($X135,'Data manipulation'!$C$22:$O$22,0))/1000,0)*SUMIFS('Regional split'!$F$4:$F$6,'Regional split'!$B$4:$B$6,Y$3)*SUMIFS('Data manipulation'!$V$40:$V$43,'Data manipulation'!$X$40:$X$43,$E135,'Data manipulation'!$Y$40:$Y$43,$D135)</f>
        <v>2.152012506763637E-2</v>
      </c>
      <c r="Z135" s="434">
        <f>_xlfn.IFNA(INDEX('Data manipulation'!$C$23:$O$40,MATCH($V135,'Data manipulation'!$B$23:$B$40,0),MATCH($X135,'Data manipulation'!$C$22:$O$22,0))/1000,0)*SUMIFS('Regional split'!$F$4:$F$6,'Regional split'!$B$4:$B$6,Z$3)*SUMIFS('Data manipulation'!$V$40:$V$43,'Data manipulation'!$X$40:$X$43,$E135,'Data manipulation'!$Y$40:$Y$43,$D135)</f>
        <v>5.4665888581818193E-4</v>
      </c>
      <c r="AA135" s="459">
        <f>_xlfn.IFNA(INDEX('Data manipulation'!$C$23:$O$40,MATCH($V135,'Data manipulation'!$B$23:$B$40,0),MATCH($X135,'Data manipulation'!$C$22:$O$22,0))/1000,0)*SUMIFS('Regional split'!$F$4:$F$6,'Regional split'!$B$4:$B$6,AA$3)*SUMIFS('Data manipulation'!$V$40:$V$43,'Data manipulation'!$X$40:$X$43,$E135,'Data manipulation'!$Y$40:$Y$43,$D135)</f>
        <v>1.7309760465454549E-3</v>
      </c>
      <c r="AB135" s="454">
        <f t="shared" si="177"/>
        <v>2.044411881425455E-2</v>
      </c>
      <c r="AC135" s="278">
        <f t="shared" si="178"/>
        <v>5.1932594152727276E-4</v>
      </c>
      <c r="AD135" s="450">
        <f t="shared" si="179"/>
        <v>1.6444272442181821E-3</v>
      </c>
      <c r="AU135" s="261"/>
      <c r="AZ135" s="253"/>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60">
        <v>2019</v>
      </c>
      <c r="I136" s="251">
        <f>ROUNDUP(AB136/($O136*$P136)*$R136,1)</f>
        <v>6629.7000000000007</v>
      </c>
      <c r="J136" s="251">
        <f>ROUNDUP(AC136/($O136*$P136)*$R136,1)</f>
        <v>168.5</v>
      </c>
      <c r="K136" s="251">
        <f>ROUNDUP(AD136/($O136*$P136)*$R136,1)</f>
        <v>533.30000000000007</v>
      </c>
      <c r="L136" s="466">
        <v>0.79</v>
      </c>
      <c r="M136" s="466">
        <v>0.79</v>
      </c>
      <c r="N136" s="466">
        <v>0.79</v>
      </c>
      <c r="O136" s="244">
        <f t="shared" si="219"/>
        <v>3.1536000000000002E-2</v>
      </c>
      <c r="P136" s="462">
        <v>0.15</v>
      </c>
      <c r="Q136" s="246">
        <v>25</v>
      </c>
      <c r="R136" s="227">
        <v>1.05</v>
      </c>
      <c r="T136" s="269">
        <f t="shared" si="213"/>
        <v>43.89990835443038</v>
      </c>
      <c r="U136" s="269"/>
      <c r="V136" s="227" t="s">
        <v>80</v>
      </c>
      <c r="W136" s="255" t="s">
        <v>187</v>
      </c>
      <c r="X136" s="247">
        <v>2019</v>
      </c>
      <c r="Y136" s="436">
        <f>_xlfn.IFNA(INDEX('Data manipulation'!$C$23:$O$40,MATCH($V136,'Data manipulation'!$B$23:$B$40,0),MATCH($X136,'Data manipulation'!$C$22:$O$22,0))/1000,0)*SUMIFS('Regional split'!$F$4:$F$6,'Regional split'!$B$4:$B$6,Y$3)*SUMIFS('Data manipulation'!$V$40:$V$43,'Data manipulation'!$X$40:$X$43,$E136,'Data manipulation'!$Y$40:$Y$43,$D136)</f>
        <v>37.807002531331804</v>
      </c>
      <c r="Z136" s="271">
        <f>_xlfn.IFNA(INDEX('Data manipulation'!$C$23:$O$40,MATCH($V136,'Data manipulation'!$B$23:$B$40,0),MATCH($X136,'Data manipulation'!$C$22:$O$22,0))/1000,0)*SUMIFS('Regional split'!$F$4:$F$6,'Regional split'!$B$4:$B$6,Z$3)*SUMIFS('Data manipulation'!$V$40:$V$43,'Data manipulation'!$X$40:$X$43,$E136,'Data manipulation'!$Y$40:$Y$43,$D136)</f>
        <v>0.96038168063365348</v>
      </c>
      <c r="AA136" s="458">
        <f>_xlfn.IFNA(INDEX('Data manipulation'!$C$23:$O$40,MATCH($V136,'Data manipulation'!$B$23:$B$40,0),MATCH($X136,'Data manipulation'!$C$22:$O$22,0))/1000,0)*SUMIFS('Regional split'!$F$4:$F$6,'Regional split'!$B$4:$B$6,AA$3)*SUMIFS('Data manipulation'!$V$40:$V$43,'Data manipulation'!$X$40:$X$43,$E136,'Data manipulation'!$Y$40:$Y$43,$D136)</f>
        <v>3.0410146580345399</v>
      </c>
      <c r="AB136" s="455">
        <f t="shared" si="177"/>
        <v>29.867531999752128</v>
      </c>
      <c r="AC136" s="279">
        <f t="shared" si="178"/>
        <v>0.7587015277005863</v>
      </c>
      <c r="AD136" s="451">
        <f t="shared" si="179"/>
        <v>2.4024015798472864</v>
      </c>
      <c r="AU136" s="261"/>
      <c r="AZ136" s="253"/>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60">
        <v>2019</v>
      </c>
      <c r="I137" s="251">
        <f t="shared" ref="I137:I143" si="232">ROUNDUP(AB137/($O137*$P137)*$R137,1)</f>
        <v>0.4</v>
      </c>
      <c r="J137" s="251">
        <f t="shared" ref="J137:J143" si="233">ROUNDUP(AC137/($O137*$P137)*$R137,1)</f>
        <v>0.1</v>
      </c>
      <c r="K137" s="251">
        <f t="shared" ref="K137:K143" si="234">ROUNDUP(AD137/($O137*$P137)*$R137,1)</f>
        <v>0.1</v>
      </c>
      <c r="L137" s="466">
        <v>0.79</v>
      </c>
      <c r="M137" s="466">
        <v>0.79</v>
      </c>
      <c r="N137" s="466">
        <v>0.79</v>
      </c>
      <c r="O137" s="244">
        <f t="shared" si="219"/>
        <v>3.1536000000000002E-2</v>
      </c>
      <c r="P137" s="462">
        <v>0.15</v>
      </c>
      <c r="Q137" s="246">
        <v>20</v>
      </c>
      <c r="R137" s="227">
        <v>1.05</v>
      </c>
      <c r="T137" s="269">
        <f t="shared" si="213"/>
        <v>3.5927088607594936E-3</v>
      </c>
      <c r="V137" s="227" t="s">
        <v>213</v>
      </c>
      <c r="W137" s="255" t="s">
        <v>728</v>
      </c>
      <c r="X137" s="247">
        <v>2019</v>
      </c>
      <c r="Y137" s="436">
        <f>_xlfn.IFNA(INDEX('Data manipulation'!$C$23:$O$40,MATCH($V137,'Data manipulation'!$B$23:$B$40,0),MATCH($X137,'Data manipulation'!$C$22:$O$22,0))/1000,0)*SUMIFS('Regional split'!$F$4:$F$6,'Regional split'!$B$4:$B$6,Y$3)*SUMIFS('Data manipulation'!$V$40:$V$43,'Data manipulation'!$X$40:$X$43,$E137,'Data manipulation'!$Y$40:$Y$43,$D137)</f>
        <v>1.7925781217045455E-3</v>
      </c>
      <c r="Z137" s="271">
        <f>_xlfn.IFNA(INDEX('Data manipulation'!$C$23:$O$40,MATCH($V137,'Data manipulation'!$B$23:$B$40,0),MATCH($X137,'Data manipulation'!$C$22:$O$22,0))/1000,0)*SUMIFS('Regional split'!$F$4:$F$6,'Regional split'!$B$4:$B$6,Z$3)*SUMIFS('Data manipulation'!$V$40:$V$43,'Data manipulation'!$X$40:$X$43,$E137,'Data manipulation'!$Y$40:$Y$43,$D137)</f>
        <v>4.5535458352272732E-5</v>
      </c>
      <c r="AA137" s="458">
        <f>_xlfn.IFNA(INDEX('Data manipulation'!$C$23:$O$40,MATCH($V137,'Data manipulation'!$B$23:$B$40,0),MATCH($X137,'Data manipulation'!$C$22:$O$22,0))/1000,0)*SUMIFS('Regional split'!$F$4:$F$6,'Regional split'!$B$4:$B$6,AA$3)*SUMIFS('Data manipulation'!$V$40:$V$43,'Data manipulation'!$X$40:$X$43,$E137,'Data manipulation'!$Y$40:$Y$43,$D137)</f>
        <v>1.4418641994318182E-4</v>
      </c>
      <c r="AB137" s="447">
        <f t="shared" si="177"/>
        <v>1.4161367161465909E-3</v>
      </c>
      <c r="AC137" s="252">
        <f t="shared" si="178"/>
        <v>3.5973012098295458E-5</v>
      </c>
      <c r="AD137" s="448">
        <f t="shared" si="179"/>
        <v>1.1390727175511364E-4</v>
      </c>
      <c r="AU137" s="261"/>
      <c r="AZ137" s="253"/>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60">
        <v>2019</v>
      </c>
      <c r="I138" s="251">
        <f t="shared" si="232"/>
        <v>20.100000000000001</v>
      </c>
      <c r="J138" s="251">
        <f t="shared" si="233"/>
        <v>0.6</v>
      </c>
      <c r="K138" s="251">
        <f t="shared" si="234"/>
        <v>1.7000000000000002</v>
      </c>
      <c r="L138" s="466">
        <v>0.67</v>
      </c>
      <c r="M138" s="466">
        <v>0.67</v>
      </c>
      <c r="N138" s="466">
        <v>0.67</v>
      </c>
      <c r="O138" s="244">
        <f>31.536/1000</f>
        <v>3.1536000000000002E-2</v>
      </c>
      <c r="P138" s="462">
        <v>0.15</v>
      </c>
      <c r="Q138" s="246">
        <v>20</v>
      </c>
      <c r="R138" s="227">
        <v>1.05</v>
      </c>
      <c r="T138" s="269">
        <f t="shared" si="213"/>
        <v>0.15815068656716419</v>
      </c>
      <c r="U138" s="269"/>
      <c r="V138" s="269" t="s">
        <v>214</v>
      </c>
      <c r="W138" s="255" t="s">
        <v>728</v>
      </c>
      <c r="X138" s="247">
        <v>2019</v>
      </c>
      <c r="Y138" s="436">
        <f>_xlfn.IFNA(INDEX('Data manipulation'!$C$23:$O$40,MATCH($V138,'Data manipulation'!$B$23:$B$40,0),MATCH($X138,'Data manipulation'!$C$22:$O$22,0))/1000,0)*SUMIFS('Regional split'!$F$4:$F$6,'Regional split'!$B$4:$B$6,Y$3)*SUMIFS('Data manipulation'!$V$40:$V$43,'Data manipulation'!$X$40:$X$43,$E138,'Data manipulation'!$Y$40:$Y$43,$D138)</f>
        <v>0.13515205280386364</v>
      </c>
      <c r="Z138" s="271">
        <f>_xlfn.IFNA(INDEX('Data manipulation'!$C$23:$O$40,MATCH($V138,'Data manipulation'!$B$23:$B$40,0),MATCH($X138,'Data manipulation'!$C$22:$O$22,0))/1000,0)*SUMIFS('Regional split'!$F$4:$F$6,'Regional split'!$B$4:$B$6,Z$3)*SUMIFS('Data manipulation'!$V$40:$V$43,'Data manipulation'!$X$40:$X$43,$E138,'Data manipulation'!$Y$40:$Y$43,$D138)</f>
        <v>3.4331617669318185E-3</v>
      </c>
      <c r="AA138" s="458">
        <f>_xlfn.IFNA(INDEX('Data manipulation'!$C$23:$O$40,MATCH($V138,'Data manipulation'!$B$23:$B$40,0),MATCH($X138,'Data manipulation'!$C$22:$O$22,0))/1000,0)*SUMIFS('Regional split'!$F$4:$F$6,'Regional split'!$B$4:$B$6,AA$3)*SUMIFS('Data manipulation'!$V$40:$V$43,'Data manipulation'!$X$40:$X$43,$E138,'Data manipulation'!$Y$40:$Y$43,$D138)</f>
        <v>1.0870985429204547E-2</v>
      </c>
      <c r="AB138" s="447">
        <f t="shared" si="177"/>
        <v>9.0551875378588637E-2</v>
      </c>
      <c r="AC138" s="252">
        <f t="shared" si="178"/>
        <v>2.3002183838443185E-3</v>
      </c>
      <c r="AD138" s="448">
        <f t="shared" si="179"/>
        <v>7.2835602375670465E-3</v>
      </c>
      <c r="AU138" s="261"/>
      <c r="AZ138" s="253"/>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60">
        <v>2019</v>
      </c>
      <c r="I139" s="251">
        <f t="shared" si="232"/>
        <v>25.700000000000003</v>
      </c>
      <c r="J139" s="251">
        <f t="shared" si="233"/>
        <v>0.7</v>
      </c>
      <c r="K139" s="251">
        <f t="shared" si="234"/>
        <v>2.1</v>
      </c>
      <c r="L139" s="466">
        <v>0.67</v>
      </c>
      <c r="M139" s="466">
        <v>0.67</v>
      </c>
      <c r="N139" s="466">
        <v>0.67</v>
      </c>
      <c r="O139" s="244">
        <f>31.536/1000</f>
        <v>3.1536000000000002E-2</v>
      </c>
      <c r="P139" s="462">
        <v>0.15</v>
      </c>
      <c r="Q139" s="246">
        <v>20</v>
      </c>
      <c r="R139" s="227">
        <v>1.05</v>
      </c>
      <c r="T139" s="269">
        <f t="shared" si="213"/>
        <v>0.20121850746268655</v>
      </c>
      <c r="U139" s="269"/>
      <c r="V139" s="227" t="s">
        <v>221</v>
      </c>
      <c r="W139" s="255" t="s">
        <v>197</v>
      </c>
      <c r="X139" s="247">
        <v>2019</v>
      </c>
      <c r="Y139" s="436">
        <f>_xlfn.IFNA(INDEX('Data manipulation'!$C$23:$O$40,MATCH($V139,'Data manipulation'!$B$23:$B$40,0),MATCH($X139,'Data manipulation'!$C$22:$O$22,0))/1000,0)*SUMIFS('Regional split'!$F$4:$F$6,'Regional split'!$B$4:$B$6,Y$3)*SUMIFS('Data manipulation'!$V$40:$V$43,'Data manipulation'!$X$40:$X$43,$E139,'Data manipulation'!$Y$40:$Y$43,$D139)</f>
        <v>0.17258775404318183</v>
      </c>
      <c r="Z139" s="271">
        <f>_xlfn.IFNA(INDEX('Data manipulation'!$C$23:$O$40,MATCH($V139,'Data manipulation'!$B$23:$B$40,0),MATCH($X139,'Data manipulation'!$C$22:$O$22,0))/1000,0)*SUMIFS('Regional split'!$F$4:$F$6,'Regional split'!$B$4:$B$6,Z$3)*SUMIFS('Data manipulation'!$V$40:$V$43,'Data manipulation'!$X$40:$X$43,$E139,'Data manipulation'!$Y$40:$Y$43,$D139)</f>
        <v>4.3841115715909096E-3</v>
      </c>
      <c r="AA139" s="458">
        <f>_xlfn.IFNA(INDEX('Data manipulation'!$C$23:$O$40,MATCH($V139,'Data manipulation'!$B$23:$B$40,0),MATCH($X139,'Data manipulation'!$C$22:$O$22,0))/1000,0)*SUMIFS('Regional split'!$F$4:$F$6,'Regional split'!$B$4:$B$6,AA$3)*SUMIFS('Data manipulation'!$V$40:$V$43,'Data manipulation'!$X$40:$X$43,$E139,'Data manipulation'!$Y$40:$Y$43,$D139)</f>
        <v>1.3882134385227273E-2</v>
      </c>
      <c r="AB139" s="447">
        <f t="shared" si="177"/>
        <v>0.11563379520893183</v>
      </c>
      <c r="AC139" s="252">
        <f t="shared" si="178"/>
        <v>2.9373547529659098E-3</v>
      </c>
      <c r="AD139" s="448">
        <f t="shared" si="179"/>
        <v>9.3010300381022731E-3</v>
      </c>
      <c r="AU139" s="261"/>
      <c r="AZ139" s="253"/>
    </row>
    <row r="140" spans="2:52" ht="15" customHeight="1">
      <c r="B140" s="233" t="str">
        <f t="shared" ref="B140:G140" si="237">B100</f>
        <v>RHTRDSTRE1</v>
      </c>
      <c r="C140" s="233" t="str">
        <f t="shared" si="237"/>
        <v>Residential Heating Technology Rural Detached - Straw - Existing 1</v>
      </c>
      <c r="D140" s="233" t="str">
        <f t="shared" si="237"/>
        <v>Rural</v>
      </c>
      <c r="E140" s="233" t="str">
        <f t="shared" si="237"/>
        <v>Detached</v>
      </c>
      <c r="F140" s="233" t="str">
        <f t="shared" si="237"/>
        <v>RESSTR</v>
      </c>
      <c r="G140" s="233" t="str">
        <f t="shared" si="237"/>
        <v>RESHRDB</v>
      </c>
      <c r="H140" s="260">
        <v>2019</v>
      </c>
      <c r="I140" s="251">
        <f t="shared" si="232"/>
        <v>0</v>
      </c>
      <c r="J140" s="251">
        <f t="shared" si="233"/>
        <v>0</v>
      </c>
      <c r="K140" s="251">
        <f t="shared" si="234"/>
        <v>0</v>
      </c>
      <c r="L140" s="466">
        <v>0.61</v>
      </c>
      <c r="M140" s="466">
        <v>0.61</v>
      </c>
      <c r="N140" s="466">
        <v>0.61</v>
      </c>
      <c r="O140" s="244">
        <f t="shared" si="219"/>
        <v>3.1536000000000002E-2</v>
      </c>
      <c r="P140" s="462">
        <v>0.15</v>
      </c>
      <c r="Q140" s="246">
        <v>20</v>
      </c>
      <c r="R140" s="227">
        <v>1.05</v>
      </c>
      <c r="T140" s="269">
        <f t="shared" si="213"/>
        <v>0</v>
      </c>
      <c r="U140" s="269"/>
      <c r="W140" s="255" t="s">
        <v>188</v>
      </c>
      <c r="X140" s="247">
        <v>2019</v>
      </c>
      <c r="Y140" s="436">
        <f>_xlfn.IFNA(INDEX('Data manipulation'!$C$23:$O$40,MATCH($V140,'Data manipulation'!$B$23:$B$40,0),MATCH($X140,'Data manipulation'!$C$22:$O$22,0))/1000,0)*SUMIFS('Regional split'!$F$4:$F$6,'Regional split'!$B$4:$B$6,Y$3)*SUMIFS('Data manipulation'!$V$40:$V$43,'Data manipulation'!$X$40:$X$43,$E140,'Data manipulation'!$Y$40:$Y$43,$D140)</f>
        <v>0</v>
      </c>
      <c r="Z140" s="271">
        <f>_xlfn.IFNA(INDEX('Data manipulation'!$C$23:$O$40,MATCH($V140,'Data manipulation'!$B$23:$B$40,0),MATCH($X140,'Data manipulation'!$C$22:$O$22,0))/1000,0)*SUMIFS('Regional split'!$F$4:$F$6,'Regional split'!$B$4:$B$6,Z$3)*SUMIFS('Data manipulation'!$V$40:$V$43,'Data manipulation'!$X$40:$X$43,$E140,'Data manipulation'!$Y$40:$Y$43,$D140)</f>
        <v>0</v>
      </c>
      <c r="AA140" s="458">
        <f>_xlfn.IFNA(INDEX('Data manipulation'!$C$23:$O$40,MATCH($V140,'Data manipulation'!$B$23:$B$40,0),MATCH($X140,'Data manipulation'!$C$22:$O$22,0))/1000,0)*SUMIFS('Regional split'!$F$4:$F$6,'Regional split'!$B$4:$B$6,AA$3)*SUMIFS('Data manipulation'!$V$40:$V$43,'Data manipulation'!$X$40:$X$43,$E140,'Data manipulation'!$Y$40:$Y$43,$D140)</f>
        <v>0</v>
      </c>
      <c r="AB140" s="447">
        <f t="shared" si="177"/>
        <v>0</v>
      </c>
      <c r="AC140" s="252">
        <f t="shared" si="178"/>
        <v>0</v>
      </c>
      <c r="AD140" s="448">
        <f t="shared" si="179"/>
        <v>0</v>
      </c>
      <c r="AU140" s="261"/>
      <c r="AZ140" s="253"/>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60">
        <v>2019</v>
      </c>
      <c r="I141" s="251">
        <f t="shared" si="232"/>
        <v>0</v>
      </c>
      <c r="J141" s="251">
        <f t="shared" si="233"/>
        <v>0</v>
      </c>
      <c r="K141" s="251">
        <f t="shared" si="234"/>
        <v>0</v>
      </c>
      <c r="L141" s="466">
        <v>1</v>
      </c>
      <c r="M141" s="466">
        <v>1</v>
      </c>
      <c r="N141" s="466">
        <v>1</v>
      </c>
      <c r="O141" s="244">
        <f t="shared" si="219"/>
        <v>3.1536000000000002E-2</v>
      </c>
      <c r="P141" s="462">
        <v>0.15</v>
      </c>
      <c r="Q141" s="246">
        <v>20</v>
      </c>
      <c r="R141" s="227">
        <v>1.05</v>
      </c>
      <c r="T141" s="269">
        <f t="shared" si="213"/>
        <v>0</v>
      </c>
      <c r="U141" s="269"/>
      <c r="W141" s="255" t="s">
        <v>189</v>
      </c>
      <c r="X141" s="247">
        <v>2019</v>
      </c>
      <c r="Y141" s="436">
        <f>_xlfn.IFNA(INDEX('Data manipulation'!$C$23:$O$40,MATCH($V141,'Data manipulation'!$B$23:$B$40,0),MATCH($X141,'Data manipulation'!$C$22:$O$22,0))/1000,0)*SUMIFS('Regional split'!$F$4:$F$6,'Regional split'!$B$4:$B$6,Y$3)*SUMIFS('Data manipulation'!$V$40:$V$43,'Data manipulation'!$X$40:$X$43,$E141,'Data manipulation'!$Y$40:$Y$43,$D141)</f>
        <v>0</v>
      </c>
      <c r="Z141" s="271">
        <f>_xlfn.IFNA(INDEX('Data manipulation'!$C$23:$O$40,MATCH($V141,'Data manipulation'!$B$23:$B$40,0),MATCH($X141,'Data manipulation'!$C$22:$O$22,0))/1000,0)*SUMIFS('Regional split'!$F$4:$F$6,'Regional split'!$B$4:$B$6,Z$3)*SUMIFS('Data manipulation'!$V$40:$V$43,'Data manipulation'!$X$40:$X$43,$E141,'Data manipulation'!$Y$40:$Y$43,$D141)</f>
        <v>0</v>
      </c>
      <c r="AA141" s="458">
        <f>_xlfn.IFNA(INDEX('Data manipulation'!$C$23:$O$40,MATCH($V141,'Data manipulation'!$B$23:$B$40,0),MATCH($X141,'Data manipulation'!$C$22:$O$22,0))/1000,0)*SUMIFS('Regional split'!$F$4:$F$6,'Regional split'!$B$4:$B$6,AA$3)*SUMIFS('Data manipulation'!$V$40:$V$43,'Data manipulation'!$X$40:$X$43,$E141,'Data manipulation'!$Y$40:$Y$43,$D141)</f>
        <v>0</v>
      </c>
      <c r="AB141" s="447">
        <f t="shared" si="177"/>
        <v>0</v>
      </c>
      <c r="AC141" s="252">
        <f t="shared" si="178"/>
        <v>0</v>
      </c>
      <c r="AD141" s="448">
        <f t="shared" si="179"/>
        <v>0</v>
      </c>
      <c r="AU141" s="261"/>
      <c r="AZ141" s="253"/>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60">
        <v>2019</v>
      </c>
      <c r="I142" s="251">
        <f t="shared" si="232"/>
        <v>0</v>
      </c>
      <c r="J142" s="251">
        <f t="shared" si="233"/>
        <v>0</v>
      </c>
      <c r="K142" s="251">
        <f t="shared" si="234"/>
        <v>0</v>
      </c>
      <c r="L142" s="466">
        <v>1</v>
      </c>
      <c r="M142" s="466">
        <v>1</v>
      </c>
      <c r="N142" s="466">
        <v>1</v>
      </c>
      <c r="O142" s="244">
        <f t="shared" si="219"/>
        <v>3.1536000000000002E-2</v>
      </c>
      <c r="P142" s="462">
        <v>0.15</v>
      </c>
      <c r="Q142" s="246">
        <v>30</v>
      </c>
      <c r="R142" s="227">
        <v>1.05</v>
      </c>
      <c r="T142" s="269">
        <f t="shared" si="213"/>
        <v>0</v>
      </c>
      <c r="U142" s="269"/>
      <c r="V142" s="227" t="str">
        <f>V132</f>
        <v>Electricity</v>
      </c>
      <c r="W142" s="255" t="s">
        <v>190</v>
      </c>
      <c r="X142" s="247">
        <v>2019</v>
      </c>
      <c r="Y142" s="436">
        <f>_xlfn.IFNA(INDEX('Data manipulation'!$C$23:$O$40,MATCH($V142,'Data manipulation'!$B$23:$B$40,0),MATCH($X142,'Data manipulation'!$C$22:$O$22,0))/1000,0)*SUMIFS('Regional split'!$F$4:$F$6,'Regional split'!$B$4:$B$6,Y$3)*SUMIFS('Data manipulation'!$V$40:$V$43,'Data manipulation'!$X$40:$X$43,$E142,'Data manipulation'!$Y$40:$Y$43,$D142)</f>
        <v>0</v>
      </c>
      <c r="Z142" s="271">
        <f>_xlfn.IFNA(INDEX('Data manipulation'!$C$23:$O$40,MATCH($V142,'Data manipulation'!$B$23:$B$40,0),MATCH($X142,'Data manipulation'!$C$22:$O$22,0))/1000,0)*SUMIFS('Regional split'!$F$4:$F$6,'Regional split'!$B$4:$B$6,Z$3)*SUMIFS('Data manipulation'!$V$40:$V$43,'Data manipulation'!$X$40:$X$43,$E142,'Data manipulation'!$Y$40:$Y$43,$D142)</f>
        <v>0</v>
      </c>
      <c r="AA142" s="458">
        <f>_xlfn.IFNA(INDEX('Data manipulation'!$C$23:$O$40,MATCH($V142,'Data manipulation'!$B$23:$B$40,0),MATCH($X142,'Data manipulation'!$C$22:$O$22,0))/1000,0)*SUMIFS('Regional split'!$F$4:$F$6,'Regional split'!$B$4:$B$6,AA$3)*SUMIFS('Data manipulation'!$V$40:$V$43,'Data manipulation'!$X$40:$X$43,$E142,'Data manipulation'!$Y$40:$Y$43,$D142)</f>
        <v>0</v>
      </c>
      <c r="AB142" s="447">
        <f t="shared" si="177"/>
        <v>0</v>
      </c>
      <c r="AC142" s="252">
        <f t="shared" si="178"/>
        <v>0</v>
      </c>
      <c r="AD142" s="448">
        <f t="shared" si="179"/>
        <v>0</v>
      </c>
      <c r="AU142" s="261"/>
      <c r="AZ142" s="253"/>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60">
        <v>2019</v>
      </c>
      <c r="I143" s="251">
        <f t="shared" si="232"/>
        <v>0</v>
      </c>
      <c r="J143" s="251">
        <f t="shared" si="233"/>
        <v>0</v>
      </c>
      <c r="K143" s="251">
        <f t="shared" si="234"/>
        <v>0</v>
      </c>
      <c r="L143" s="466">
        <v>2.3149999999999999</v>
      </c>
      <c r="M143" s="466">
        <v>2.3149999999999999</v>
      </c>
      <c r="N143" s="466">
        <v>2.3149999999999999</v>
      </c>
      <c r="O143" s="244">
        <f t="shared" si="219"/>
        <v>3.1536000000000002E-2</v>
      </c>
      <c r="P143" s="462">
        <v>0.15</v>
      </c>
      <c r="Q143" s="246">
        <v>30</v>
      </c>
      <c r="R143" s="227">
        <v>1.05</v>
      </c>
      <c r="T143" s="269">
        <f t="shared" si="213"/>
        <v>0</v>
      </c>
      <c r="U143" s="269"/>
      <c r="W143" s="255" t="s">
        <v>191</v>
      </c>
      <c r="X143" s="247">
        <v>2019</v>
      </c>
      <c r="Y143" s="436">
        <f>_xlfn.IFNA(INDEX('Data manipulation'!$C$23:$O$40,MATCH($V143,'Data manipulation'!$B$23:$B$40,0),MATCH($X143,'Data manipulation'!$C$22:$O$22,0))/1000,0)*SUMIFS('Regional split'!$F$4:$F$6,'Regional split'!$B$4:$B$6,Y$3)*SUMIFS('Data manipulation'!$V$40:$V$43,'Data manipulation'!$X$40:$X$43,$E143,'Data manipulation'!$Y$40:$Y$43,$D143)</f>
        <v>0</v>
      </c>
      <c r="Z143" s="271">
        <f>_xlfn.IFNA(INDEX('Data manipulation'!$C$23:$O$40,MATCH($V143,'Data manipulation'!$B$23:$B$40,0),MATCH($X143,'Data manipulation'!$C$22:$O$22,0))/1000,0)*SUMIFS('Regional split'!$F$4:$F$6,'Regional split'!$B$4:$B$6,Z$3)*SUMIFS('Data manipulation'!$V$40:$V$43,'Data manipulation'!$X$40:$X$43,$E143,'Data manipulation'!$Y$40:$Y$43,$D143)</f>
        <v>0</v>
      </c>
      <c r="AA143" s="458">
        <f>_xlfn.IFNA(INDEX('Data manipulation'!$C$23:$O$40,MATCH($V143,'Data manipulation'!$B$23:$B$40,0),MATCH($X143,'Data manipulation'!$C$22:$O$22,0))/1000,0)*SUMIFS('Regional split'!$F$4:$F$6,'Regional split'!$B$4:$B$6,AA$3)*SUMIFS('Data manipulation'!$V$40:$V$43,'Data manipulation'!$X$40:$X$43,$E143,'Data manipulation'!$Y$40:$Y$43,$D143)</f>
        <v>0</v>
      </c>
      <c r="AB143" s="447">
        <f t="shared" si="177"/>
        <v>0</v>
      </c>
      <c r="AC143" s="252">
        <f t="shared" si="178"/>
        <v>0</v>
      </c>
      <c r="AD143" s="448">
        <f t="shared" si="179"/>
        <v>0</v>
      </c>
      <c r="AU143" s="261"/>
      <c r="AZ143" s="253"/>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2">
        <v>2019</v>
      </c>
      <c r="I144" s="583">
        <v>0</v>
      </c>
      <c r="J144" s="583">
        <v>0</v>
      </c>
      <c r="K144" s="583">
        <v>0</v>
      </c>
      <c r="L144" s="466">
        <v>0.98</v>
      </c>
      <c r="M144" s="466">
        <v>0.98</v>
      </c>
      <c r="N144" s="466">
        <v>0.98</v>
      </c>
      <c r="O144" s="244">
        <f t="shared" si="219"/>
        <v>3.1536000000000002E-2</v>
      </c>
      <c r="P144" s="462">
        <v>0.15</v>
      </c>
      <c r="Q144" s="246">
        <v>30</v>
      </c>
      <c r="R144" s="227">
        <v>1.05</v>
      </c>
      <c r="T144" s="269">
        <f t="shared" si="213"/>
        <v>0</v>
      </c>
      <c r="U144" s="269"/>
      <c r="V144" s="227" t="s">
        <v>220</v>
      </c>
      <c r="W144" s="255" t="s">
        <v>192</v>
      </c>
      <c r="X144" s="247">
        <v>2019</v>
      </c>
      <c r="Y144" s="436">
        <f>_xlfn.IFNA(INDEX('Data manipulation'!$C$23:$O$40,MATCH($V144,'Data manipulation'!$B$23:$B$40,0),MATCH($X144,'Data manipulation'!$C$22:$O$22,0))/1000,0)*SUMIFS('Regional split'!$F$4:$F$6,'Regional split'!$B$4:$B$6,Y$3)*SUMIFS('Data manipulation'!$V$40:$V$43,'Data manipulation'!$X$40:$X$43,$E144,'Data manipulation'!$Y$40:$Y$43,$D144)</f>
        <v>2.1102813278792047</v>
      </c>
      <c r="Z144" s="271">
        <f>_xlfn.IFNA(INDEX('Data manipulation'!$C$23:$O$40,MATCH($V144,'Data manipulation'!$B$23:$B$40,0),MATCH($X144,'Data manipulation'!$C$22:$O$22,0))/1000,0)*SUMIFS('Regional split'!$F$4:$F$6,'Regional split'!$B$4:$B$6,Z$3)*SUMIFS('Data manipulation'!$V$40:$V$43,'Data manipulation'!$X$40:$X$43,$E144,'Data manipulation'!$Y$40:$Y$43,$D144)</f>
        <v>5.3605824122102276E-2</v>
      </c>
      <c r="AA144" s="458">
        <f>_xlfn.IFNA(INDEX('Data manipulation'!$C$23:$O$40,MATCH($V144,'Data manipulation'!$B$23:$B$40,0),MATCH($X144,'Data manipulation'!$C$22:$O$22,0))/1000,0)*SUMIFS('Regional split'!$F$4:$F$6,'Regional split'!$B$4:$B$6,AA$3)*SUMIFS('Data manipulation'!$V$40:$V$43,'Data manipulation'!$X$40:$X$43,$E144,'Data manipulation'!$Y$40:$Y$43,$D144)</f>
        <v>0.16974094799869321</v>
      </c>
      <c r="AB144" s="447">
        <f t="shared" si="177"/>
        <v>2.0680757013216207</v>
      </c>
      <c r="AC144" s="252">
        <f t="shared" si="178"/>
        <v>5.2533707639660226E-2</v>
      </c>
      <c r="AD144" s="448">
        <f t="shared" si="179"/>
        <v>0.16634612903871934</v>
      </c>
      <c r="AU144" s="261"/>
      <c r="AZ144" s="253"/>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2">
        <v>2019</v>
      </c>
      <c r="I145" s="298">
        <f t="shared" ref="I145" si="243">ROUNDUP(AB145/($O145*$P145)*$R145,1)</f>
        <v>8.5</v>
      </c>
      <c r="J145" s="298">
        <f t="shared" ref="J145" si="244">ROUNDUP(AC145/($O145*$P145)*$R145,1)</f>
        <v>0.30000000000000004</v>
      </c>
      <c r="K145" s="298">
        <f t="shared" ref="K145" si="245">ROUNDUP(AD145/($O145*$P145)*$R145,1)</f>
        <v>0.7</v>
      </c>
      <c r="L145" s="466">
        <v>0.98</v>
      </c>
      <c r="M145" s="466">
        <v>0.98</v>
      </c>
      <c r="N145" s="466">
        <v>0.98</v>
      </c>
      <c r="O145" s="244">
        <f t="shared" si="219"/>
        <v>3.1536000000000002E-2</v>
      </c>
      <c r="P145" s="462">
        <v>0.15</v>
      </c>
      <c r="Q145" s="246">
        <v>30</v>
      </c>
      <c r="R145" s="227">
        <v>1.05</v>
      </c>
      <c r="T145" s="269">
        <f t="shared" si="213"/>
        <v>4.585591836734694E-2</v>
      </c>
      <c r="U145" s="269"/>
      <c r="V145" s="227" t="s">
        <v>210</v>
      </c>
      <c r="W145" s="429" t="s">
        <v>769</v>
      </c>
      <c r="X145" s="247">
        <v>2019</v>
      </c>
      <c r="Y145" s="437">
        <f>_xlfn.IFNA(INDEX('Data manipulation'!$C$23:$O$40,MATCH($V145,'Data manipulation'!$B$23:$B$40,0),MATCH($X145,'Data manipulation'!$C$22:$O$22,0))/1000,0)*SUMIFS('Regional split'!$F$4:$F$6,'Regional split'!$B$4:$B$6,Y$3)*SUMIFS('Data manipulation'!$V$40:$V$43,'Data manipulation'!$X$40:$X$43,$E145,'Data manipulation'!$Y$40:$Y$43,$D145)</f>
        <v>3.8753037719454556E-2</v>
      </c>
      <c r="Z145" s="434">
        <f>_xlfn.IFNA(INDEX('Data manipulation'!$C$23:$O$40,MATCH($V145,'Data manipulation'!$B$23:$B$40,0),MATCH($X145,'Data manipulation'!$C$22:$O$22,0))/1000,0)*SUMIFS('Regional split'!$F$4:$F$6,'Regional split'!$B$4:$B$6,Z$3)*SUMIFS('Data manipulation'!$V$40:$V$43,'Data manipulation'!$X$40:$X$43,$E145,'Data manipulation'!$Y$40:$Y$43,$D145)</f>
        <v>9.8441307172727295E-4</v>
      </c>
      <c r="AA145" s="459">
        <f>_xlfn.IFNA(INDEX('Data manipulation'!$C$23:$O$40,MATCH($V145,'Data manipulation'!$B$23:$B$40,0),MATCH($X145,'Data manipulation'!$C$22:$O$22,0))/1000,0)*SUMIFS('Regional split'!$F$4:$F$6,'Regional split'!$B$4:$B$6,AA$3)*SUMIFS('Data manipulation'!$V$40:$V$43,'Data manipulation'!$X$40:$X$43,$E145,'Data manipulation'!$Y$40:$Y$43,$D145)</f>
        <v>3.1171092088181826E-3</v>
      </c>
      <c r="AB145" s="449">
        <f t="shared" si="177"/>
        <v>3.7977976965065462E-2</v>
      </c>
      <c r="AC145" s="435">
        <f t="shared" si="178"/>
        <v>9.6472481029272748E-4</v>
      </c>
      <c r="AD145" s="456">
        <f t="shared" si="179"/>
        <v>3.0547670246418189E-3</v>
      </c>
      <c r="AU145" s="261"/>
      <c r="AZ145" s="253"/>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1">
        <f>ROUNDUP(AB146/($O146*$P146)*$R146,1)</f>
        <v>3460.2</v>
      </c>
      <c r="J146" s="251">
        <f>ROUNDUP(AC146/($O146*$P146)*$R146,1)</f>
        <v>87.899999999999991</v>
      </c>
      <c r="K146" s="251">
        <f>ROUNDUP(AD146/($O146*$P146)*$R146,1)</f>
        <v>278.40000000000003</v>
      </c>
      <c r="L146" s="466">
        <v>0.72</v>
      </c>
      <c r="M146" s="466">
        <v>0.72</v>
      </c>
      <c r="N146" s="466">
        <v>0.72</v>
      </c>
      <c r="O146" s="244">
        <f>31.536/1000</f>
        <v>3.1536000000000002E-2</v>
      </c>
      <c r="P146" s="462">
        <v>0.15</v>
      </c>
      <c r="Q146" s="246">
        <v>22</v>
      </c>
      <c r="R146" s="227">
        <v>1.05</v>
      </c>
      <c r="T146" s="269">
        <f t="shared" si="213"/>
        <v>25.140104999999998</v>
      </c>
      <c r="U146" s="269"/>
      <c r="V146" s="227" t="s">
        <v>80</v>
      </c>
      <c r="W146" s="247" t="s">
        <v>187</v>
      </c>
      <c r="X146" s="247">
        <v>2019</v>
      </c>
      <c r="Y146" s="436">
        <f>_xlfn.IFNA(INDEX('Data manipulation'!$C$23:$O$40,MATCH($V146,'Data manipulation'!$B$23:$B$40,0),MATCH($X146,'Data manipulation'!$C$22:$O$22,0))/1000,0)*SUMIFS('Regional split'!$F$4:$F$6,'Regional split'!$B$4:$B$6,Y$3)*SUMIFS('Data manipulation'!$V$40:$V$43,'Data manipulation'!$X$40:$X$43,$E146,'Data manipulation'!$Y$40:$Y$43,$D146)</f>
        <v>21.650864790177</v>
      </c>
      <c r="Z146" s="271">
        <f>_xlfn.IFNA(INDEX('Data manipulation'!$C$23:$O$40,MATCH($V146,'Data manipulation'!$B$23:$B$40,0),MATCH($X146,'Data manipulation'!$C$22:$O$22,0))/1000,0)*SUMIFS('Regional split'!$F$4:$F$6,'Regional split'!$B$4:$B$6,Z$3)*SUMIFS('Data manipulation'!$V$40:$V$43,'Data manipulation'!$X$40:$X$43,$E146,'Data manipulation'!$Y$40:$Y$43,$D146)</f>
        <v>0.54997996461450005</v>
      </c>
      <c r="AA146" s="458">
        <f>_xlfn.IFNA(INDEX('Data manipulation'!$C$23:$O$40,MATCH($V146,'Data manipulation'!$B$23:$B$40,0),MATCH($X146,'Data manipulation'!$C$22:$O$22,0))/1000,0)*SUMIFS('Regional split'!$F$4:$F$6,'Regional split'!$B$4:$B$6,AA$3)*SUMIFS('Data manipulation'!$V$40:$V$43,'Data manipulation'!$X$40:$X$43,$E146,'Data manipulation'!$Y$40:$Y$43,$D146)</f>
        <v>1.7414921252085001</v>
      </c>
      <c r="AB146" s="447">
        <f t="shared" ref="AB146:AB165" si="247">Y146*L146</f>
        <v>15.588622648927439</v>
      </c>
      <c r="AC146" s="252">
        <f t="shared" ref="AC146:AC165" si="248">Z146*M146</f>
        <v>0.39598557452244004</v>
      </c>
      <c r="AD146" s="448">
        <f t="shared" ref="AD146:AD165" si="249">AA146*N146</f>
        <v>1.2538743301501201</v>
      </c>
      <c r="AE146" s="263"/>
      <c r="AU146" s="261"/>
      <c r="AZ146" s="253"/>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1">
        <f t="shared" ref="I147:I153" si="251">ROUNDUP(AB147/($O147*$P147)*$R147,1)</f>
        <v>0.2</v>
      </c>
      <c r="J147" s="251">
        <f t="shared" ref="J147:J153" si="252">ROUNDUP(AC147/($O147*$P147)*$R147,1)</f>
        <v>0.1</v>
      </c>
      <c r="K147" s="251">
        <f t="shared" ref="K147:K153" si="253">ROUNDUP(AD147/($O147*$P147)*$R147,1)</f>
        <v>0.1</v>
      </c>
      <c r="L147" s="466">
        <v>0.71</v>
      </c>
      <c r="M147" s="466">
        <v>0.71</v>
      </c>
      <c r="N147" s="466">
        <v>0.71</v>
      </c>
      <c r="O147" s="244">
        <f>31.536/1000</f>
        <v>3.1536000000000002E-2</v>
      </c>
      <c r="P147" s="462">
        <v>0.15</v>
      </c>
      <c r="Q147" s="246">
        <v>20</v>
      </c>
      <c r="R147" s="227">
        <v>1.05</v>
      </c>
      <c r="T147" s="269">
        <f t="shared" si="213"/>
        <v>2.6650140845070427E-3</v>
      </c>
      <c r="V147" s="227" t="s">
        <v>213</v>
      </c>
      <c r="W147" s="255" t="s">
        <v>728</v>
      </c>
      <c r="X147" s="247">
        <v>2019</v>
      </c>
      <c r="Y147" s="436">
        <f>_xlfn.IFNA(INDEX('Data manipulation'!$C$23:$O$40,MATCH($V147,'Data manipulation'!$B$23:$B$40,0),MATCH($X147,'Data manipulation'!$C$22:$O$22,0))/1000,0)*SUMIFS('Regional split'!$F$4:$F$6,'Regional split'!$B$4:$B$6,Y$3)*SUMIFS('Data manipulation'!$V$40:$V$43,'Data manipulation'!$X$40:$X$43,$E147,'Data manipulation'!$Y$40:$Y$43,$D147)</f>
        <v>1.02655233E-3</v>
      </c>
      <c r="Z147" s="271">
        <f>_xlfn.IFNA(INDEX('Data manipulation'!$C$23:$O$40,MATCH($V147,'Data manipulation'!$B$23:$B$40,0),MATCH($X147,'Data manipulation'!$C$22:$O$22,0))/1000,0)*SUMIFS('Regional split'!$F$4:$F$6,'Regional split'!$B$4:$B$6,Z$3)*SUMIFS('Data manipulation'!$V$40:$V$43,'Data manipulation'!$X$40:$X$43,$E147,'Data manipulation'!$Y$40:$Y$43,$D147)</f>
        <v>2.6076705000000004E-5</v>
      </c>
      <c r="AA147" s="458">
        <f>_xlfn.IFNA(INDEX('Data manipulation'!$C$23:$O$40,MATCH($V147,'Data manipulation'!$B$23:$B$40,0),MATCH($X147,'Data manipulation'!$C$22:$O$22,0))/1000,0)*SUMIFS('Regional split'!$F$4:$F$6,'Regional split'!$B$4:$B$6,AA$3)*SUMIFS('Data manipulation'!$V$40:$V$43,'Data manipulation'!$X$40:$X$43,$E147,'Data manipulation'!$Y$40:$Y$43,$D147)</f>
        <v>8.2570964999999997E-5</v>
      </c>
      <c r="AB147" s="447">
        <f t="shared" si="247"/>
        <v>7.2885215429999996E-4</v>
      </c>
      <c r="AC147" s="252">
        <f t="shared" si="248"/>
        <v>1.8514460550000001E-5</v>
      </c>
      <c r="AD147" s="448">
        <f t="shared" si="249"/>
        <v>5.8625385149999996E-5</v>
      </c>
      <c r="AE147" s="263"/>
      <c r="AU147" s="261"/>
      <c r="AZ147" s="253"/>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1">
        <f t="shared" si="251"/>
        <v>10.5</v>
      </c>
      <c r="J148" s="251">
        <f t="shared" si="252"/>
        <v>0.30000000000000004</v>
      </c>
      <c r="K148" s="251">
        <f t="shared" si="253"/>
        <v>0.9</v>
      </c>
      <c r="L148" s="466">
        <v>0.61</v>
      </c>
      <c r="M148" s="466">
        <v>0.61</v>
      </c>
      <c r="N148" s="466">
        <v>0.61</v>
      </c>
      <c r="O148" s="244">
        <f t="shared" ref="O148:O165" si="255">31.536/1000</f>
        <v>3.1536000000000002E-2</v>
      </c>
      <c r="P148" s="462">
        <v>0.15</v>
      </c>
      <c r="Q148" s="246">
        <v>20</v>
      </c>
      <c r="R148" s="227">
        <v>1.05</v>
      </c>
      <c r="T148" s="269">
        <f t="shared" si="213"/>
        <v>9.0730622950819684E-2</v>
      </c>
      <c r="U148" s="269"/>
      <c r="V148" s="227" t="s">
        <v>214</v>
      </c>
      <c r="W148" s="255" t="s">
        <v>728</v>
      </c>
      <c r="X148" s="247">
        <v>2019</v>
      </c>
      <c r="Y148" s="436">
        <f>_xlfn.IFNA(INDEX('Data manipulation'!$C$23:$O$40,MATCH($V148,'Data manipulation'!$B$23:$B$40,0),MATCH($X148,'Data manipulation'!$C$22:$O$22,0))/1000,0)*SUMIFS('Regional split'!$F$4:$F$6,'Regional split'!$B$4:$B$6,Y$3)*SUMIFS('Data manipulation'!$V$40:$V$43,'Data manipulation'!$X$40:$X$43,$E148,'Data manipulation'!$Y$40:$Y$43,$D148)</f>
        <v>7.7397271019999991E-2</v>
      </c>
      <c r="Z148" s="271">
        <f>_xlfn.IFNA(INDEX('Data manipulation'!$C$23:$O$40,MATCH($V148,'Data manipulation'!$B$23:$B$40,0),MATCH($X148,'Data manipulation'!$C$22:$O$22,0))/1000,0)*SUMIFS('Regional split'!$F$4:$F$6,'Regional split'!$B$4:$B$6,Z$3)*SUMIFS('Data manipulation'!$V$40:$V$43,'Data manipulation'!$X$40:$X$43,$E148,'Data manipulation'!$Y$40:$Y$43,$D148)</f>
        <v>1.9660622700000004E-3</v>
      </c>
      <c r="AA148" s="458">
        <f>_xlfn.IFNA(INDEX('Data manipulation'!$C$23:$O$40,MATCH($V148,'Data manipulation'!$B$23:$B$40,0),MATCH($X148,'Data manipulation'!$C$22:$O$22,0))/1000,0)*SUMIFS('Regional split'!$F$4:$F$6,'Regional split'!$B$4:$B$6,AA$3)*SUMIFS('Data manipulation'!$V$40:$V$43,'Data manipulation'!$X$40:$X$43,$E148,'Data manipulation'!$Y$40:$Y$43,$D148)</f>
        <v>6.2254667100000004E-3</v>
      </c>
      <c r="AB148" s="447">
        <f t="shared" si="247"/>
        <v>4.7212335322199997E-2</v>
      </c>
      <c r="AC148" s="252">
        <f t="shared" si="248"/>
        <v>1.1992979847000001E-3</v>
      </c>
      <c r="AD148" s="448">
        <f t="shared" si="249"/>
        <v>3.7975346931000001E-3</v>
      </c>
      <c r="AE148" s="263"/>
      <c r="AU148" s="261"/>
      <c r="AZ148" s="253"/>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1">
        <f t="shared" si="251"/>
        <v>14.299999999999999</v>
      </c>
      <c r="J149" s="251">
        <f t="shared" si="252"/>
        <v>0.4</v>
      </c>
      <c r="K149" s="251">
        <f t="shared" si="253"/>
        <v>1.2000000000000002</v>
      </c>
      <c r="L149" s="466">
        <v>0.65000022993955098</v>
      </c>
      <c r="M149" s="466">
        <v>0.65000022993955098</v>
      </c>
      <c r="N149" s="466">
        <v>0.65000022993955098</v>
      </c>
      <c r="O149" s="244">
        <f t="shared" si="255"/>
        <v>3.1536000000000002E-2</v>
      </c>
      <c r="P149" s="462">
        <v>0.15</v>
      </c>
      <c r="Q149" s="246">
        <v>20</v>
      </c>
      <c r="R149" s="227">
        <v>1.05</v>
      </c>
      <c r="T149" s="269">
        <f t="shared" si="213"/>
        <v>0.11571282060468613</v>
      </c>
      <c r="U149" s="269"/>
      <c r="V149" s="227" t="s">
        <v>221</v>
      </c>
      <c r="W149" s="255" t="s">
        <v>197</v>
      </c>
      <c r="X149" s="247">
        <v>2019</v>
      </c>
      <c r="Y149" s="436">
        <f>_xlfn.IFNA(INDEX('Data manipulation'!$C$23:$O$40,MATCH($V149,'Data manipulation'!$B$23:$B$40,0),MATCH($X149,'Data manipulation'!$C$22:$O$22,0))/1000,0)*SUMIFS('Regional split'!$F$4:$F$6,'Regional split'!$B$4:$B$6,Y$3)*SUMIFS('Data manipulation'!$V$40:$V$43,'Data manipulation'!$X$40:$X$43,$E149,'Data manipulation'!$Y$40:$Y$43,$D149)</f>
        <v>9.8835503399999997E-2</v>
      </c>
      <c r="Z149" s="271">
        <f>_xlfn.IFNA(INDEX('Data manipulation'!$C$23:$O$40,MATCH($V149,'Data manipulation'!$B$23:$B$40,0),MATCH($X149,'Data manipulation'!$C$22:$O$22,0))/1000,0)*SUMIFS('Regional split'!$F$4:$F$6,'Regional split'!$B$4:$B$6,Z$3)*SUMIFS('Data manipulation'!$V$40:$V$43,'Data manipulation'!$X$40:$X$43,$E149,'Data manipulation'!$Y$40:$Y$43,$D149)</f>
        <v>2.5106409000000005E-3</v>
      </c>
      <c r="AA149" s="458">
        <f>_xlfn.IFNA(INDEX('Data manipulation'!$C$23:$O$40,MATCH($V149,'Data manipulation'!$B$23:$B$40,0),MATCH($X149,'Data manipulation'!$C$22:$O$22,0))/1000,0)*SUMIFS('Regional split'!$F$4:$F$6,'Regional split'!$B$4:$B$6,AA$3)*SUMIFS('Data manipulation'!$V$40:$V$43,'Data manipulation'!$X$40:$X$43,$E149,'Data manipulation'!$Y$40:$Y$43,$D149)</f>
        <v>7.9498556999999994E-3</v>
      </c>
      <c r="AB149" s="447">
        <f t="shared" si="247"/>
        <v>6.4243099936191275E-2</v>
      </c>
      <c r="AC149" s="252">
        <f t="shared" si="248"/>
        <v>1.6319171622956414E-3</v>
      </c>
      <c r="AD149" s="448">
        <f t="shared" si="249"/>
        <v>5.1674080329862492E-3</v>
      </c>
      <c r="AE149" s="263"/>
      <c r="AU149" s="261"/>
      <c r="AZ149" s="253"/>
    </row>
    <row r="150" spans="2:52" ht="15" customHeight="1">
      <c r="B150" s="233" t="str">
        <f t="shared" ref="B150:G150" si="257">B110</f>
        <v>RHTUMSTRE1</v>
      </c>
      <c r="C150" s="233" t="str">
        <f t="shared" si="257"/>
        <v>Residential Heating Technology Urban Multi - Straw - Existing 1</v>
      </c>
      <c r="D150" s="233" t="str">
        <f t="shared" si="257"/>
        <v>Urban</v>
      </c>
      <c r="E150" s="233" t="str">
        <f t="shared" si="257"/>
        <v>Multi storey</v>
      </c>
      <c r="F150" s="233" t="str">
        <f t="shared" si="257"/>
        <v>RESSTR</v>
      </c>
      <c r="G150" s="233" t="str">
        <f t="shared" si="257"/>
        <v>RESHUMB</v>
      </c>
      <c r="H150" s="230">
        <v>2019</v>
      </c>
      <c r="I150" s="251">
        <f t="shared" si="251"/>
        <v>0</v>
      </c>
      <c r="J150" s="251">
        <f t="shared" si="252"/>
        <v>0</v>
      </c>
      <c r="K150" s="251">
        <f t="shared" si="253"/>
        <v>0</v>
      </c>
      <c r="L150" s="466">
        <v>0.61</v>
      </c>
      <c r="M150" s="466">
        <v>0.61</v>
      </c>
      <c r="N150" s="466">
        <v>0.61</v>
      </c>
      <c r="O150" s="244">
        <f t="shared" si="255"/>
        <v>3.1536000000000002E-2</v>
      </c>
      <c r="P150" s="462">
        <v>0.15</v>
      </c>
      <c r="Q150" s="246">
        <v>20</v>
      </c>
      <c r="R150" s="227">
        <v>1.05</v>
      </c>
      <c r="T150" s="269">
        <f t="shared" si="213"/>
        <v>0</v>
      </c>
      <c r="U150" s="269"/>
      <c r="W150" s="255" t="s">
        <v>188</v>
      </c>
      <c r="X150" s="247">
        <v>2019</v>
      </c>
      <c r="Y150" s="436">
        <f>_xlfn.IFNA(INDEX('Data manipulation'!$C$23:$O$40,MATCH($V150,'Data manipulation'!$B$23:$B$40,0),MATCH($X150,'Data manipulation'!$C$22:$O$22,0))/1000,0)*SUMIFS('Regional split'!$F$4:$F$6,'Regional split'!$B$4:$B$6,Y$3)*SUMIFS('Data manipulation'!$V$40:$V$43,'Data manipulation'!$X$40:$X$43,$E150,'Data manipulation'!$Y$40:$Y$43,$D150)</f>
        <v>0</v>
      </c>
      <c r="Z150" s="271">
        <f>_xlfn.IFNA(INDEX('Data manipulation'!$C$23:$O$40,MATCH($V150,'Data manipulation'!$B$23:$B$40,0),MATCH($X150,'Data manipulation'!$C$22:$O$22,0))/1000,0)*SUMIFS('Regional split'!$F$4:$F$6,'Regional split'!$B$4:$B$6,Z$3)*SUMIFS('Data manipulation'!$V$40:$V$43,'Data manipulation'!$X$40:$X$43,$E150,'Data manipulation'!$Y$40:$Y$43,$D150)</f>
        <v>0</v>
      </c>
      <c r="AA150" s="458">
        <f>_xlfn.IFNA(INDEX('Data manipulation'!$C$23:$O$40,MATCH($V150,'Data manipulation'!$B$23:$B$40,0),MATCH($X150,'Data manipulation'!$C$22:$O$22,0))/1000,0)*SUMIFS('Regional split'!$F$4:$F$6,'Regional split'!$B$4:$B$6,AA$3)*SUMIFS('Data manipulation'!$V$40:$V$43,'Data manipulation'!$X$40:$X$43,$E150,'Data manipulation'!$Y$40:$Y$43,$D150)</f>
        <v>0</v>
      </c>
      <c r="AB150" s="447">
        <f t="shared" si="247"/>
        <v>0</v>
      </c>
      <c r="AC150" s="252">
        <f t="shared" si="248"/>
        <v>0</v>
      </c>
      <c r="AD150" s="448">
        <f t="shared" si="249"/>
        <v>0</v>
      </c>
      <c r="AE150" s="263"/>
      <c r="AU150" s="261"/>
      <c r="AZ150" s="253"/>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1">
        <f t="shared" si="251"/>
        <v>0</v>
      </c>
      <c r="J151" s="251">
        <f t="shared" si="252"/>
        <v>0</v>
      </c>
      <c r="K151" s="251">
        <f t="shared" si="253"/>
        <v>0</v>
      </c>
      <c r="L151" s="466">
        <v>1</v>
      </c>
      <c r="M151" s="466">
        <v>1</v>
      </c>
      <c r="N151" s="466">
        <v>1</v>
      </c>
      <c r="O151" s="244">
        <f t="shared" si="255"/>
        <v>3.1536000000000002E-2</v>
      </c>
      <c r="P151" s="462">
        <v>0.15</v>
      </c>
      <c r="Q151" s="246">
        <v>20</v>
      </c>
      <c r="R151" s="227">
        <v>1.05</v>
      </c>
      <c r="T151" s="269">
        <f t="shared" si="213"/>
        <v>0</v>
      </c>
      <c r="U151" s="269"/>
      <c r="W151" s="255" t="s">
        <v>189</v>
      </c>
      <c r="X151" s="247">
        <v>2019</v>
      </c>
      <c r="Y151" s="436">
        <f>_xlfn.IFNA(INDEX('Data manipulation'!$C$23:$O$40,MATCH($V151,'Data manipulation'!$B$23:$B$40,0),MATCH($X151,'Data manipulation'!$C$22:$O$22,0))/1000,0)*SUMIFS('Regional split'!$F$4:$F$6,'Regional split'!$B$4:$B$6,Y$3)*SUMIFS('Data manipulation'!$V$40:$V$43,'Data manipulation'!$X$40:$X$43,$E151,'Data manipulation'!$Y$40:$Y$43,$D151)</f>
        <v>0</v>
      </c>
      <c r="Z151" s="271">
        <f>_xlfn.IFNA(INDEX('Data manipulation'!$C$23:$O$40,MATCH($V151,'Data manipulation'!$B$23:$B$40,0),MATCH($X151,'Data manipulation'!$C$22:$O$22,0))/1000,0)*SUMIFS('Regional split'!$F$4:$F$6,'Regional split'!$B$4:$B$6,Z$3)*SUMIFS('Data manipulation'!$V$40:$V$43,'Data manipulation'!$X$40:$X$43,$E151,'Data manipulation'!$Y$40:$Y$43,$D151)</f>
        <v>0</v>
      </c>
      <c r="AA151" s="458">
        <f>_xlfn.IFNA(INDEX('Data manipulation'!$C$23:$O$40,MATCH($V151,'Data manipulation'!$B$23:$B$40,0),MATCH($X151,'Data manipulation'!$C$22:$O$22,0))/1000,0)*SUMIFS('Regional split'!$F$4:$F$6,'Regional split'!$B$4:$B$6,AA$3)*SUMIFS('Data manipulation'!$V$40:$V$43,'Data manipulation'!$X$40:$X$43,$E151,'Data manipulation'!$Y$40:$Y$43,$D151)</f>
        <v>0</v>
      </c>
      <c r="AB151" s="447">
        <f t="shared" si="247"/>
        <v>0</v>
      </c>
      <c r="AC151" s="252">
        <f t="shared" si="248"/>
        <v>0</v>
      </c>
      <c r="AD151" s="448">
        <f t="shared" si="249"/>
        <v>0</v>
      </c>
      <c r="AE151" s="263"/>
      <c r="AU151" s="261"/>
      <c r="AZ151" s="253"/>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1">
        <f t="shared" si="251"/>
        <v>0</v>
      </c>
      <c r="J152" s="251">
        <f t="shared" si="252"/>
        <v>0</v>
      </c>
      <c r="K152" s="251">
        <f t="shared" si="253"/>
        <v>0</v>
      </c>
      <c r="L152" s="466">
        <v>1</v>
      </c>
      <c r="M152" s="466">
        <v>1</v>
      </c>
      <c r="N152" s="466">
        <v>1</v>
      </c>
      <c r="O152" s="244">
        <f t="shared" si="255"/>
        <v>3.1536000000000002E-2</v>
      </c>
      <c r="P152" s="462">
        <v>0.15</v>
      </c>
      <c r="Q152" s="246">
        <v>30</v>
      </c>
      <c r="R152" s="227">
        <v>1.05</v>
      </c>
      <c r="T152" s="269">
        <f t="shared" si="213"/>
        <v>0</v>
      </c>
      <c r="U152" s="269"/>
      <c r="V152" s="227" t="str">
        <f>V122</f>
        <v>Electricity</v>
      </c>
      <c r="W152" s="255" t="s">
        <v>190</v>
      </c>
      <c r="X152" s="247">
        <v>2019</v>
      </c>
      <c r="Y152" s="436">
        <f>_xlfn.IFNA(INDEX('Data manipulation'!$C$23:$O$40,MATCH($V152,'Data manipulation'!$B$23:$B$40,0),MATCH($X152,'Data manipulation'!$C$22:$O$22,0))/1000,0)*SUMIFS('Regional split'!$F$4:$F$6,'Regional split'!$B$4:$B$6,Y$3)*SUMIFS('Data manipulation'!$V$40:$V$43,'Data manipulation'!$X$40:$X$43,$E152,'Data manipulation'!$Y$40:$Y$43,$D152)</f>
        <v>0</v>
      </c>
      <c r="Z152" s="271">
        <f>_xlfn.IFNA(INDEX('Data manipulation'!$C$23:$O$40,MATCH($V152,'Data manipulation'!$B$23:$B$40,0),MATCH($X152,'Data manipulation'!$C$22:$O$22,0))/1000,0)*SUMIFS('Regional split'!$F$4:$F$6,'Regional split'!$B$4:$B$6,Z$3)*SUMIFS('Data manipulation'!$V$40:$V$43,'Data manipulation'!$X$40:$X$43,$E152,'Data manipulation'!$Y$40:$Y$43,$D152)</f>
        <v>0</v>
      </c>
      <c r="AA152" s="458">
        <f>_xlfn.IFNA(INDEX('Data manipulation'!$C$23:$O$40,MATCH($V152,'Data manipulation'!$B$23:$B$40,0),MATCH($X152,'Data manipulation'!$C$22:$O$22,0))/1000,0)*SUMIFS('Regional split'!$F$4:$F$6,'Regional split'!$B$4:$B$6,AA$3)*SUMIFS('Data manipulation'!$V$40:$V$43,'Data manipulation'!$X$40:$X$43,$E152,'Data manipulation'!$Y$40:$Y$43,$D152)</f>
        <v>0</v>
      </c>
      <c r="AB152" s="447">
        <f t="shared" si="247"/>
        <v>0</v>
      </c>
      <c r="AC152" s="252">
        <f t="shared" si="248"/>
        <v>0</v>
      </c>
      <c r="AD152" s="448">
        <f t="shared" si="249"/>
        <v>0</v>
      </c>
      <c r="AU152" s="261"/>
      <c r="AZ152" s="253"/>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1">
        <f t="shared" si="251"/>
        <v>0</v>
      </c>
      <c r="J153" s="251">
        <f t="shared" si="252"/>
        <v>0</v>
      </c>
      <c r="K153" s="251">
        <f t="shared" si="253"/>
        <v>0</v>
      </c>
      <c r="L153" s="466">
        <v>2.3149999999999999</v>
      </c>
      <c r="M153" s="466">
        <v>2.3149999999999999</v>
      </c>
      <c r="N153" s="466">
        <v>2.3149999999999999</v>
      </c>
      <c r="O153" s="244">
        <f t="shared" si="255"/>
        <v>3.1536000000000002E-2</v>
      </c>
      <c r="P153" s="462">
        <v>0.15</v>
      </c>
      <c r="Q153" s="246">
        <v>30</v>
      </c>
      <c r="R153" s="227">
        <v>1.05</v>
      </c>
      <c r="T153" s="269">
        <f t="shared" si="213"/>
        <v>0</v>
      </c>
      <c r="U153" s="269"/>
      <c r="W153" s="255" t="s">
        <v>191</v>
      </c>
      <c r="X153" s="247">
        <v>2019</v>
      </c>
      <c r="Y153" s="436">
        <f>_xlfn.IFNA(INDEX('Data manipulation'!$C$23:$O$40,MATCH($V153,'Data manipulation'!$B$23:$B$40,0),MATCH($X153,'Data manipulation'!$C$22:$O$22,0))/1000,0)*SUMIFS('Regional split'!$F$4:$F$6,'Regional split'!$B$4:$B$6,Y$3)*SUMIFS('Data manipulation'!$V$40:$V$43,'Data manipulation'!$X$40:$X$43,$E153,'Data manipulation'!$Y$40:$Y$43,$D153)</f>
        <v>0</v>
      </c>
      <c r="Z153" s="271">
        <f>_xlfn.IFNA(INDEX('Data manipulation'!$C$23:$O$40,MATCH($V153,'Data manipulation'!$B$23:$B$40,0),MATCH($X153,'Data manipulation'!$C$22:$O$22,0))/1000,0)*SUMIFS('Regional split'!$F$4:$F$6,'Regional split'!$B$4:$B$6,Z$3)*SUMIFS('Data manipulation'!$V$40:$V$43,'Data manipulation'!$X$40:$X$43,$E153,'Data manipulation'!$Y$40:$Y$43,$D153)</f>
        <v>0</v>
      </c>
      <c r="AA153" s="458">
        <f>_xlfn.IFNA(INDEX('Data manipulation'!$C$23:$O$40,MATCH($V153,'Data manipulation'!$B$23:$B$40,0),MATCH($X153,'Data manipulation'!$C$22:$O$22,0))/1000,0)*SUMIFS('Regional split'!$F$4:$F$6,'Regional split'!$B$4:$B$6,AA$3)*SUMIFS('Data manipulation'!$V$40:$V$43,'Data manipulation'!$X$40:$X$43,$E153,'Data manipulation'!$Y$40:$Y$43,$D153)</f>
        <v>0</v>
      </c>
      <c r="AB153" s="447">
        <f t="shared" si="247"/>
        <v>0</v>
      </c>
      <c r="AC153" s="252">
        <f t="shared" si="248"/>
        <v>0</v>
      </c>
      <c r="AD153" s="448">
        <f t="shared" si="249"/>
        <v>0</v>
      </c>
      <c r="AU153" s="261"/>
      <c r="AZ153" s="253"/>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83">
        <f>ROUNDUP(AB154/($O154*$P154)*$I$1,1)+ROUNDUP(AC154/($O154*$P154)*$I$1,1)+ROUNDUP(AD154/($O154*$P154)*$I$1,1)+ROUNDUP(AB164/($O164*$P164)*$I$1,1)+ROUNDUP(AC164/($O164*$P164)*$I$1,1)+ROUNDUP(AD164/($O164*$P164)*$I$1,1)</f>
        <v>304.2</v>
      </c>
      <c r="J154" s="583">
        <v>0</v>
      </c>
      <c r="K154" s="583">
        <v>0</v>
      </c>
      <c r="L154" s="466">
        <v>0.95</v>
      </c>
      <c r="M154" s="466">
        <v>0.95</v>
      </c>
      <c r="N154" s="466">
        <v>0.95</v>
      </c>
      <c r="O154" s="244">
        <f t="shared" si="255"/>
        <v>3.1536000000000002E-2</v>
      </c>
      <c r="P154" s="462">
        <v>0.15</v>
      </c>
      <c r="Q154" s="246">
        <v>30</v>
      </c>
      <c r="R154" s="227">
        <v>1.05</v>
      </c>
      <c r="T154" s="269">
        <f t="shared" si="213"/>
        <v>1.5147238736842108</v>
      </c>
      <c r="U154" s="269"/>
      <c r="V154" s="227" t="s">
        <v>220</v>
      </c>
      <c r="W154" s="255" t="s">
        <v>192</v>
      </c>
      <c r="X154" s="247">
        <v>2019</v>
      </c>
      <c r="Y154" s="436">
        <f>_xlfn.IFNA(INDEX('Data manipulation'!$C$23:$O$40,MATCH($V154,'Data manipulation'!$B$23:$B$40,0),MATCH($X154,'Data manipulation'!$C$22:$O$22,0))/1000,0)*SUMIFS('Regional split'!$F$4:$F$6,'Regional split'!$B$4:$B$6,Y$3)*SUMIFS('Data manipulation'!$V$40:$V$43,'Data manipulation'!$X$40:$X$43,$E154,'Data manipulation'!$Y$40:$Y$43,$D154)</f>
        <v>1.20849082551</v>
      </c>
      <c r="Z154" s="271">
        <f>_xlfn.IFNA(INDEX('Data manipulation'!$C$23:$O$40,MATCH($V154,'Data manipulation'!$B$23:$B$40,0),MATCH($X154,'Data manipulation'!$C$22:$O$22,0))/1000,0)*SUMIFS('Regional split'!$F$4:$F$6,'Regional split'!$B$4:$B$6,Z$3)*SUMIFS('Data manipulation'!$V$40:$V$43,'Data manipulation'!$X$40:$X$43,$E154,'Data manipulation'!$Y$40:$Y$43,$D154)</f>
        <v>3.0698346135000002E-2</v>
      </c>
      <c r="AA154" s="458">
        <f>_xlfn.IFNA(INDEX('Data manipulation'!$C$23:$O$40,MATCH($V154,'Data manipulation'!$B$23:$B$40,0),MATCH($X154,'Data manipulation'!$C$22:$O$22,0))/1000,0)*SUMIFS('Regional split'!$F$4:$F$6,'Regional split'!$B$4:$B$6,AA$3)*SUMIFS('Data manipulation'!$V$40:$V$43,'Data manipulation'!$X$40:$X$43,$E154,'Data manipulation'!$Y$40:$Y$43,$D154)</f>
        <v>9.7205228355000006E-2</v>
      </c>
      <c r="AB154" s="447">
        <f t="shared" si="247"/>
        <v>1.1480662842345</v>
      </c>
      <c r="AC154" s="252">
        <f t="shared" si="248"/>
        <v>2.9163428828250001E-2</v>
      </c>
      <c r="AD154" s="448">
        <f t="shared" si="249"/>
        <v>9.234496693725E-2</v>
      </c>
      <c r="AU154" s="261"/>
      <c r="AZ154" s="253"/>
    </row>
    <row r="155" spans="2:52" ht="15" customHeight="1" thickBot="1">
      <c r="B155" s="256" t="str">
        <f t="shared" ref="B155:G155" si="262">B115</f>
        <v>RHTUMLPGE1</v>
      </c>
      <c r="C155" s="256" t="str">
        <f t="shared" si="262"/>
        <v>Residential Heating Technology Urban Multi - LPG - Existing 1</v>
      </c>
      <c r="D155" s="546" t="str">
        <f t="shared" si="262"/>
        <v>Urban</v>
      </c>
      <c r="E155" s="546" t="str">
        <f t="shared" si="262"/>
        <v>Multi storey</v>
      </c>
      <c r="F155" s="256" t="str">
        <f t="shared" si="262"/>
        <v>RESLPG</v>
      </c>
      <c r="G155" s="256" t="str">
        <f t="shared" si="262"/>
        <v>RESHUMB</v>
      </c>
      <c r="H155" s="424">
        <v>2019</v>
      </c>
      <c r="I155" s="298">
        <f t="shared" ref="I155" si="263">ROUNDUP(AB155/($O155*$P155)*$R155,1)</f>
        <v>4.6999999999999993</v>
      </c>
      <c r="J155" s="298">
        <f t="shared" ref="J155" si="264">ROUNDUP(AC155/($O155*$P155)*$R155,1)</f>
        <v>0.2</v>
      </c>
      <c r="K155" s="298">
        <f t="shared" ref="K155" si="265">ROUNDUP(AD155/($O155*$P155)*$R155,1)</f>
        <v>0.4</v>
      </c>
      <c r="L155" s="467">
        <v>0.95</v>
      </c>
      <c r="M155" s="467">
        <v>0.95</v>
      </c>
      <c r="N155" s="467">
        <v>0.95</v>
      </c>
      <c r="O155" s="258">
        <f t="shared" si="255"/>
        <v>3.1536000000000002E-2</v>
      </c>
      <c r="P155" s="463">
        <v>0.15</v>
      </c>
      <c r="Q155" s="259">
        <v>30</v>
      </c>
      <c r="R155" s="227">
        <v>1.05</v>
      </c>
      <c r="T155" s="269">
        <f t="shared" si="213"/>
        <v>2.6390652631578946E-2</v>
      </c>
      <c r="U155" s="269"/>
      <c r="V155" s="227" t="s">
        <v>210</v>
      </c>
      <c r="W155" s="429" t="s">
        <v>769</v>
      </c>
      <c r="X155" s="247">
        <v>2019</v>
      </c>
      <c r="Y155" s="437">
        <f>_xlfn.IFNA(INDEX('Data manipulation'!$C$23:$O$40,MATCH($V155,'Data manipulation'!$B$23:$B$40,0),MATCH($X155,'Data manipulation'!$C$22:$O$22,0))/1000,0)*SUMIFS('Regional split'!$F$4:$F$6,'Regional split'!$B$4:$B$6,Y$3)*SUMIFS('Data manipulation'!$V$40:$V$43,'Data manipulation'!$X$40:$X$43,$E155,'Data manipulation'!$Y$40:$Y$43,$D155)</f>
        <v>2.2192628976000005E-2</v>
      </c>
      <c r="Z155" s="434">
        <f>_xlfn.IFNA(INDEX('Data manipulation'!$C$23:$O$40,MATCH($V155,'Data manipulation'!$B$23:$B$40,0),MATCH($X155,'Data manipulation'!$C$22:$O$22,0))/1000,0)*SUMIFS('Regional split'!$F$4:$F$6,'Regional split'!$B$4:$B$6,Z$3)*SUMIFS('Data manipulation'!$V$40:$V$43,'Data manipulation'!$X$40:$X$43,$E155,'Data manipulation'!$Y$40:$Y$43,$D155)</f>
        <v>5.6374197600000009E-4</v>
      </c>
      <c r="AA155" s="459">
        <f>_xlfn.IFNA(INDEX('Data manipulation'!$C$23:$O$40,MATCH($V155,'Data manipulation'!$B$23:$B$40,0),MATCH($X155,'Data manipulation'!$C$22:$O$22,0))/1000,0)*SUMIFS('Regional split'!$F$4:$F$6,'Regional split'!$B$4:$B$6,AA$3)*SUMIFS('Data manipulation'!$V$40:$V$43,'Data manipulation'!$X$40:$X$43,$E155,'Data manipulation'!$Y$40:$Y$43,$D155)</f>
        <v>1.7850690480000005E-3</v>
      </c>
      <c r="AB155" s="454">
        <f t="shared" si="247"/>
        <v>2.1082997527200005E-2</v>
      </c>
      <c r="AC155" s="278">
        <f t="shared" si="248"/>
        <v>5.3555487720000007E-4</v>
      </c>
      <c r="AD155" s="450">
        <f t="shared" si="249"/>
        <v>1.6958155956000003E-3</v>
      </c>
      <c r="AU155" s="261"/>
      <c r="AZ155" s="253"/>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60">
        <v>2019</v>
      </c>
      <c r="I156" s="251">
        <f>ROUNDUP(AB156/($O156*$P156)*$R156,1)</f>
        <v>287.70000000000005</v>
      </c>
      <c r="J156" s="251">
        <f>ROUNDUP(AC156/($O156*$P156)*$R156,1)</f>
        <v>7.3999999999999995</v>
      </c>
      <c r="K156" s="251">
        <f>ROUNDUP(AD156/($O156*$P156)*$R156,1)</f>
        <v>23.200000000000003</v>
      </c>
      <c r="L156" s="466">
        <v>0.79</v>
      </c>
      <c r="M156" s="466">
        <v>0.79</v>
      </c>
      <c r="N156" s="466">
        <v>0.79</v>
      </c>
      <c r="O156" s="244">
        <f t="shared" si="255"/>
        <v>3.1536000000000002E-2</v>
      </c>
      <c r="P156" s="462">
        <v>0.15</v>
      </c>
      <c r="Q156" s="246">
        <v>25</v>
      </c>
      <c r="R156" s="227">
        <v>1.05</v>
      </c>
      <c r="T156" s="269">
        <f t="shared" si="213"/>
        <v>1.9059320506329112</v>
      </c>
      <c r="U156" s="269"/>
      <c r="V156" s="227" t="s">
        <v>80</v>
      </c>
      <c r="W156" s="255" t="s">
        <v>187</v>
      </c>
      <c r="X156" s="247">
        <v>2019</v>
      </c>
      <c r="Y156" s="436">
        <f>_xlfn.IFNA(INDEX('Data manipulation'!$C$23:$O$40,MATCH($V156,'Data manipulation'!$B$23:$B$40,0),MATCH($X156,'Data manipulation'!$C$22:$O$22,0))/1000,0)*SUMIFS('Regional split'!$F$4:$F$6,'Regional split'!$B$4:$B$6,Y$3)*SUMIFS('Data manipulation'!$V$40:$V$43,'Data manipulation'!$X$40:$X$43,$E156,'Data manipulation'!$Y$40:$Y$43,$D156)</f>
        <v>1.6402170295588636</v>
      </c>
      <c r="Z156" s="271">
        <f>_xlfn.IFNA(INDEX('Data manipulation'!$C$23:$O$40,MATCH($V156,'Data manipulation'!$B$23:$B$40,0),MATCH($X156,'Data manipulation'!$C$22:$O$22,0))/1000,0)*SUMIFS('Regional split'!$F$4:$F$6,'Regional split'!$B$4:$B$6,Z$3)*SUMIFS('Data manipulation'!$V$40:$V$43,'Data manipulation'!$X$40:$X$43,$E156,'Data manipulation'!$Y$40:$Y$43,$D156)</f>
        <v>4.1665148834431821E-2</v>
      </c>
      <c r="AA156" s="458">
        <f>_xlfn.IFNA(INDEX('Data manipulation'!$C$23:$O$40,MATCH($V156,'Data manipulation'!$B$23:$B$40,0),MATCH($X156,'Data manipulation'!$C$22:$O$22,0))/1000,0)*SUMIFS('Regional split'!$F$4:$F$6,'Regional split'!$B$4:$B$6,AA$3)*SUMIFS('Data manipulation'!$V$40:$V$43,'Data manipulation'!$X$40:$X$43,$E156,'Data manipulation'!$Y$40:$Y$43,$D156)</f>
        <v>0.13193122160670454</v>
      </c>
      <c r="AB156" s="455">
        <f t="shared" si="247"/>
        <v>1.2957714533515023</v>
      </c>
      <c r="AC156" s="279">
        <f t="shared" si="248"/>
        <v>3.2915467579201142E-2</v>
      </c>
      <c r="AD156" s="451">
        <f t="shared" si="249"/>
        <v>0.10422566506929659</v>
      </c>
      <c r="AU156" s="261"/>
      <c r="AZ156" s="253"/>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60">
        <v>2019</v>
      </c>
      <c r="I157" s="251">
        <f t="shared" ref="I157:I163" si="268">ROUNDUP(AB157/($O157*$P157)*$R157,1)</f>
        <v>0.1</v>
      </c>
      <c r="J157" s="251">
        <f t="shared" ref="J157:J163" si="269">ROUNDUP(AC157/($O157*$P157)*$R157,1)</f>
        <v>0.1</v>
      </c>
      <c r="K157" s="251">
        <f t="shared" ref="K157:K163" si="270">ROUNDUP(AD157/($O157*$P157)*$R157,1)</f>
        <v>0.1</v>
      </c>
      <c r="L157" s="466">
        <v>0.79</v>
      </c>
      <c r="M157" s="466">
        <v>0.79</v>
      </c>
      <c r="N157" s="466">
        <v>0.79</v>
      </c>
      <c r="O157" s="244">
        <f t="shared" si="255"/>
        <v>3.1536000000000002E-2</v>
      </c>
      <c r="P157" s="462">
        <v>0.15</v>
      </c>
      <c r="Q157" s="246">
        <v>20</v>
      </c>
      <c r="R157" s="227">
        <v>1.05</v>
      </c>
      <c r="T157" s="269">
        <f t="shared" si="213"/>
        <v>1.796354430379747E-3</v>
      </c>
      <c r="V157" s="227" t="s">
        <v>213</v>
      </c>
      <c r="W157" s="255" t="s">
        <v>728</v>
      </c>
      <c r="X157" s="247">
        <v>2019</v>
      </c>
      <c r="Y157" s="436">
        <f>_xlfn.IFNA(INDEX('Data manipulation'!$C$23:$O$40,MATCH($V157,'Data manipulation'!$B$23:$B$40,0),MATCH($X157,'Data manipulation'!$C$22:$O$22,0))/1000,0)*SUMIFS('Regional split'!$F$4:$F$6,'Regional split'!$B$4:$B$6,Y$3)*SUMIFS('Data manipulation'!$V$40:$V$43,'Data manipulation'!$X$40:$X$43,$E157,'Data manipulation'!$Y$40:$Y$43,$D157)</f>
        <v>7.7769115909090913E-5</v>
      </c>
      <c r="Z157" s="271">
        <f>_xlfn.IFNA(INDEX('Data manipulation'!$C$23:$O$40,MATCH($V157,'Data manipulation'!$B$23:$B$40,0),MATCH($X157,'Data manipulation'!$C$22:$O$22,0))/1000,0)*SUMIFS('Regional split'!$F$4:$F$6,'Regional split'!$B$4:$B$6,Z$3)*SUMIFS('Data manipulation'!$V$40:$V$43,'Data manipulation'!$X$40:$X$43,$E157,'Data manipulation'!$Y$40:$Y$43,$D157)</f>
        <v>1.9755079545454547E-6</v>
      </c>
      <c r="AA157" s="458">
        <f>_xlfn.IFNA(INDEX('Data manipulation'!$C$23:$O$40,MATCH($V157,'Data manipulation'!$B$23:$B$40,0),MATCH($X157,'Data manipulation'!$C$22:$O$22,0))/1000,0)*SUMIFS('Regional split'!$F$4:$F$6,'Regional split'!$B$4:$B$6,AA$3)*SUMIFS('Data manipulation'!$V$40:$V$43,'Data manipulation'!$X$40:$X$43,$E157,'Data manipulation'!$Y$40:$Y$43,$D157)</f>
        <v>6.2553761363636364E-6</v>
      </c>
      <c r="AB157" s="447">
        <f t="shared" si="247"/>
        <v>6.1437601568181826E-5</v>
      </c>
      <c r="AC157" s="252">
        <f t="shared" si="248"/>
        <v>1.5606512840909093E-6</v>
      </c>
      <c r="AD157" s="448">
        <f t="shared" si="249"/>
        <v>4.9417471477272732E-6</v>
      </c>
      <c r="AU157" s="261"/>
      <c r="AZ157" s="253"/>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60">
        <v>2019</v>
      </c>
      <c r="I158" s="251">
        <f t="shared" si="268"/>
        <v>0.9</v>
      </c>
      <c r="J158" s="251">
        <f t="shared" si="269"/>
        <v>0.1</v>
      </c>
      <c r="K158" s="251">
        <f t="shared" si="270"/>
        <v>0.1</v>
      </c>
      <c r="L158" s="466">
        <v>0.67</v>
      </c>
      <c r="M158" s="466">
        <v>0.67</v>
      </c>
      <c r="N158" s="466">
        <v>0.67</v>
      </c>
      <c r="O158" s="244">
        <f>31.536/1000</f>
        <v>3.1536000000000002E-2</v>
      </c>
      <c r="P158" s="462">
        <v>0.15</v>
      </c>
      <c r="Q158" s="246">
        <v>20</v>
      </c>
      <c r="R158" s="227">
        <v>1.05</v>
      </c>
      <c r="T158" s="269">
        <f t="shared" si="213"/>
        <v>7.7663283582089558E-3</v>
      </c>
      <c r="U158" s="269"/>
      <c r="V158" s="269" t="s">
        <v>214</v>
      </c>
      <c r="W158" s="255" t="s">
        <v>728</v>
      </c>
      <c r="X158" s="247">
        <v>2019</v>
      </c>
      <c r="Y158" s="436">
        <f>_xlfn.IFNA(INDEX('Data manipulation'!$C$23:$O$40,MATCH($V158,'Data manipulation'!$B$23:$B$40,0),MATCH($X158,'Data manipulation'!$C$22:$O$22,0))/1000,0)*SUMIFS('Regional split'!$F$4:$F$6,'Regional split'!$B$4:$B$6,Y$3)*SUMIFS('Data manipulation'!$V$40:$V$43,'Data manipulation'!$X$40:$X$43,$E158,'Data manipulation'!$Y$40:$Y$43,$D158)</f>
        <v>5.8634296227272724E-3</v>
      </c>
      <c r="Z158" s="271">
        <f>_xlfn.IFNA(INDEX('Data manipulation'!$C$23:$O$40,MATCH($V158,'Data manipulation'!$B$23:$B$40,0),MATCH($X158,'Data manipulation'!$C$22:$O$22,0))/1000,0)*SUMIFS('Regional split'!$F$4:$F$6,'Regional split'!$B$4:$B$6,Z$3)*SUMIFS('Data manipulation'!$V$40:$V$43,'Data manipulation'!$X$40:$X$43,$E158,'Data manipulation'!$Y$40:$Y$43,$D158)</f>
        <v>1.4894411136363639E-4</v>
      </c>
      <c r="AA158" s="458">
        <f>_xlfn.IFNA(INDEX('Data manipulation'!$C$23:$O$40,MATCH($V158,'Data manipulation'!$B$23:$B$40,0),MATCH($X158,'Data manipulation'!$C$22:$O$22,0))/1000,0)*SUMIFS('Regional split'!$F$4:$F$6,'Regional split'!$B$4:$B$6,AA$3)*SUMIFS('Data manipulation'!$V$40:$V$43,'Data manipulation'!$X$40:$X$43,$E158,'Data manipulation'!$Y$40:$Y$43,$D158)</f>
        <v>4.7162626590909092E-4</v>
      </c>
      <c r="AB158" s="447">
        <f t="shared" si="247"/>
        <v>3.9284978472272731E-3</v>
      </c>
      <c r="AC158" s="252">
        <f t="shared" si="248"/>
        <v>9.9792554613636385E-5</v>
      </c>
      <c r="AD158" s="448">
        <f t="shared" si="249"/>
        <v>3.1598959815909092E-4</v>
      </c>
      <c r="AU158" s="261"/>
      <c r="AZ158" s="253"/>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60">
        <v>2019</v>
      </c>
      <c r="I159" s="251">
        <f t="shared" si="268"/>
        <v>1.2000000000000002</v>
      </c>
      <c r="J159" s="251">
        <f t="shared" si="269"/>
        <v>0.1</v>
      </c>
      <c r="K159" s="251">
        <f t="shared" si="270"/>
        <v>0.1</v>
      </c>
      <c r="L159" s="466">
        <v>0.67</v>
      </c>
      <c r="M159" s="466">
        <v>0.67</v>
      </c>
      <c r="N159" s="466">
        <v>0.67</v>
      </c>
      <c r="O159" s="244">
        <f>31.536/1000</f>
        <v>3.1536000000000002E-2</v>
      </c>
      <c r="P159" s="462">
        <v>0.15</v>
      </c>
      <c r="Q159" s="246">
        <v>20</v>
      </c>
      <c r="R159" s="227">
        <v>1.05</v>
      </c>
      <c r="T159" s="269">
        <f t="shared" si="213"/>
        <v>9.8844179104477636E-3</v>
      </c>
      <c r="U159" s="269"/>
      <c r="V159" s="227" t="s">
        <v>221</v>
      </c>
      <c r="W159" s="255" t="s">
        <v>197</v>
      </c>
      <c r="X159" s="247">
        <v>2019</v>
      </c>
      <c r="Y159" s="436">
        <f>_xlfn.IFNA(INDEX('Data manipulation'!$C$23:$O$40,MATCH($V159,'Data manipulation'!$B$23:$B$40,0),MATCH($X159,'Data manipulation'!$C$22:$O$22,0))/1000,0)*SUMIFS('Regional split'!$F$4:$F$6,'Regional split'!$B$4:$B$6,Y$3)*SUMIFS('Data manipulation'!$V$40:$V$43,'Data manipulation'!$X$40:$X$43,$E159,'Data manipulation'!$Y$40:$Y$43,$D159)</f>
        <v>7.4875381363636367E-3</v>
      </c>
      <c r="Z159" s="271">
        <f>_xlfn.IFNA(INDEX('Data manipulation'!$C$23:$O$40,MATCH($V159,'Data manipulation'!$B$23:$B$40,0),MATCH($X159,'Data manipulation'!$C$22:$O$22,0))/1000,0)*SUMIFS('Regional split'!$F$4:$F$6,'Regional split'!$B$4:$B$6,Z$3)*SUMIFS('Data manipulation'!$V$40:$V$43,'Data manipulation'!$X$40:$X$43,$E159,'Data manipulation'!$Y$40:$Y$43,$D159)</f>
        <v>1.902000681818182E-4</v>
      </c>
      <c r="AA159" s="458">
        <f>_xlfn.IFNA(INDEX('Data manipulation'!$C$23:$O$40,MATCH($V159,'Data manipulation'!$B$23:$B$40,0),MATCH($X159,'Data manipulation'!$C$22:$O$22,0))/1000,0)*SUMIFS('Regional split'!$F$4:$F$6,'Regional split'!$B$4:$B$6,AA$3)*SUMIFS('Data manipulation'!$V$40:$V$43,'Data manipulation'!$X$40:$X$43,$E159,'Data manipulation'!$Y$40:$Y$43,$D159)</f>
        <v>6.0226179545454543E-4</v>
      </c>
      <c r="AB159" s="447">
        <f t="shared" si="247"/>
        <v>5.0166505513636371E-3</v>
      </c>
      <c r="AC159" s="252">
        <f t="shared" si="248"/>
        <v>1.2743404568181819E-4</v>
      </c>
      <c r="AD159" s="448">
        <f t="shared" si="249"/>
        <v>4.0351540295454545E-4</v>
      </c>
      <c r="AU159" s="261"/>
      <c r="AZ159" s="253"/>
    </row>
    <row r="160" spans="2:52" ht="15" customHeight="1">
      <c r="B160" s="233" t="str">
        <f t="shared" ref="B160:G160" si="273">B120</f>
        <v>RHTRMSTRE1</v>
      </c>
      <c r="C160" s="233" t="str">
        <f t="shared" si="273"/>
        <v>Residential Heating Technology Rural Multi - Straw - Existing 1</v>
      </c>
      <c r="D160" s="233" t="str">
        <f t="shared" si="273"/>
        <v>Rural</v>
      </c>
      <c r="E160" s="233" t="str">
        <f t="shared" si="273"/>
        <v>Multi storey</v>
      </c>
      <c r="F160" s="233" t="str">
        <f t="shared" si="273"/>
        <v>RESSTR</v>
      </c>
      <c r="G160" s="233" t="str">
        <f t="shared" si="273"/>
        <v>RESHRMB</v>
      </c>
      <c r="H160" s="260">
        <v>2019</v>
      </c>
      <c r="I160" s="251">
        <f t="shared" si="268"/>
        <v>0</v>
      </c>
      <c r="J160" s="251">
        <f t="shared" si="269"/>
        <v>0</v>
      </c>
      <c r="K160" s="251">
        <f t="shared" si="270"/>
        <v>0</v>
      </c>
      <c r="L160" s="466">
        <v>0.61</v>
      </c>
      <c r="M160" s="466">
        <v>0.61</v>
      </c>
      <c r="N160" s="466">
        <v>0.61</v>
      </c>
      <c r="O160" s="244">
        <f t="shared" si="255"/>
        <v>3.1536000000000002E-2</v>
      </c>
      <c r="P160" s="462">
        <v>0.15</v>
      </c>
      <c r="Q160" s="246">
        <v>20</v>
      </c>
      <c r="R160" s="227">
        <v>1.05</v>
      </c>
      <c r="T160" s="269">
        <f t="shared" si="213"/>
        <v>0</v>
      </c>
      <c r="U160" s="269"/>
      <c r="W160" s="255" t="s">
        <v>188</v>
      </c>
      <c r="X160" s="247">
        <v>2019</v>
      </c>
      <c r="Y160" s="436">
        <f>_xlfn.IFNA(INDEX('Data manipulation'!$C$23:$O$40,MATCH($V160,'Data manipulation'!$B$23:$B$40,0),MATCH($X160,'Data manipulation'!$C$22:$O$22,0))/1000,0)*SUMIFS('Regional split'!$F$4:$F$6,'Regional split'!$B$4:$B$6,Y$3)*SUMIFS('Data manipulation'!$V$40:$V$43,'Data manipulation'!$X$40:$X$43,$E160,'Data manipulation'!$Y$40:$Y$43,$D160)</f>
        <v>0</v>
      </c>
      <c r="Z160" s="271">
        <f>_xlfn.IFNA(INDEX('Data manipulation'!$C$23:$O$40,MATCH($V160,'Data manipulation'!$B$23:$B$40,0),MATCH($X160,'Data manipulation'!$C$22:$O$22,0))/1000,0)*SUMIFS('Regional split'!$F$4:$F$6,'Regional split'!$B$4:$B$6,Z$3)*SUMIFS('Data manipulation'!$V$40:$V$43,'Data manipulation'!$X$40:$X$43,$E160,'Data manipulation'!$Y$40:$Y$43,$D160)</f>
        <v>0</v>
      </c>
      <c r="AA160" s="458">
        <f>_xlfn.IFNA(INDEX('Data manipulation'!$C$23:$O$40,MATCH($V160,'Data manipulation'!$B$23:$B$40,0),MATCH($X160,'Data manipulation'!$C$22:$O$22,0))/1000,0)*SUMIFS('Regional split'!$F$4:$F$6,'Regional split'!$B$4:$B$6,AA$3)*SUMIFS('Data manipulation'!$V$40:$V$43,'Data manipulation'!$X$40:$X$43,$E160,'Data manipulation'!$Y$40:$Y$43,$D160)</f>
        <v>0</v>
      </c>
      <c r="AB160" s="447">
        <f t="shared" si="247"/>
        <v>0</v>
      </c>
      <c r="AC160" s="252">
        <f t="shared" si="248"/>
        <v>0</v>
      </c>
      <c r="AD160" s="448">
        <f t="shared" si="249"/>
        <v>0</v>
      </c>
      <c r="AU160" s="261"/>
      <c r="AZ160" s="253"/>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60">
        <v>2019</v>
      </c>
      <c r="I161" s="251">
        <f t="shared" si="268"/>
        <v>0</v>
      </c>
      <c r="J161" s="251">
        <f t="shared" si="269"/>
        <v>0</v>
      </c>
      <c r="K161" s="251">
        <f t="shared" si="270"/>
        <v>0</v>
      </c>
      <c r="L161" s="466">
        <v>1</v>
      </c>
      <c r="M161" s="466">
        <v>1</v>
      </c>
      <c r="N161" s="466">
        <v>1</v>
      </c>
      <c r="O161" s="244">
        <f t="shared" si="255"/>
        <v>3.1536000000000002E-2</v>
      </c>
      <c r="P161" s="462">
        <v>0.15</v>
      </c>
      <c r="Q161" s="246">
        <v>20</v>
      </c>
      <c r="R161" s="227">
        <v>1.05</v>
      </c>
      <c r="T161" s="269">
        <f t="shared" si="213"/>
        <v>0</v>
      </c>
      <c r="U161" s="269"/>
      <c r="W161" s="255" t="s">
        <v>189</v>
      </c>
      <c r="X161" s="247">
        <v>2019</v>
      </c>
      <c r="Y161" s="436">
        <f>_xlfn.IFNA(INDEX('Data manipulation'!$C$23:$O$40,MATCH($V161,'Data manipulation'!$B$23:$B$40,0),MATCH($X161,'Data manipulation'!$C$22:$O$22,0))/1000,0)*SUMIFS('Regional split'!$F$4:$F$6,'Regional split'!$B$4:$B$6,Y$3)*SUMIFS('Data manipulation'!$V$40:$V$43,'Data manipulation'!$X$40:$X$43,$E161,'Data manipulation'!$Y$40:$Y$43,$D161)</f>
        <v>0</v>
      </c>
      <c r="Z161" s="271">
        <f>_xlfn.IFNA(INDEX('Data manipulation'!$C$23:$O$40,MATCH($V161,'Data manipulation'!$B$23:$B$40,0),MATCH($X161,'Data manipulation'!$C$22:$O$22,0))/1000,0)*SUMIFS('Regional split'!$F$4:$F$6,'Regional split'!$B$4:$B$6,Z$3)*SUMIFS('Data manipulation'!$V$40:$V$43,'Data manipulation'!$X$40:$X$43,$E161,'Data manipulation'!$Y$40:$Y$43,$D161)</f>
        <v>0</v>
      </c>
      <c r="AA161" s="458">
        <f>_xlfn.IFNA(INDEX('Data manipulation'!$C$23:$O$40,MATCH($V161,'Data manipulation'!$B$23:$B$40,0),MATCH($X161,'Data manipulation'!$C$22:$O$22,0))/1000,0)*SUMIFS('Regional split'!$F$4:$F$6,'Regional split'!$B$4:$B$6,AA$3)*SUMIFS('Data manipulation'!$V$40:$V$43,'Data manipulation'!$X$40:$X$43,$E161,'Data manipulation'!$Y$40:$Y$43,$D161)</f>
        <v>0</v>
      </c>
      <c r="AB161" s="447">
        <f t="shared" si="247"/>
        <v>0</v>
      </c>
      <c r="AC161" s="252">
        <f t="shared" si="248"/>
        <v>0</v>
      </c>
      <c r="AD161" s="448">
        <f t="shared" si="249"/>
        <v>0</v>
      </c>
      <c r="AU161" s="261"/>
      <c r="AZ161" s="253"/>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60">
        <v>2019</v>
      </c>
      <c r="I162" s="251">
        <f t="shared" si="268"/>
        <v>0</v>
      </c>
      <c r="J162" s="251">
        <f t="shared" si="269"/>
        <v>0</v>
      </c>
      <c r="K162" s="251">
        <f t="shared" si="270"/>
        <v>0</v>
      </c>
      <c r="L162" s="466">
        <v>1</v>
      </c>
      <c r="M162" s="466">
        <v>1</v>
      </c>
      <c r="N162" s="466">
        <v>1</v>
      </c>
      <c r="O162" s="244">
        <f t="shared" si="255"/>
        <v>3.1536000000000002E-2</v>
      </c>
      <c r="P162" s="462">
        <v>0.15</v>
      </c>
      <c r="Q162" s="246">
        <v>30</v>
      </c>
      <c r="R162" s="227">
        <v>1.05</v>
      </c>
      <c r="T162" s="269">
        <f t="shared" si="213"/>
        <v>0</v>
      </c>
      <c r="U162" s="269"/>
      <c r="V162" s="227" t="str">
        <f>V152</f>
        <v>Electricity</v>
      </c>
      <c r="W162" s="255" t="s">
        <v>190</v>
      </c>
      <c r="X162" s="247">
        <v>2019</v>
      </c>
      <c r="Y162" s="436">
        <f>_xlfn.IFNA(INDEX('Data manipulation'!$C$23:$O$40,MATCH($V162,'Data manipulation'!$B$23:$B$40,0),MATCH($X162,'Data manipulation'!$C$22:$O$22,0))/1000,0)*SUMIFS('Regional split'!$F$4:$F$6,'Regional split'!$B$4:$B$6,Y$3)*SUMIFS('Data manipulation'!$V$40:$V$43,'Data manipulation'!$X$40:$X$43,$E162,'Data manipulation'!$Y$40:$Y$43,$D162)</f>
        <v>0</v>
      </c>
      <c r="Z162" s="271">
        <f>_xlfn.IFNA(INDEX('Data manipulation'!$C$23:$O$40,MATCH($V162,'Data manipulation'!$B$23:$B$40,0),MATCH($X162,'Data manipulation'!$C$22:$O$22,0))/1000,0)*SUMIFS('Regional split'!$F$4:$F$6,'Regional split'!$B$4:$B$6,Z$3)*SUMIFS('Data manipulation'!$V$40:$V$43,'Data manipulation'!$X$40:$X$43,$E162,'Data manipulation'!$Y$40:$Y$43,$D162)</f>
        <v>0</v>
      </c>
      <c r="AA162" s="458">
        <f>_xlfn.IFNA(INDEX('Data manipulation'!$C$23:$O$40,MATCH($V162,'Data manipulation'!$B$23:$B$40,0),MATCH($X162,'Data manipulation'!$C$22:$O$22,0))/1000,0)*SUMIFS('Regional split'!$F$4:$F$6,'Regional split'!$B$4:$B$6,AA$3)*SUMIFS('Data manipulation'!$V$40:$V$43,'Data manipulation'!$X$40:$X$43,$E162,'Data manipulation'!$Y$40:$Y$43,$D162)</f>
        <v>0</v>
      </c>
      <c r="AB162" s="447">
        <f t="shared" si="247"/>
        <v>0</v>
      </c>
      <c r="AC162" s="252">
        <f t="shared" si="248"/>
        <v>0</v>
      </c>
      <c r="AD162" s="448">
        <f t="shared" si="249"/>
        <v>0</v>
      </c>
      <c r="AU162" s="261"/>
      <c r="AZ162" s="253"/>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60">
        <v>2019</v>
      </c>
      <c r="I163" s="251">
        <f t="shared" si="268"/>
        <v>0</v>
      </c>
      <c r="J163" s="251">
        <f t="shared" si="269"/>
        <v>0</v>
      </c>
      <c r="K163" s="251">
        <f t="shared" si="270"/>
        <v>0</v>
      </c>
      <c r="L163" s="466">
        <v>2.3149999999999999</v>
      </c>
      <c r="M163" s="466">
        <v>2.3149999999999999</v>
      </c>
      <c r="N163" s="466">
        <v>2.3149999999999999</v>
      </c>
      <c r="O163" s="244">
        <f t="shared" si="255"/>
        <v>3.1536000000000002E-2</v>
      </c>
      <c r="P163" s="462">
        <v>0.15</v>
      </c>
      <c r="Q163" s="246">
        <v>30</v>
      </c>
      <c r="R163" s="227">
        <v>1.05</v>
      </c>
      <c r="T163" s="269">
        <f t="shared" si="213"/>
        <v>0</v>
      </c>
      <c r="U163" s="269"/>
      <c r="W163" s="255" t="s">
        <v>191</v>
      </c>
      <c r="X163" s="247">
        <v>2019</v>
      </c>
      <c r="Y163" s="436">
        <f>_xlfn.IFNA(INDEX('Data manipulation'!$C$23:$O$40,MATCH($V163,'Data manipulation'!$B$23:$B$40,0),MATCH($X163,'Data manipulation'!$C$22:$O$22,0))/1000,0)*SUMIFS('Regional split'!$F$4:$F$6,'Regional split'!$B$4:$B$6,Y$3)*SUMIFS('Data manipulation'!$V$40:$V$43,'Data manipulation'!$X$40:$X$43,$E163,'Data manipulation'!$Y$40:$Y$43,$D163)</f>
        <v>0</v>
      </c>
      <c r="Z163" s="271">
        <f>_xlfn.IFNA(INDEX('Data manipulation'!$C$23:$O$40,MATCH($V163,'Data manipulation'!$B$23:$B$40,0),MATCH($X163,'Data manipulation'!$C$22:$O$22,0))/1000,0)*SUMIFS('Regional split'!$F$4:$F$6,'Regional split'!$B$4:$B$6,Z$3)*SUMIFS('Data manipulation'!$V$40:$V$43,'Data manipulation'!$X$40:$X$43,$E163,'Data manipulation'!$Y$40:$Y$43,$D163)</f>
        <v>0</v>
      </c>
      <c r="AA163" s="458">
        <f>_xlfn.IFNA(INDEX('Data manipulation'!$C$23:$O$40,MATCH($V163,'Data manipulation'!$B$23:$B$40,0),MATCH($X163,'Data manipulation'!$C$22:$O$22,0))/1000,0)*SUMIFS('Regional split'!$F$4:$F$6,'Regional split'!$B$4:$B$6,AA$3)*SUMIFS('Data manipulation'!$V$40:$V$43,'Data manipulation'!$X$40:$X$43,$E163,'Data manipulation'!$Y$40:$Y$43,$D163)</f>
        <v>0</v>
      </c>
      <c r="AB163" s="447">
        <f t="shared" si="247"/>
        <v>0</v>
      </c>
      <c r="AC163" s="252">
        <f t="shared" si="248"/>
        <v>0</v>
      </c>
      <c r="AD163" s="448">
        <f t="shared" si="249"/>
        <v>0</v>
      </c>
      <c r="AU163" s="261"/>
      <c r="AZ163" s="253"/>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2">
        <v>2019</v>
      </c>
      <c r="I164" s="583">
        <v>0</v>
      </c>
      <c r="J164" s="583">
        <v>0</v>
      </c>
      <c r="K164" s="583">
        <v>0</v>
      </c>
      <c r="L164" s="466">
        <v>0.98</v>
      </c>
      <c r="M164" s="466">
        <v>0.98</v>
      </c>
      <c r="N164" s="466">
        <v>0.98</v>
      </c>
      <c r="O164" s="244">
        <f t="shared" si="255"/>
        <v>3.1536000000000002E-2</v>
      </c>
      <c r="P164" s="462">
        <v>0.15</v>
      </c>
      <c r="Q164" s="246">
        <v>30</v>
      </c>
      <c r="R164" s="227">
        <v>1.05</v>
      </c>
      <c r="T164" s="269">
        <f t="shared" si="213"/>
        <v>0</v>
      </c>
      <c r="U164" s="269"/>
      <c r="V164" s="227" t="s">
        <v>220</v>
      </c>
      <c r="W164" s="255" t="s">
        <v>192</v>
      </c>
      <c r="X164" s="247">
        <v>2019</v>
      </c>
      <c r="Y164" s="436">
        <f>_xlfn.IFNA(INDEX('Data manipulation'!$C$23:$O$40,MATCH($V164,'Data manipulation'!$B$23:$B$40,0),MATCH($X164,'Data manipulation'!$C$22:$O$22,0))/1000,0)*SUMIFS('Regional split'!$F$4:$F$6,'Regional split'!$B$4:$B$6,Y$3)*SUMIFS('Data manipulation'!$V$40:$V$43,'Data manipulation'!$X$40:$X$43,$E164,'Data manipulation'!$Y$40:$Y$43,$D164)</f>
        <v>9.1552335265909085E-2</v>
      </c>
      <c r="Z164" s="271">
        <f>_xlfn.IFNA(INDEX('Data manipulation'!$C$23:$O$40,MATCH($V164,'Data manipulation'!$B$23:$B$40,0),MATCH($X164,'Data manipulation'!$C$22:$O$22,0))/1000,0)*SUMIFS('Regional split'!$F$4:$F$6,'Regional split'!$B$4:$B$6,Z$3)*SUMIFS('Data manipulation'!$V$40:$V$43,'Data manipulation'!$X$40:$X$43,$E164,'Data manipulation'!$Y$40:$Y$43,$D164)</f>
        <v>2.3256322829545459E-3</v>
      </c>
      <c r="AA164" s="458">
        <f>_xlfn.IFNA(INDEX('Data manipulation'!$C$23:$O$40,MATCH($V164,'Data manipulation'!$B$23:$B$40,0),MATCH($X164,'Data manipulation'!$C$22:$O$22,0))/1000,0)*SUMIFS('Regional split'!$F$4:$F$6,'Regional split'!$B$4:$B$6,AA$3)*SUMIFS('Data manipulation'!$V$40:$V$43,'Data manipulation'!$X$40:$X$43,$E164,'Data manipulation'!$Y$40:$Y$43,$D164)</f>
        <v>7.3640324511363639E-3</v>
      </c>
      <c r="AB164" s="447">
        <f t="shared" si="247"/>
        <v>8.9721288560590903E-2</v>
      </c>
      <c r="AC164" s="252">
        <f t="shared" si="248"/>
        <v>2.2791196372954547E-3</v>
      </c>
      <c r="AD164" s="448">
        <f t="shared" si="249"/>
        <v>7.2167518021136363E-3</v>
      </c>
      <c r="AU164" s="261"/>
      <c r="AZ164" s="253"/>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2">
        <v>2019</v>
      </c>
      <c r="I165" s="298">
        <f>ROUNDUP(AB165/($O165*$P165)*$R165,1)</f>
        <v>0.4</v>
      </c>
      <c r="J165" s="298">
        <f t="shared" ref="J165" si="279">ROUNDUP(AC165/($O165*$P165)*$R165,1)</f>
        <v>0.1</v>
      </c>
      <c r="K165" s="298">
        <f t="shared" ref="K165" si="280">ROUNDUP(AD165/($O165*$P165)*$R165,1)</f>
        <v>0.1</v>
      </c>
      <c r="L165" s="466">
        <v>0.98</v>
      </c>
      <c r="M165" s="466">
        <v>0.98</v>
      </c>
      <c r="N165" s="466">
        <v>0.98</v>
      </c>
      <c r="O165" s="244">
        <f t="shared" si="255"/>
        <v>3.1536000000000002E-2</v>
      </c>
      <c r="P165" s="462">
        <v>0.15</v>
      </c>
      <c r="Q165" s="246">
        <v>30</v>
      </c>
      <c r="R165" s="227">
        <v>1.05</v>
      </c>
      <c r="T165" s="269">
        <f t="shared" si="213"/>
        <v>2.8961632653061228E-3</v>
      </c>
      <c r="U165" s="269"/>
      <c r="V165" s="227" t="s">
        <v>210</v>
      </c>
      <c r="W165" s="429" t="s">
        <v>769</v>
      </c>
      <c r="X165" s="247">
        <v>2019</v>
      </c>
      <c r="Y165" s="437">
        <f>_xlfn.IFNA(INDEX('Data manipulation'!$C$23:$O$40,MATCH($V165,'Data manipulation'!$B$23:$B$40,0),MATCH($X165,'Data manipulation'!$C$22:$O$22,0))/1000,0)*SUMIFS('Regional split'!$F$4:$F$6,'Regional split'!$B$4:$B$6,Y$3)*SUMIFS('Data manipulation'!$V$40:$V$43,'Data manipulation'!$X$40:$X$43,$E165,'Data manipulation'!$Y$40:$Y$43,$D165)</f>
        <v>1.6812597709090912E-3</v>
      </c>
      <c r="Z165" s="434">
        <f>_xlfn.IFNA(INDEX('Data manipulation'!$C$23:$O$40,MATCH($V165,'Data manipulation'!$B$23:$B$40,0),MATCH($X165,'Data manipulation'!$C$22:$O$22,0))/1000,0)*SUMIFS('Regional split'!$F$4:$F$6,'Regional split'!$B$4:$B$6,Z$3)*SUMIFS('Data manipulation'!$V$40:$V$43,'Data manipulation'!$X$40:$X$43,$E165,'Data manipulation'!$Y$40:$Y$43,$D165)</f>
        <v>4.2707725454545458E-5</v>
      </c>
      <c r="AA165" s="459">
        <f>_xlfn.IFNA(INDEX('Data manipulation'!$C$23:$O$40,MATCH($V165,'Data manipulation'!$B$23:$B$40,0),MATCH($X165,'Data manipulation'!$C$22:$O$22,0))/1000,0)*SUMIFS('Regional split'!$F$4:$F$6,'Regional split'!$B$4:$B$6,AA$3)*SUMIFS('Data manipulation'!$V$40:$V$43,'Data manipulation'!$X$40:$X$43,$E165,'Data manipulation'!$Y$40:$Y$43,$D165)</f>
        <v>1.3523250363636367E-4</v>
      </c>
      <c r="AB165" s="449">
        <f t="shared" si="247"/>
        <v>1.6476345754909093E-3</v>
      </c>
      <c r="AC165" s="435">
        <f t="shared" si="248"/>
        <v>4.185357094545455E-5</v>
      </c>
      <c r="AD165" s="456">
        <f t="shared" si="249"/>
        <v>1.325278535636364E-4</v>
      </c>
      <c r="AU165" s="261"/>
      <c r="AZ165" s="253"/>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v>
      </c>
      <c r="G166" s="227" t="str">
        <f t="shared" si="281"/>
        <v>RESHUDB</v>
      </c>
      <c r="H166" s="584">
        <f t="shared" ref="H166:H205" si="282">H86+Q166</f>
        <v>2040</v>
      </c>
      <c r="I166" s="251">
        <v>0</v>
      </c>
      <c r="J166" s="251">
        <v>0</v>
      </c>
      <c r="K166" s="251">
        <v>0</v>
      </c>
      <c r="L166" s="466">
        <v>0.72</v>
      </c>
      <c r="M166" s="466">
        <v>0.72</v>
      </c>
      <c r="N166" s="466">
        <v>0.72</v>
      </c>
      <c r="O166" s="244">
        <f>31.536/1000</f>
        <v>3.1536000000000002E-2</v>
      </c>
      <c r="P166" s="462">
        <v>0.15</v>
      </c>
      <c r="Q166" s="246">
        <v>22</v>
      </c>
      <c r="R166" s="227">
        <v>1.05</v>
      </c>
      <c r="T166" s="269">
        <f t="shared" si="105"/>
        <v>0</v>
      </c>
      <c r="U166" s="269"/>
      <c r="V166" s="227" t="s">
        <v>80</v>
      </c>
      <c r="W166" s="247" t="s">
        <v>187</v>
      </c>
      <c r="X166" s="247">
        <v>2019</v>
      </c>
      <c r="Y166" s="436">
        <f>_xlfn.IFNA(INDEX('Data manipulation'!$C$23:$N$40,MATCH($V166,'Data manipulation'!$B$23:$B$40,0),MATCH($X166,'Data manipulation'!$C$22:$N$22,0))/1000,0)*SUMIFS('Regional split'!$F$4:$F$6,'Regional split'!$B$4:$B$6,Y$3)*SUMIFS('Data manipulation'!$V$40:$V$43,'Data manipulation'!$X$40:$X$43,$E166,'Data manipulation'!$Y$40:$Y$43,$D166)</f>
        <v>0</v>
      </c>
      <c r="Z166" s="271">
        <f>_xlfn.IFNA(INDEX('Data manipulation'!$C$23:$N$40,MATCH($V166,'Data manipulation'!$B$23:$B$40,0),MATCH($X166,'Data manipulation'!$C$22:$N$22,0))/1000,0)*SUMIFS('Regional split'!$F$4:$F$6,'Regional split'!$B$4:$B$6,Z$3)*SUMIFS('Data manipulation'!$V$40:$V$43,'Data manipulation'!$X$40:$X$43,$E166,'Data manipulation'!$Y$40:$Y$43,$D166)</f>
        <v>0</v>
      </c>
      <c r="AA166" s="458">
        <f>_xlfn.IFNA(INDEX('Data manipulation'!$C$23:$N$40,MATCH($V166,'Data manipulation'!$B$23:$B$40,0),MATCH($X166,'Data manipulation'!$C$22:$N$22,0))/1000,0)*SUMIFS('Regional split'!$F$4:$F$6,'Regional split'!$B$4:$B$6,AA$3)*SUMIFS('Data manipulation'!$V$40:$V$43,'Data manipulation'!$X$40:$X$43,$E166,'Data manipulation'!$Y$40:$Y$43,$D166)</f>
        <v>0</v>
      </c>
      <c r="AB166" s="447">
        <f t="shared" si="177"/>
        <v>0</v>
      </c>
      <c r="AC166" s="252">
        <f t="shared" si="178"/>
        <v>0</v>
      </c>
      <c r="AD166" s="448">
        <f t="shared" si="179"/>
        <v>0</v>
      </c>
      <c r="AE166" s="263"/>
      <c r="AU166" s="261"/>
      <c r="AZ166" s="253"/>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84">
        <f t="shared" si="282"/>
        <v>2038</v>
      </c>
      <c r="I167" s="251">
        <v>0</v>
      </c>
      <c r="J167" s="251">
        <v>0</v>
      </c>
      <c r="K167" s="251">
        <v>0</v>
      </c>
      <c r="L167" s="466">
        <v>0.71</v>
      </c>
      <c r="M167" s="466">
        <v>0.71</v>
      </c>
      <c r="N167" s="466">
        <v>0.71</v>
      </c>
      <c r="O167" s="244">
        <f>31.536/1000</f>
        <v>3.1536000000000002E-2</v>
      </c>
      <c r="P167" s="462">
        <v>0.15</v>
      </c>
      <c r="Q167" s="246">
        <v>20</v>
      </c>
      <c r="R167" s="227">
        <v>1.05</v>
      </c>
      <c r="T167" s="269">
        <f t="shared" si="105"/>
        <v>0</v>
      </c>
      <c r="V167" s="227" t="s">
        <v>213</v>
      </c>
      <c r="W167" s="255" t="s">
        <v>728</v>
      </c>
      <c r="X167" s="247">
        <v>2019</v>
      </c>
      <c r="Y167" s="436">
        <f>_xlfn.IFNA(INDEX('Data manipulation'!$C$23:$N$40,MATCH($V167,'Data manipulation'!$B$23:$B$40,0),MATCH($X167,'Data manipulation'!$C$22:$N$22,0))/1000,0)*SUMIFS('Regional split'!$F$4:$F$6,'Regional split'!$B$4:$B$6,Y$3)*SUMIFS('Data manipulation'!$V$40:$V$43,'Data manipulation'!$X$40:$X$43,$E167,'Data manipulation'!$Y$40:$Y$43,$D167)</f>
        <v>0</v>
      </c>
      <c r="Z167" s="271">
        <f>_xlfn.IFNA(INDEX('Data manipulation'!$C$23:$N$40,MATCH($V167,'Data manipulation'!$B$23:$B$40,0),MATCH($X167,'Data manipulation'!$C$22:$N$22,0))/1000,0)*SUMIFS('Regional split'!$F$4:$F$6,'Regional split'!$B$4:$B$6,Z$3)*SUMIFS('Data manipulation'!$V$40:$V$43,'Data manipulation'!$X$40:$X$43,$E167,'Data manipulation'!$Y$40:$Y$43,$D167)</f>
        <v>0</v>
      </c>
      <c r="AA167" s="458">
        <f>_xlfn.IFNA(INDEX('Data manipulation'!$C$23:$N$40,MATCH($V167,'Data manipulation'!$B$23:$B$40,0),MATCH($X167,'Data manipulation'!$C$22:$N$22,0))/1000,0)*SUMIFS('Regional split'!$F$4:$F$6,'Regional split'!$B$4:$B$6,AA$3)*SUMIFS('Data manipulation'!$V$40:$V$43,'Data manipulation'!$X$40:$X$43,$E167,'Data manipulation'!$Y$40:$Y$43,$D167)</f>
        <v>0</v>
      </c>
      <c r="AB167" s="447">
        <f t="shared" si="177"/>
        <v>0</v>
      </c>
      <c r="AC167" s="252">
        <f t="shared" si="178"/>
        <v>0</v>
      </c>
      <c r="AD167" s="448">
        <f t="shared" si="179"/>
        <v>0</v>
      </c>
      <c r="AE167" s="263"/>
      <c r="AU167" s="261"/>
      <c r="AZ167" s="253"/>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84">
        <f t="shared" si="282"/>
        <v>2038</v>
      </c>
      <c r="I168" s="251">
        <v>0</v>
      </c>
      <c r="J168" s="251">
        <v>0</v>
      </c>
      <c r="K168" s="251">
        <v>0</v>
      </c>
      <c r="L168" s="466">
        <v>0.61</v>
      </c>
      <c r="M168" s="466">
        <v>0.61</v>
      </c>
      <c r="N168" s="466">
        <v>0.61</v>
      </c>
      <c r="O168" s="244">
        <f t="shared" ref="O168:O185" si="285">31.536/1000</f>
        <v>3.1536000000000002E-2</v>
      </c>
      <c r="P168" s="462">
        <v>0.15</v>
      </c>
      <c r="Q168" s="246">
        <v>20</v>
      </c>
      <c r="R168" s="227">
        <v>1.05</v>
      </c>
      <c r="T168" s="269">
        <f t="shared" si="105"/>
        <v>0</v>
      </c>
      <c r="U168" s="269"/>
      <c r="V168" s="227" t="s">
        <v>214</v>
      </c>
      <c r="W168" s="255" t="s">
        <v>728</v>
      </c>
      <c r="X168" s="247">
        <v>2019</v>
      </c>
      <c r="Y168" s="436">
        <f>_xlfn.IFNA(INDEX('Data manipulation'!$C$23:$N$40,MATCH($V168,'Data manipulation'!$B$23:$B$40,0),MATCH($X168,'Data manipulation'!$C$22:$N$22,0))/1000,0)*SUMIFS('Regional split'!$F$4:$F$6,'Regional split'!$B$4:$B$6,Y$3)*SUMIFS('Data manipulation'!$V$40:$V$43,'Data manipulation'!$X$40:$X$43,$E168,'Data manipulation'!$Y$40:$Y$43,$D168)</f>
        <v>0</v>
      </c>
      <c r="Z168" s="271">
        <f>_xlfn.IFNA(INDEX('Data manipulation'!$C$23:$N$40,MATCH($V168,'Data manipulation'!$B$23:$B$40,0),MATCH($X168,'Data manipulation'!$C$22:$N$22,0))/1000,0)*SUMIFS('Regional split'!$F$4:$F$6,'Regional split'!$B$4:$B$6,Z$3)*SUMIFS('Data manipulation'!$V$40:$V$43,'Data manipulation'!$X$40:$X$43,$E168,'Data manipulation'!$Y$40:$Y$43,$D168)</f>
        <v>0</v>
      </c>
      <c r="AA168" s="458">
        <f>_xlfn.IFNA(INDEX('Data manipulation'!$C$23:$N$40,MATCH($V168,'Data manipulation'!$B$23:$B$40,0),MATCH($X168,'Data manipulation'!$C$22:$N$22,0))/1000,0)*SUMIFS('Regional split'!$F$4:$F$6,'Regional split'!$B$4:$B$6,AA$3)*SUMIFS('Data manipulation'!$V$40:$V$43,'Data manipulation'!$X$40:$X$43,$E168,'Data manipulation'!$Y$40:$Y$43,$D168)</f>
        <v>0</v>
      </c>
      <c r="AB168" s="447">
        <f t="shared" si="177"/>
        <v>0</v>
      </c>
      <c r="AC168" s="252">
        <f t="shared" si="178"/>
        <v>0</v>
      </c>
      <c r="AD168" s="448">
        <f t="shared" si="179"/>
        <v>0</v>
      </c>
      <c r="AE168" s="263"/>
      <c r="AU168" s="261"/>
      <c r="AZ168" s="253"/>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84">
        <f t="shared" si="282"/>
        <v>2038</v>
      </c>
      <c r="I169" s="251">
        <v>0</v>
      </c>
      <c r="J169" s="251">
        <v>0</v>
      </c>
      <c r="K169" s="251">
        <v>0</v>
      </c>
      <c r="L169" s="466">
        <v>0.65000022993955098</v>
      </c>
      <c r="M169" s="466">
        <v>0.65000022993955098</v>
      </c>
      <c r="N169" s="466">
        <v>0.65000022993955098</v>
      </c>
      <c r="O169" s="244">
        <f t="shared" si="285"/>
        <v>3.1536000000000002E-2</v>
      </c>
      <c r="P169" s="462">
        <v>0.15</v>
      </c>
      <c r="Q169" s="246">
        <v>20</v>
      </c>
      <c r="R169" s="227">
        <v>1.05</v>
      </c>
      <c r="T169" s="269">
        <f t="shared" si="105"/>
        <v>0</v>
      </c>
      <c r="U169" s="269"/>
      <c r="V169" s="227" t="s">
        <v>221</v>
      </c>
      <c r="W169" s="255" t="s">
        <v>197</v>
      </c>
      <c r="X169" s="247">
        <v>2019</v>
      </c>
      <c r="Y169" s="436">
        <f>_xlfn.IFNA(INDEX('Data manipulation'!$C$23:$N$40,MATCH($V169,'Data manipulation'!$B$23:$B$40,0),MATCH($X169,'Data manipulation'!$C$22:$N$22,0))/1000,0)*SUMIFS('Regional split'!$F$4:$F$6,'Regional split'!$B$4:$B$6,Y$3)*SUMIFS('Data manipulation'!$V$40:$V$43,'Data manipulation'!$X$40:$X$43,$E169,'Data manipulation'!$Y$40:$Y$43,$D169)</f>
        <v>0</v>
      </c>
      <c r="Z169" s="271">
        <f>_xlfn.IFNA(INDEX('Data manipulation'!$C$23:$N$40,MATCH($V169,'Data manipulation'!$B$23:$B$40,0),MATCH($X169,'Data manipulation'!$C$22:$N$22,0))/1000,0)*SUMIFS('Regional split'!$F$4:$F$6,'Regional split'!$B$4:$B$6,Z$3)*SUMIFS('Data manipulation'!$V$40:$V$43,'Data manipulation'!$X$40:$X$43,$E169,'Data manipulation'!$Y$40:$Y$43,$D169)</f>
        <v>0</v>
      </c>
      <c r="AA169" s="458">
        <f>_xlfn.IFNA(INDEX('Data manipulation'!$C$23:$N$40,MATCH($V169,'Data manipulation'!$B$23:$B$40,0),MATCH($X169,'Data manipulation'!$C$22:$N$22,0))/1000,0)*SUMIFS('Regional split'!$F$4:$F$6,'Regional split'!$B$4:$B$6,AA$3)*SUMIFS('Data manipulation'!$V$40:$V$43,'Data manipulation'!$X$40:$X$43,$E169,'Data manipulation'!$Y$40:$Y$43,$D169)</f>
        <v>0</v>
      </c>
      <c r="AB169" s="447">
        <f t="shared" si="177"/>
        <v>0</v>
      </c>
      <c r="AC169" s="252">
        <f t="shared" si="178"/>
        <v>0</v>
      </c>
      <c r="AD169" s="448">
        <f t="shared" si="179"/>
        <v>0</v>
      </c>
      <c r="AE169" s="263"/>
      <c r="AU169" s="261"/>
      <c r="AZ169" s="253"/>
    </row>
    <row r="170" spans="2:52" ht="15" customHeight="1">
      <c r="B170" s="233" t="str">
        <f t="shared" ref="B170:G170" si="287">B90</f>
        <v>RHTUDSTRE1</v>
      </c>
      <c r="C170" s="233" t="str">
        <f t="shared" si="287"/>
        <v>Residential Heating Technology Urban Detached - Straw - Existing 1</v>
      </c>
      <c r="D170" s="233" t="str">
        <f t="shared" si="287"/>
        <v>Urban</v>
      </c>
      <c r="E170" s="233" t="str">
        <f t="shared" si="287"/>
        <v>Detached</v>
      </c>
      <c r="F170" s="233" t="str">
        <f t="shared" si="287"/>
        <v>RESSTR</v>
      </c>
      <c r="G170" s="233" t="str">
        <f t="shared" si="287"/>
        <v>RESHUDB</v>
      </c>
      <c r="H170" s="584">
        <f t="shared" si="282"/>
        <v>2038</v>
      </c>
      <c r="I170" s="251">
        <v>0</v>
      </c>
      <c r="J170" s="251">
        <v>0</v>
      </c>
      <c r="K170" s="251">
        <v>0</v>
      </c>
      <c r="L170" s="466">
        <v>0.61</v>
      </c>
      <c r="M170" s="466">
        <v>0.61</v>
      </c>
      <c r="N170" s="466">
        <v>0.61</v>
      </c>
      <c r="O170" s="244">
        <f t="shared" si="285"/>
        <v>3.1536000000000002E-2</v>
      </c>
      <c r="P170" s="462">
        <v>0.15</v>
      </c>
      <c r="Q170" s="246">
        <v>20</v>
      </c>
      <c r="R170" s="227">
        <v>1.05</v>
      </c>
      <c r="T170" s="269">
        <f t="shared" si="105"/>
        <v>0</v>
      </c>
      <c r="U170" s="269"/>
      <c r="W170" s="255" t="s">
        <v>188</v>
      </c>
      <c r="X170" s="247">
        <v>2019</v>
      </c>
      <c r="Y170" s="436">
        <f>_xlfn.IFNA(INDEX('Data manipulation'!$C$23:$N$40,MATCH($V170,'Data manipulation'!$B$23:$B$40,0),MATCH($X170,'Data manipulation'!$C$22:$N$22,0))/1000,0)*SUMIFS('Regional split'!$F$4:$F$6,'Regional split'!$B$4:$B$6,Y$3)*SUMIFS('Data manipulation'!$V$40:$V$43,'Data manipulation'!$X$40:$X$43,$E170,'Data manipulation'!$Y$40:$Y$43,$D170)</f>
        <v>0</v>
      </c>
      <c r="Z170" s="271">
        <f>_xlfn.IFNA(INDEX('Data manipulation'!$C$23:$N$40,MATCH($V170,'Data manipulation'!$B$23:$B$40,0),MATCH($X170,'Data manipulation'!$C$22:$N$22,0))/1000,0)*SUMIFS('Regional split'!$F$4:$F$6,'Regional split'!$B$4:$B$6,Z$3)*SUMIFS('Data manipulation'!$V$40:$V$43,'Data manipulation'!$X$40:$X$43,$E170,'Data manipulation'!$Y$40:$Y$43,$D170)</f>
        <v>0</v>
      </c>
      <c r="AA170" s="458">
        <f>_xlfn.IFNA(INDEX('Data manipulation'!$C$23:$N$40,MATCH($V170,'Data manipulation'!$B$23:$B$40,0),MATCH($X170,'Data manipulation'!$C$22:$N$22,0))/1000,0)*SUMIFS('Regional split'!$F$4:$F$6,'Regional split'!$B$4:$B$6,AA$3)*SUMIFS('Data manipulation'!$V$40:$V$43,'Data manipulation'!$X$40:$X$43,$E170,'Data manipulation'!$Y$40:$Y$43,$D170)</f>
        <v>0</v>
      </c>
      <c r="AB170" s="447">
        <f t="shared" si="177"/>
        <v>0</v>
      </c>
      <c r="AC170" s="252">
        <f t="shared" si="178"/>
        <v>0</v>
      </c>
      <c r="AD170" s="448">
        <f t="shared" si="179"/>
        <v>0</v>
      </c>
      <c r="AE170" s="263"/>
      <c r="AU170" s="261"/>
      <c r="AZ170" s="253"/>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84">
        <f t="shared" si="282"/>
        <v>2038</v>
      </c>
      <c r="I171" s="251">
        <v>0</v>
      </c>
      <c r="J171" s="251">
        <v>0</v>
      </c>
      <c r="K171" s="251">
        <v>0</v>
      </c>
      <c r="L171" s="466">
        <v>1</v>
      </c>
      <c r="M171" s="466">
        <v>1</v>
      </c>
      <c r="N171" s="466">
        <v>1</v>
      </c>
      <c r="O171" s="244">
        <f t="shared" si="285"/>
        <v>3.1536000000000002E-2</v>
      </c>
      <c r="P171" s="462">
        <v>0.15</v>
      </c>
      <c r="Q171" s="246">
        <v>20</v>
      </c>
      <c r="R171" s="227">
        <v>1.05</v>
      </c>
      <c r="T171" s="269">
        <f t="shared" si="105"/>
        <v>0</v>
      </c>
      <c r="U171" s="269"/>
      <c r="W171" s="255" t="s">
        <v>189</v>
      </c>
      <c r="X171" s="247">
        <v>2019</v>
      </c>
      <c r="Y171" s="436">
        <f>_xlfn.IFNA(INDEX('Data manipulation'!$C$23:$N$40,MATCH($V171,'Data manipulation'!$B$23:$B$40,0),MATCH($X171,'Data manipulation'!$C$22:$N$22,0))/1000,0)*SUMIFS('Regional split'!$F$4:$F$6,'Regional split'!$B$4:$B$6,Y$3)*SUMIFS('Data manipulation'!$V$40:$V$43,'Data manipulation'!$X$40:$X$43,$E171,'Data manipulation'!$Y$40:$Y$43,$D171)</f>
        <v>0</v>
      </c>
      <c r="Z171" s="271">
        <f>_xlfn.IFNA(INDEX('Data manipulation'!$C$23:$N$40,MATCH($V171,'Data manipulation'!$B$23:$B$40,0),MATCH($X171,'Data manipulation'!$C$22:$N$22,0))/1000,0)*SUMIFS('Regional split'!$F$4:$F$6,'Regional split'!$B$4:$B$6,Z$3)*SUMIFS('Data manipulation'!$V$40:$V$43,'Data manipulation'!$X$40:$X$43,$E171,'Data manipulation'!$Y$40:$Y$43,$D171)</f>
        <v>0</v>
      </c>
      <c r="AA171" s="458">
        <f>_xlfn.IFNA(INDEX('Data manipulation'!$C$23:$N$40,MATCH($V171,'Data manipulation'!$B$23:$B$40,0),MATCH($X171,'Data manipulation'!$C$22:$N$22,0))/1000,0)*SUMIFS('Regional split'!$F$4:$F$6,'Regional split'!$B$4:$B$6,AA$3)*SUMIFS('Data manipulation'!$V$40:$V$43,'Data manipulation'!$X$40:$X$43,$E171,'Data manipulation'!$Y$40:$Y$43,$D171)</f>
        <v>0</v>
      </c>
      <c r="AB171" s="447">
        <f t="shared" si="177"/>
        <v>0</v>
      </c>
      <c r="AC171" s="252">
        <f t="shared" si="178"/>
        <v>0</v>
      </c>
      <c r="AD171" s="448">
        <f t="shared" si="179"/>
        <v>0</v>
      </c>
      <c r="AE171" s="263"/>
      <c r="AU171" s="261"/>
      <c r="AZ171" s="253"/>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84">
        <f t="shared" si="282"/>
        <v>2048</v>
      </c>
      <c r="I172" s="251">
        <v>0</v>
      </c>
      <c r="J172" s="251">
        <v>0</v>
      </c>
      <c r="K172" s="251">
        <v>0</v>
      </c>
      <c r="L172" s="466">
        <v>1</v>
      </c>
      <c r="M172" s="466">
        <v>1</v>
      </c>
      <c r="N172" s="466">
        <v>1</v>
      </c>
      <c r="O172" s="244">
        <f t="shared" si="285"/>
        <v>3.1536000000000002E-2</v>
      </c>
      <c r="P172" s="462">
        <v>0.15</v>
      </c>
      <c r="Q172" s="246">
        <v>30</v>
      </c>
      <c r="R172" s="227">
        <v>1.05</v>
      </c>
      <c r="T172" s="269">
        <f t="shared" si="105"/>
        <v>0</v>
      </c>
      <c r="U172" s="269"/>
      <c r="V172" s="227" t="str">
        <f>V102</f>
        <v>Electricity</v>
      </c>
      <c r="W172" s="255" t="s">
        <v>190</v>
      </c>
      <c r="X172" s="247">
        <v>2019</v>
      </c>
      <c r="Y172" s="436">
        <f>_xlfn.IFNA(INDEX('Data manipulation'!$C$23:$N$40,MATCH($V172,'Data manipulation'!$B$23:$B$40,0),MATCH($X172,'Data manipulation'!$C$22:$N$22,0))/1000,0)*SUMIFS('Regional split'!$F$4:$F$6,'Regional split'!$B$4:$B$6,Y$3)*SUMIFS('Data manipulation'!$V$40:$V$43,'Data manipulation'!$X$40:$X$43,$E172,'Data manipulation'!$Y$40:$Y$43,$D172)</f>
        <v>0</v>
      </c>
      <c r="Z172" s="271">
        <f>_xlfn.IFNA(INDEX('Data manipulation'!$C$23:$N$40,MATCH($V172,'Data manipulation'!$B$23:$B$40,0),MATCH($X172,'Data manipulation'!$C$22:$N$22,0))/1000,0)*SUMIFS('Regional split'!$F$4:$F$6,'Regional split'!$B$4:$B$6,Z$3)*SUMIFS('Data manipulation'!$V$40:$V$43,'Data manipulation'!$X$40:$X$43,$E172,'Data manipulation'!$Y$40:$Y$43,$D172)</f>
        <v>0</v>
      </c>
      <c r="AA172" s="458">
        <f>_xlfn.IFNA(INDEX('Data manipulation'!$C$23:$N$40,MATCH($V172,'Data manipulation'!$B$23:$B$40,0),MATCH($X172,'Data manipulation'!$C$22:$N$22,0))/1000,0)*SUMIFS('Regional split'!$F$4:$F$6,'Regional split'!$B$4:$B$6,AA$3)*SUMIFS('Data manipulation'!$V$40:$V$43,'Data manipulation'!$X$40:$X$43,$E172,'Data manipulation'!$Y$40:$Y$43,$D172)</f>
        <v>0</v>
      </c>
      <c r="AB172" s="447">
        <f t="shared" si="177"/>
        <v>0</v>
      </c>
      <c r="AC172" s="252">
        <f t="shared" si="178"/>
        <v>0</v>
      </c>
      <c r="AD172" s="448">
        <f t="shared" si="179"/>
        <v>0</v>
      </c>
      <c r="AU172" s="261"/>
      <c r="AZ172" s="253"/>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84">
        <f t="shared" si="282"/>
        <v>2048</v>
      </c>
      <c r="I173" s="251">
        <v>0</v>
      </c>
      <c r="J173" s="251">
        <v>0</v>
      </c>
      <c r="K173" s="251">
        <v>0</v>
      </c>
      <c r="L173" s="466">
        <v>2.3149999999999999</v>
      </c>
      <c r="M173" s="466">
        <v>2.3149999999999999</v>
      </c>
      <c r="N173" s="466">
        <v>2.3149999999999999</v>
      </c>
      <c r="O173" s="244">
        <f t="shared" si="285"/>
        <v>3.1536000000000002E-2</v>
      </c>
      <c r="P173" s="462">
        <v>0.15</v>
      </c>
      <c r="Q173" s="246">
        <v>30</v>
      </c>
      <c r="R173" s="227">
        <v>1.05</v>
      </c>
      <c r="T173" s="269">
        <f t="shared" si="105"/>
        <v>0</v>
      </c>
      <c r="U173" s="269"/>
      <c r="W173" s="255" t="s">
        <v>191</v>
      </c>
      <c r="X173" s="247">
        <v>2019</v>
      </c>
      <c r="Y173" s="436">
        <f>_xlfn.IFNA(INDEX('Data manipulation'!$C$23:$N$40,MATCH($V173,'Data manipulation'!$B$23:$B$40,0),MATCH($X173,'Data manipulation'!$C$22:$N$22,0))/1000,0)*SUMIFS('Regional split'!$F$4:$F$6,'Regional split'!$B$4:$B$6,Y$3)*SUMIFS('Data manipulation'!$V$40:$V$43,'Data manipulation'!$X$40:$X$43,$E173,'Data manipulation'!$Y$40:$Y$43,$D173)</f>
        <v>0</v>
      </c>
      <c r="Z173" s="271">
        <f>_xlfn.IFNA(INDEX('Data manipulation'!$C$23:$N$40,MATCH($V173,'Data manipulation'!$B$23:$B$40,0),MATCH($X173,'Data manipulation'!$C$22:$N$22,0))/1000,0)*SUMIFS('Regional split'!$F$4:$F$6,'Regional split'!$B$4:$B$6,Z$3)*SUMIFS('Data manipulation'!$V$40:$V$43,'Data manipulation'!$X$40:$X$43,$E173,'Data manipulation'!$Y$40:$Y$43,$D173)</f>
        <v>0</v>
      </c>
      <c r="AA173" s="458">
        <f>_xlfn.IFNA(INDEX('Data manipulation'!$C$23:$N$40,MATCH($V173,'Data manipulation'!$B$23:$B$40,0),MATCH($X173,'Data manipulation'!$C$22:$N$22,0))/1000,0)*SUMIFS('Regional split'!$F$4:$F$6,'Regional split'!$B$4:$B$6,AA$3)*SUMIFS('Data manipulation'!$V$40:$V$43,'Data manipulation'!$X$40:$X$43,$E173,'Data manipulation'!$Y$40:$Y$43,$D173)</f>
        <v>0</v>
      </c>
      <c r="AB173" s="447">
        <f t="shared" si="177"/>
        <v>0</v>
      </c>
      <c r="AC173" s="252">
        <f t="shared" si="178"/>
        <v>0</v>
      </c>
      <c r="AD173" s="448">
        <f t="shared" si="179"/>
        <v>0</v>
      </c>
      <c r="AU173" s="261"/>
      <c r="AZ173" s="253"/>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84">
        <f t="shared" si="282"/>
        <v>2048</v>
      </c>
      <c r="I174" s="583">
        <v>0</v>
      </c>
      <c r="J174" s="583">
        <v>0</v>
      </c>
      <c r="K174" s="583">
        <v>0</v>
      </c>
      <c r="L174" s="466">
        <v>0.95</v>
      </c>
      <c r="M174" s="466">
        <v>0.95</v>
      </c>
      <c r="N174" s="466">
        <v>0.95</v>
      </c>
      <c r="O174" s="244">
        <f t="shared" si="285"/>
        <v>3.1536000000000002E-2</v>
      </c>
      <c r="P174" s="462">
        <v>0.15</v>
      </c>
      <c r="Q174" s="246">
        <v>30</v>
      </c>
      <c r="R174" s="227">
        <v>1.05</v>
      </c>
      <c r="T174" s="269">
        <f t="shared" si="105"/>
        <v>0</v>
      </c>
      <c r="U174" s="269"/>
      <c r="V174" s="227" t="s">
        <v>220</v>
      </c>
      <c r="W174" s="255" t="s">
        <v>192</v>
      </c>
      <c r="X174" s="247">
        <v>2019</v>
      </c>
      <c r="Y174" s="436">
        <f>_xlfn.IFNA(INDEX('Data manipulation'!$C$23:$N$40,MATCH($V174,'Data manipulation'!$B$23:$B$40,0),MATCH($X174,'Data manipulation'!$C$22:$N$22,0))/1000,0)*SUMIFS('Regional split'!$F$4:$F$6,'Regional split'!$B$4:$B$6,Y$3)*SUMIFS('Data manipulation'!$V$40:$V$43,'Data manipulation'!$X$40:$X$43,$E174,'Data manipulation'!$Y$40:$Y$43,$D174)</f>
        <v>0</v>
      </c>
      <c r="Z174" s="271">
        <f>_xlfn.IFNA(INDEX('Data manipulation'!$C$23:$N$40,MATCH($V174,'Data manipulation'!$B$23:$B$40,0),MATCH($X174,'Data manipulation'!$C$22:$N$22,0))/1000,0)*SUMIFS('Regional split'!$F$4:$F$6,'Regional split'!$B$4:$B$6,Z$3)*SUMIFS('Data manipulation'!$V$40:$V$43,'Data manipulation'!$X$40:$X$43,$E174,'Data manipulation'!$Y$40:$Y$43,$D174)</f>
        <v>0</v>
      </c>
      <c r="AA174" s="458">
        <f>_xlfn.IFNA(INDEX('Data manipulation'!$C$23:$N$40,MATCH($V174,'Data manipulation'!$B$23:$B$40,0),MATCH($X174,'Data manipulation'!$C$22:$N$22,0))/1000,0)*SUMIFS('Regional split'!$F$4:$F$6,'Regional split'!$B$4:$B$6,AA$3)*SUMIFS('Data manipulation'!$V$40:$V$43,'Data manipulation'!$X$40:$X$43,$E174,'Data manipulation'!$Y$40:$Y$43,$D174)</f>
        <v>0</v>
      </c>
      <c r="AB174" s="447">
        <f t="shared" si="177"/>
        <v>0</v>
      </c>
      <c r="AC174" s="252">
        <f t="shared" si="178"/>
        <v>0</v>
      </c>
      <c r="AD174" s="448">
        <f t="shared" si="179"/>
        <v>0</v>
      </c>
      <c r="AU174" s="261"/>
      <c r="AZ174" s="253"/>
    </row>
    <row r="175" spans="2:52" ht="15" customHeight="1" thickBot="1">
      <c r="B175" s="256" t="str">
        <f t="shared" ref="B175:G175" si="292">B95</f>
        <v>RHTUDLPGE1</v>
      </c>
      <c r="C175" s="256" t="str">
        <f t="shared" si="292"/>
        <v>Residential Heating Technology Urban Detached - LPG - Existing 1</v>
      </c>
      <c r="D175" s="546" t="str">
        <f t="shared" si="292"/>
        <v>Urban</v>
      </c>
      <c r="E175" s="546" t="str">
        <f t="shared" si="292"/>
        <v>Detached</v>
      </c>
      <c r="F175" s="256" t="str">
        <f t="shared" si="292"/>
        <v>RESLPG</v>
      </c>
      <c r="G175" s="256" t="str">
        <f t="shared" si="292"/>
        <v>RESHUDB</v>
      </c>
      <c r="H175" s="586">
        <f t="shared" si="282"/>
        <v>2048</v>
      </c>
      <c r="I175" s="298">
        <f t="shared" ref="I175" si="293">ROUNDUP(AB175/($O175*$P175)*$R175,1)</f>
        <v>0</v>
      </c>
      <c r="J175" s="298">
        <f t="shared" ref="J175" si="294">ROUNDUP(AC175/($O175*$P175)*$R175,1)</f>
        <v>0</v>
      </c>
      <c r="K175" s="298">
        <f t="shared" ref="K175" si="295">ROUNDUP(AD175/($O175*$P175)*$R175,1)</f>
        <v>0</v>
      </c>
      <c r="L175" s="467">
        <v>0.95</v>
      </c>
      <c r="M175" s="467">
        <v>0.95</v>
      </c>
      <c r="N175" s="467">
        <v>0.95</v>
      </c>
      <c r="O175" s="258">
        <f t="shared" si="285"/>
        <v>3.1536000000000002E-2</v>
      </c>
      <c r="P175" s="463">
        <v>0.15</v>
      </c>
      <c r="Q175" s="259">
        <v>30</v>
      </c>
      <c r="R175" s="227">
        <v>1.05</v>
      </c>
      <c r="T175" s="269">
        <f t="shared" ref="T175:T205" si="296">SUM(I175:K175)*O175*P175/L175</f>
        <v>0</v>
      </c>
      <c r="U175" s="269"/>
      <c r="V175" s="227" t="s">
        <v>210</v>
      </c>
      <c r="W175" s="429" t="s">
        <v>769</v>
      </c>
      <c r="X175" s="247">
        <v>2019</v>
      </c>
      <c r="Y175" s="437">
        <f>_xlfn.IFNA(INDEX('Data manipulation'!$C$23:$N$40,MATCH($V175,'Data manipulation'!$B$23:$B$40,0),MATCH($X175,'Data manipulation'!$C$22:$N$22,0))/1000,0)*SUMIFS('Regional split'!$F$4:$F$6,'Regional split'!$B$4:$B$6,Y$3)*SUMIFS('Data manipulation'!$V$40:$V$43,'Data manipulation'!$X$40:$X$43,$E175,'Data manipulation'!$Y$40:$Y$43,$D175)</f>
        <v>0</v>
      </c>
      <c r="Z175" s="434">
        <f>_xlfn.IFNA(INDEX('Data manipulation'!$C$23:$N$40,MATCH($V175,'Data manipulation'!$B$23:$B$40,0),MATCH($X175,'Data manipulation'!$C$22:$N$22,0))/1000,0)*SUMIFS('Regional split'!$F$4:$F$6,'Regional split'!$B$4:$B$6,Z$3)*SUMIFS('Data manipulation'!$V$40:$V$43,'Data manipulation'!$X$40:$X$43,$E175,'Data manipulation'!$Y$40:$Y$43,$D175)</f>
        <v>0</v>
      </c>
      <c r="AA175" s="459">
        <f>_xlfn.IFNA(INDEX('Data manipulation'!$C$23:$N$40,MATCH($V175,'Data manipulation'!$B$23:$B$40,0),MATCH($X175,'Data manipulation'!$C$22:$N$22,0))/1000,0)*SUMIFS('Regional split'!$F$4:$F$6,'Regional split'!$B$4:$B$6,AA$3)*SUMIFS('Data manipulation'!$V$40:$V$43,'Data manipulation'!$X$40:$X$43,$E175,'Data manipulation'!$Y$40:$Y$43,$D175)</f>
        <v>0</v>
      </c>
      <c r="AB175" s="454">
        <f t="shared" si="177"/>
        <v>0</v>
      </c>
      <c r="AC175" s="278">
        <f t="shared" si="178"/>
        <v>0</v>
      </c>
      <c r="AD175" s="450">
        <f t="shared" si="179"/>
        <v>0</v>
      </c>
      <c r="AU175" s="261"/>
      <c r="AZ175" s="253"/>
    </row>
    <row r="176" spans="2:52" ht="15" customHeight="1">
      <c r="B176" s="233" t="str">
        <f t="shared" ref="B176:G176" si="297">B96</f>
        <v>RHTRDNGAE1</v>
      </c>
      <c r="C176" s="233" t="str">
        <f t="shared" si="297"/>
        <v>Residential Heating Technology Rural Detached - Natural Gas - Existing 1</v>
      </c>
      <c r="D176" s="233" t="str">
        <f t="shared" si="297"/>
        <v>Rural</v>
      </c>
      <c r="E176" s="233" t="str">
        <f t="shared" si="297"/>
        <v>Detached</v>
      </c>
      <c r="F176" s="233" t="str">
        <f t="shared" si="297"/>
        <v>RESNGA,RESSNG</v>
      </c>
      <c r="G176" s="233" t="str">
        <f t="shared" si="297"/>
        <v>RESHRDB</v>
      </c>
      <c r="H176" s="585">
        <f t="shared" si="282"/>
        <v>2043</v>
      </c>
      <c r="I176" s="251">
        <v>0</v>
      </c>
      <c r="J176" s="251">
        <v>0</v>
      </c>
      <c r="K176" s="251">
        <v>0</v>
      </c>
      <c r="L176" s="466">
        <v>0.79</v>
      </c>
      <c r="M176" s="466">
        <v>0.79</v>
      </c>
      <c r="N176" s="466">
        <v>0.79</v>
      </c>
      <c r="O176" s="244">
        <f t="shared" si="285"/>
        <v>3.1536000000000002E-2</v>
      </c>
      <c r="P176" s="462">
        <v>0.15</v>
      </c>
      <c r="Q176" s="246">
        <v>25</v>
      </c>
      <c r="R176" s="227">
        <v>1.05</v>
      </c>
      <c r="T176" s="269">
        <f t="shared" si="296"/>
        <v>0</v>
      </c>
      <c r="U176" s="269"/>
      <c r="V176" s="227" t="s">
        <v>80</v>
      </c>
      <c r="W176" s="255" t="s">
        <v>187</v>
      </c>
      <c r="X176" s="247">
        <v>2019</v>
      </c>
      <c r="Y176" s="436">
        <f>_xlfn.IFNA(INDEX('Data manipulation'!$C$23:$N$40,MATCH($V176,'Data manipulation'!$B$23:$B$40,0),MATCH($X176,'Data manipulation'!$C$22:$N$22,0))/1000,0)*SUMIFS('Regional split'!$F$4:$F$6,'Regional split'!$B$4:$B$6,Y$3)*SUMIFS('Data manipulation'!$V$40:$V$43,'Data manipulation'!$X$40:$X$43,$E176,'Data manipulation'!$Y$40:$Y$43,$D176)</f>
        <v>0</v>
      </c>
      <c r="Z176" s="271">
        <f>_xlfn.IFNA(INDEX('Data manipulation'!$C$23:$N$40,MATCH($V176,'Data manipulation'!$B$23:$B$40,0),MATCH($X176,'Data manipulation'!$C$22:$N$22,0))/1000,0)*SUMIFS('Regional split'!$F$4:$F$6,'Regional split'!$B$4:$B$6,Z$3)*SUMIFS('Data manipulation'!$V$40:$V$43,'Data manipulation'!$X$40:$X$43,$E176,'Data manipulation'!$Y$40:$Y$43,$D176)</f>
        <v>0</v>
      </c>
      <c r="AA176" s="458">
        <f>_xlfn.IFNA(INDEX('Data manipulation'!$C$23:$N$40,MATCH($V176,'Data manipulation'!$B$23:$B$40,0),MATCH($X176,'Data manipulation'!$C$22:$N$22,0))/1000,0)*SUMIFS('Regional split'!$F$4:$F$6,'Regional split'!$B$4:$B$6,AA$3)*SUMIFS('Data manipulation'!$V$40:$V$43,'Data manipulation'!$X$40:$X$43,$E176,'Data manipulation'!$Y$40:$Y$43,$D176)</f>
        <v>0</v>
      </c>
      <c r="AB176" s="455">
        <f t="shared" si="177"/>
        <v>0</v>
      </c>
      <c r="AC176" s="279">
        <f t="shared" si="178"/>
        <v>0</v>
      </c>
      <c r="AD176" s="451">
        <f t="shared" si="179"/>
        <v>0</v>
      </c>
      <c r="AU176" s="261"/>
      <c r="AZ176" s="253"/>
    </row>
    <row r="177" spans="2:52" ht="15" customHeight="1">
      <c r="B177" s="233" t="str">
        <f t="shared" ref="B177:G177" si="298">B97</f>
        <v>RHTRDDSLE1</v>
      </c>
      <c r="C177" s="233" t="str">
        <f t="shared" si="298"/>
        <v>Residential Heating Technology Rural Detached - Diesel - Existing 1</v>
      </c>
      <c r="D177" s="233" t="str">
        <f t="shared" si="298"/>
        <v>Rural</v>
      </c>
      <c r="E177" s="233" t="str">
        <f t="shared" si="298"/>
        <v>Detached</v>
      </c>
      <c r="F177" s="233" t="str">
        <f t="shared" si="298"/>
        <v>RESDSL,RESDSB</v>
      </c>
      <c r="G177" s="233" t="str">
        <f t="shared" si="298"/>
        <v>RESHRDB</v>
      </c>
      <c r="H177" s="585">
        <f t="shared" si="282"/>
        <v>2038</v>
      </c>
      <c r="I177" s="251">
        <v>0</v>
      </c>
      <c r="J177" s="251">
        <v>0</v>
      </c>
      <c r="K177" s="251">
        <v>0</v>
      </c>
      <c r="L177" s="466">
        <v>0.79</v>
      </c>
      <c r="M177" s="466">
        <v>0.79</v>
      </c>
      <c r="N177" s="466">
        <v>0.79</v>
      </c>
      <c r="O177" s="244">
        <f t="shared" si="285"/>
        <v>3.1536000000000002E-2</v>
      </c>
      <c r="P177" s="462">
        <v>0.15</v>
      </c>
      <c r="Q177" s="246">
        <v>20</v>
      </c>
      <c r="R177" s="227">
        <v>1.05</v>
      </c>
      <c r="T177" s="269">
        <f t="shared" si="296"/>
        <v>0</v>
      </c>
      <c r="V177" s="227" t="s">
        <v>213</v>
      </c>
      <c r="W177" s="255" t="s">
        <v>728</v>
      </c>
      <c r="X177" s="247">
        <v>2019</v>
      </c>
      <c r="Y177" s="436">
        <f>_xlfn.IFNA(INDEX('Data manipulation'!$C$23:$N$40,MATCH($V177,'Data manipulation'!$B$23:$B$40,0),MATCH($X177,'Data manipulation'!$C$22:$N$22,0))/1000,0)*SUMIFS('Regional split'!$F$4:$F$6,'Regional split'!$B$4:$B$6,Y$3)*SUMIFS('Data manipulation'!$V$40:$V$43,'Data manipulation'!$X$40:$X$43,$E177,'Data manipulation'!$Y$40:$Y$43,$D177)</f>
        <v>0</v>
      </c>
      <c r="Z177" s="271">
        <f>_xlfn.IFNA(INDEX('Data manipulation'!$C$23:$N$40,MATCH($V177,'Data manipulation'!$B$23:$B$40,0),MATCH($X177,'Data manipulation'!$C$22:$N$22,0))/1000,0)*SUMIFS('Regional split'!$F$4:$F$6,'Regional split'!$B$4:$B$6,Z$3)*SUMIFS('Data manipulation'!$V$40:$V$43,'Data manipulation'!$X$40:$X$43,$E177,'Data manipulation'!$Y$40:$Y$43,$D177)</f>
        <v>0</v>
      </c>
      <c r="AA177" s="458">
        <f>_xlfn.IFNA(INDEX('Data manipulation'!$C$23:$N$40,MATCH($V177,'Data manipulation'!$B$23:$B$40,0),MATCH($X177,'Data manipulation'!$C$22:$N$22,0))/1000,0)*SUMIFS('Regional split'!$F$4:$F$6,'Regional split'!$B$4:$B$6,AA$3)*SUMIFS('Data manipulation'!$V$40:$V$43,'Data manipulation'!$X$40:$X$43,$E177,'Data manipulation'!$Y$40:$Y$43,$D177)</f>
        <v>0</v>
      </c>
      <c r="AB177" s="447">
        <f t="shared" si="177"/>
        <v>0</v>
      </c>
      <c r="AC177" s="252">
        <f t="shared" si="178"/>
        <v>0</v>
      </c>
      <c r="AD177" s="448">
        <f t="shared" si="179"/>
        <v>0</v>
      </c>
      <c r="AU177" s="261"/>
      <c r="AZ177" s="253"/>
    </row>
    <row r="178" spans="2:52" ht="15" customHeight="1">
      <c r="B178" s="233" t="str">
        <f t="shared" ref="B178:G178" si="299">B98</f>
        <v>RHTRDWPEE1</v>
      </c>
      <c r="C178" s="233" t="str">
        <f t="shared" si="299"/>
        <v>Residential Heating Technology Rural Detached - Wood pellets - Existing 1</v>
      </c>
      <c r="D178" s="233" t="str">
        <f t="shared" si="299"/>
        <v>Rural</v>
      </c>
      <c r="E178" s="233" t="str">
        <f t="shared" si="299"/>
        <v>Detached</v>
      </c>
      <c r="F178" s="233" t="str">
        <f t="shared" si="299"/>
        <v>RESWPE</v>
      </c>
      <c r="G178" s="233" t="str">
        <f t="shared" si="299"/>
        <v>RESHRDB</v>
      </c>
      <c r="H178" s="585">
        <f t="shared" si="282"/>
        <v>2038</v>
      </c>
      <c r="I178" s="251">
        <v>0</v>
      </c>
      <c r="J178" s="251">
        <v>0</v>
      </c>
      <c r="K178" s="251">
        <v>0</v>
      </c>
      <c r="L178" s="466">
        <v>0.67</v>
      </c>
      <c r="M178" s="466">
        <v>0.67</v>
      </c>
      <c r="N178" s="466">
        <v>0.67</v>
      </c>
      <c r="O178" s="244">
        <f>31.536/1000</f>
        <v>3.1536000000000002E-2</v>
      </c>
      <c r="P178" s="462">
        <v>0.15</v>
      </c>
      <c r="Q178" s="246">
        <v>20</v>
      </c>
      <c r="R178" s="227">
        <v>1.05</v>
      </c>
      <c r="T178" s="269">
        <f t="shared" si="296"/>
        <v>0</v>
      </c>
      <c r="U178" s="269"/>
      <c r="V178" s="269" t="s">
        <v>214</v>
      </c>
      <c r="W178" s="255" t="s">
        <v>728</v>
      </c>
      <c r="X178" s="247">
        <v>2019</v>
      </c>
      <c r="Y178" s="436">
        <f>_xlfn.IFNA(INDEX('Data manipulation'!$C$23:$N$40,MATCH($V178,'Data manipulation'!$B$23:$B$40,0),MATCH($X178,'Data manipulation'!$C$22:$N$22,0))/1000,0)*SUMIFS('Regional split'!$F$4:$F$6,'Regional split'!$B$4:$B$6,Y$3)*SUMIFS('Data manipulation'!$V$40:$V$43,'Data manipulation'!$X$40:$X$43,$E178,'Data manipulation'!$Y$40:$Y$43,$D178)</f>
        <v>0</v>
      </c>
      <c r="Z178" s="271">
        <f>_xlfn.IFNA(INDEX('Data manipulation'!$C$23:$N$40,MATCH($V178,'Data manipulation'!$B$23:$B$40,0),MATCH($X178,'Data manipulation'!$C$22:$N$22,0))/1000,0)*SUMIFS('Regional split'!$F$4:$F$6,'Regional split'!$B$4:$B$6,Z$3)*SUMIFS('Data manipulation'!$V$40:$V$43,'Data manipulation'!$X$40:$X$43,$E178,'Data manipulation'!$Y$40:$Y$43,$D178)</f>
        <v>0</v>
      </c>
      <c r="AA178" s="458">
        <f>_xlfn.IFNA(INDEX('Data manipulation'!$C$23:$N$40,MATCH($V178,'Data manipulation'!$B$23:$B$40,0),MATCH($X178,'Data manipulation'!$C$22:$N$22,0))/1000,0)*SUMIFS('Regional split'!$F$4:$F$6,'Regional split'!$B$4:$B$6,AA$3)*SUMIFS('Data manipulation'!$V$40:$V$43,'Data manipulation'!$X$40:$X$43,$E178,'Data manipulation'!$Y$40:$Y$43,$D178)</f>
        <v>0</v>
      </c>
      <c r="AB178" s="447">
        <f t="shared" si="177"/>
        <v>0</v>
      </c>
      <c r="AC178" s="252">
        <f t="shared" si="178"/>
        <v>0</v>
      </c>
      <c r="AD178" s="448">
        <f t="shared" si="179"/>
        <v>0</v>
      </c>
      <c r="AU178" s="261"/>
      <c r="AZ178" s="253"/>
    </row>
    <row r="179" spans="2:52" ht="15" customHeight="1">
      <c r="B179" s="233" t="str">
        <f t="shared" ref="B179:G179" si="300">B99</f>
        <v>RHTRDFIWE1</v>
      </c>
      <c r="C179" s="233" t="str">
        <f t="shared" si="300"/>
        <v>Residential Heating Technology Rural Detached - Fire wood - Existing 1</v>
      </c>
      <c r="D179" s="233" t="str">
        <f t="shared" si="300"/>
        <v>Rural</v>
      </c>
      <c r="E179" s="233" t="str">
        <f t="shared" si="300"/>
        <v>Detached</v>
      </c>
      <c r="F179" s="233" t="str">
        <f t="shared" si="300"/>
        <v>RESFIW</v>
      </c>
      <c r="G179" s="233" t="str">
        <f t="shared" si="300"/>
        <v>RESHRDB</v>
      </c>
      <c r="H179" s="585">
        <f t="shared" si="282"/>
        <v>2038</v>
      </c>
      <c r="I179" s="251">
        <v>0</v>
      </c>
      <c r="J179" s="251">
        <v>0</v>
      </c>
      <c r="K179" s="251">
        <v>0</v>
      </c>
      <c r="L179" s="466">
        <v>0.67</v>
      </c>
      <c r="M179" s="466">
        <v>0.67</v>
      </c>
      <c r="N179" s="466">
        <v>0.67</v>
      </c>
      <c r="O179" s="244">
        <f>31.536/1000</f>
        <v>3.1536000000000002E-2</v>
      </c>
      <c r="P179" s="462">
        <v>0.15</v>
      </c>
      <c r="Q179" s="246">
        <v>20</v>
      </c>
      <c r="R179" s="227">
        <v>1.05</v>
      </c>
      <c r="T179" s="269">
        <f t="shared" si="296"/>
        <v>0</v>
      </c>
      <c r="U179" s="269"/>
      <c r="V179" s="227" t="s">
        <v>221</v>
      </c>
      <c r="W179" s="255" t="s">
        <v>197</v>
      </c>
      <c r="X179" s="247">
        <v>2019</v>
      </c>
      <c r="Y179" s="436">
        <f>_xlfn.IFNA(INDEX('Data manipulation'!$C$23:$N$40,MATCH($V179,'Data manipulation'!$B$23:$B$40,0),MATCH($X179,'Data manipulation'!$C$22:$N$22,0))/1000,0)*SUMIFS('Regional split'!$F$4:$F$6,'Regional split'!$B$4:$B$6,Y$3)*SUMIFS('Data manipulation'!$V$40:$V$43,'Data manipulation'!$X$40:$X$43,$E179,'Data manipulation'!$Y$40:$Y$43,$D179)</f>
        <v>0</v>
      </c>
      <c r="Z179" s="271">
        <f>_xlfn.IFNA(INDEX('Data manipulation'!$C$23:$N$40,MATCH($V179,'Data manipulation'!$B$23:$B$40,0),MATCH($X179,'Data manipulation'!$C$22:$N$22,0))/1000,0)*SUMIFS('Regional split'!$F$4:$F$6,'Regional split'!$B$4:$B$6,Z$3)*SUMIFS('Data manipulation'!$V$40:$V$43,'Data manipulation'!$X$40:$X$43,$E179,'Data manipulation'!$Y$40:$Y$43,$D179)</f>
        <v>0</v>
      </c>
      <c r="AA179" s="458">
        <f>_xlfn.IFNA(INDEX('Data manipulation'!$C$23:$N$40,MATCH($V179,'Data manipulation'!$B$23:$B$40,0),MATCH($X179,'Data manipulation'!$C$22:$N$22,0))/1000,0)*SUMIFS('Regional split'!$F$4:$F$6,'Regional split'!$B$4:$B$6,AA$3)*SUMIFS('Data manipulation'!$V$40:$V$43,'Data manipulation'!$X$40:$X$43,$E179,'Data manipulation'!$Y$40:$Y$43,$D179)</f>
        <v>0</v>
      </c>
      <c r="AB179" s="447">
        <f t="shared" si="177"/>
        <v>0</v>
      </c>
      <c r="AC179" s="252">
        <f t="shared" si="178"/>
        <v>0</v>
      </c>
      <c r="AD179" s="448">
        <f t="shared" si="179"/>
        <v>0</v>
      </c>
      <c r="AU179" s="261"/>
      <c r="AZ179" s="253"/>
    </row>
    <row r="180" spans="2:52" ht="15" customHeight="1">
      <c r="B180" s="233" t="str">
        <f t="shared" ref="B180:G180" si="301">B100</f>
        <v>RHTRDSTRE1</v>
      </c>
      <c r="C180" s="233" t="str">
        <f t="shared" si="301"/>
        <v>Residential Heating Technology Rural Detached - Straw - Existing 1</v>
      </c>
      <c r="D180" s="233" t="str">
        <f t="shared" si="301"/>
        <v>Rural</v>
      </c>
      <c r="E180" s="233" t="str">
        <f t="shared" si="301"/>
        <v>Detached</v>
      </c>
      <c r="F180" s="233" t="str">
        <f t="shared" si="301"/>
        <v>RESSTR</v>
      </c>
      <c r="G180" s="233" t="str">
        <f t="shared" si="301"/>
        <v>RESHRDB</v>
      </c>
      <c r="H180" s="585">
        <f t="shared" si="282"/>
        <v>2038</v>
      </c>
      <c r="I180" s="251">
        <v>0</v>
      </c>
      <c r="J180" s="251">
        <v>0</v>
      </c>
      <c r="K180" s="251">
        <v>0</v>
      </c>
      <c r="L180" s="466">
        <v>0.61</v>
      </c>
      <c r="M180" s="466">
        <v>0.61</v>
      </c>
      <c r="N180" s="466">
        <v>0.61</v>
      </c>
      <c r="O180" s="244">
        <f t="shared" si="285"/>
        <v>3.1536000000000002E-2</v>
      </c>
      <c r="P180" s="462">
        <v>0.15</v>
      </c>
      <c r="Q180" s="246">
        <v>20</v>
      </c>
      <c r="R180" s="227">
        <v>1.05</v>
      </c>
      <c r="T180" s="269">
        <f t="shared" si="296"/>
        <v>0</v>
      </c>
      <c r="U180" s="269"/>
      <c r="W180" s="255" t="s">
        <v>188</v>
      </c>
      <c r="X180" s="247">
        <v>2019</v>
      </c>
      <c r="Y180" s="436">
        <f>_xlfn.IFNA(INDEX('Data manipulation'!$C$23:$N$40,MATCH($V180,'Data manipulation'!$B$23:$B$40,0),MATCH($X180,'Data manipulation'!$C$22:$N$22,0))/1000,0)*SUMIFS('Regional split'!$F$4:$F$6,'Regional split'!$B$4:$B$6,Y$3)*SUMIFS('Data manipulation'!$V$40:$V$43,'Data manipulation'!$X$40:$X$43,$E180,'Data manipulation'!$Y$40:$Y$43,$D180)</f>
        <v>0</v>
      </c>
      <c r="Z180" s="271">
        <f>_xlfn.IFNA(INDEX('Data manipulation'!$C$23:$N$40,MATCH($V180,'Data manipulation'!$B$23:$B$40,0),MATCH($X180,'Data manipulation'!$C$22:$N$22,0))/1000,0)*SUMIFS('Regional split'!$F$4:$F$6,'Regional split'!$B$4:$B$6,Z$3)*SUMIFS('Data manipulation'!$V$40:$V$43,'Data manipulation'!$X$40:$X$43,$E180,'Data manipulation'!$Y$40:$Y$43,$D180)</f>
        <v>0</v>
      </c>
      <c r="AA180" s="458">
        <f>_xlfn.IFNA(INDEX('Data manipulation'!$C$23:$N$40,MATCH($V180,'Data manipulation'!$B$23:$B$40,0),MATCH($X180,'Data manipulation'!$C$22:$N$22,0))/1000,0)*SUMIFS('Regional split'!$F$4:$F$6,'Regional split'!$B$4:$B$6,AA$3)*SUMIFS('Data manipulation'!$V$40:$V$43,'Data manipulation'!$X$40:$X$43,$E180,'Data manipulation'!$Y$40:$Y$43,$D180)</f>
        <v>0</v>
      </c>
      <c r="AB180" s="447">
        <f t="shared" si="177"/>
        <v>0</v>
      </c>
      <c r="AC180" s="252">
        <f t="shared" si="178"/>
        <v>0</v>
      </c>
      <c r="AD180" s="448">
        <f t="shared" si="179"/>
        <v>0</v>
      </c>
      <c r="AU180" s="261"/>
      <c r="AZ180" s="253"/>
    </row>
    <row r="181" spans="2:52" ht="15" customHeight="1">
      <c r="B181" s="233" t="str">
        <f t="shared" ref="B181:G181" si="302">B101</f>
        <v>RHTRDSOLE1</v>
      </c>
      <c r="C181" s="233" t="str">
        <f t="shared" si="302"/>
        <v>Residential Heating Technology Rural Detached - Solar - Existing 1</v>
      </c>
      <c r="D181" s="233" t="str">
        <f t="shared" si="302"/>
        <v>Rural</v>
      </c>
      <c r="E181" s="233" t="str">
        <f t="shared" si="302"/>
        <v>Detached</v>
      </c>
      <c r="F181" s="233" t="str">
        <f t="shared" si="302"/>
        <v>RESSOL</v>
      </c>
      <c r="G181" s="233" t="str">
        <f t="shared" si="302"/>
        <v>RESHRDB</v>
      </c>
      <c r="H181" s="585">
        <f t="shared" si="282"/>
        <v>2038</v>
      </c>
      <c r="I181" s="251">
        <v>0</v>
      </c>
      <c r="J181" s="251">
        <v>0</v>
      </c>
      <c r="K181" s="251">
        <v>0</v>
      </c>
      <c r="L181" s="466">
        <v>1</v>
      </c>
      <c r="M181" s="466">
        <v>1</v>
      </c>
      <c r="N181" s="466">
        <v>1</v>
      </c>
      <c r="O181" s="244">
        <f t="shared" si="285"/>
        <v>3.1536000000000002E-2</v>
      </c>
      <c r="P181" s="462">
        <v>0.15</v>
      </c>
      <c r="Q181" s="246">
        <v>20</v>
      </c>
      <c r="R181" s="227">
        <v>1.05</v>
      </c>
      <c r="T181" s="269">
        <f t="shared" si="296"/>
        <v>0</v>
      </c>
      <c r="U181" s="269"/>
      <c r="W181" s="255" t="s">
        <v>189</v>
      </c>
      <c r="X181" s="247">
        <v>2019</v>
      </c>
      <c r="Y181" s="436">
        <f>_xlfn.IFNA(INDEX('Data manipulation'!$C$23:$N$40,MATCH($V181,'Data manipulation'!$B$23:$B$40,0),MATCH($X181,'Data manipulation'!$C$22:$N$22,0))/1000,0)*SUMIFS('Regional split'!$F$4:$F$6,'Regional split'!$B$4:$B$6,Y$3)*SUMIFS('Data manipulation'!$V$40:$V$43,'Data manipulation'!$X$40:$X$43,$E181,'Data manipulation'!$Y$40:$Y$43,$D181)</f>
        <v>0</v>
      </c>
      <c r="Z181" s="271">
        <f>_xlfn.IFNA(INDEX('Data manipulation'!$C$23:$N$40,MATCH($V181,'Data manipulation'!$B$23:$B$40,0),MATCH($X181,'Data manipulation'!$C$22:$N$22,0))/1000,0)*SUMIFS('Regional split'!$F$4:$F$6,'Regional split'!$B$4:$B$6,Z$3)*SUMIFS('Data manipulation'!$V$40:$V$43,'Data manipulation'!$X$40:$X$43,$E181,'Data manipulation'!$Y$40:$Y$43,$D181)</f>
        <v>0</v>
      </c>
      <c r="AA181" s="458">
        <f>_xlfn.IFNA(INDEX('Data manipulation'!$C$23:$N$40,MATCH($V181,'Data manipulation'!$B$23:$B$40,0),MATCH($X181,'Data manipulation'!$C$22:$N$22,0))/1000,0)*SUMIFS('Regional split'!$F$4:$F$6,'Regional split'!$B$4:$B$6,AA$3)*SUMIFS('Data manipulation'!$V$40:$V$43,'Data manipulation'!$X$40:$X$43,$E181,'Data manipulation'!$Y$40:$Y$43,$D181)</f>
        <v>0</v>
      </c>
      <c r="AB181" s="447">
        <f t="shared" si="177"/>
        <v>0</v>
      </c>
      <c r="AC181" s="252">
        <f t="shared" si="178"/>
        <v>0</v>
      </c>
      <c r="AD181" s="448">
        <f t="shared" si="179"/>
        <v>0</v>
      </c>
      <c r="AU181" s="261"/>
      <c r="AZ181" s="253"/>
    </row>
    <row r="182" spans="2:52" ht="15" customHeight="1">
      <c r="B182" s="233" t="str">
        <f t="shared" ref="B182:G182" si="303">B102</f>
        <v>RHTRDELCHE1</v>
      </c>
      <c r="C182" s="233" t="str">
        <f t="shared" si="303"/>
        <v>Residential Heating Technology Rural Detached - Electricity Heating - Existing 1</v>
      </c>
      <c r="D182" s="233" t="str">
        <f t="shared" si="303"/>
        <v>Rural</v>
      </c>
      <c r="E182" s="233" t="str">
        <f t="shared" si="303"/>
        <v>Detached</v>
      </c>
      <c r="F182" s="233" t="str">
        <f t="shared" si="303"/>
        <v>RESELCH</v>
      </c>
      <c r="G182" s="233" t="str">
        <f t="shared" si="303"/>
        <v>RESHRDB</v>
      </c>
      <c r="H182" s="585">
        <f t="shared" si="282"/>
        <v>2048</v>
      </c>
      <c r="I182" s="251">
        <v>0</v>
      </c>
      <c r="J182" s="251">
        <v>0</v>
      </c>
      <c r="K182" s="251">
        <v>0</v>
      </c>
      <c r="L182" s="466">
        <v>1</v>
      </c>
      <c r="M182" s="466">
        <v>1</v>
      </c>
      <c r="N182" s="466">
        <v>1</v>
      </c>
      <c r="O182" s="244">
        <f t="shared" si="285"/>
        <v>3.1536000000000002E-2</v>
      </c>
      <c r="P182" s="462">
        <v>0.15</v>
      </c>
      <c r="Q182" s="246">
        <v>30</v>
      </c>
      <c r="R182" s="227">
        <v>1.05</v>
      </c>
      <c r="T182" s="269">
        <f t="shared" si="296"/>
        <v>0</v>
      </c>
      <c r="U182" s="269"/>
      <c r="V182" s="227" t="str">
        <f>V172</f>
        <v>Electricity</v>
      </c>
      <c r="W182" s="255" t="s">
        <v>190</v>
      </c>
      <c r="X182" s="247">
        <v>2019</v>
      </c>
      <c r="Y182" s="436">
        <f>_xlfn.IFNA(INDEX('Data manipulation'!$C$23:$N$40,MATCH($V182,'Data manipulation'!$B$23:$B$40,0),MATCH($X182,'Data manipulation'!$C$22:$N$22,0))/1000,0)*SUMIFS('Regional split'!$F$4:$F$6,'Regional split'!$B$4:$B$6,Y$3)*SUMIFS('Data manipulation'!$V$40:$V$43,'Data manipulation'!$X$40:$X$43,$E182,'Data manipulation'!$Y$40:$Y$43,$D182)</f>
        <v>0</v>
      </c>
      <c r="Z182" s="271">
        <f>_xlfn.IFNA(INDEX('Data manipulation'!$C$23:$N$40,MATCH($V182,'Data manipulation'!$B$23:$B$40,0),MATCH($X182,'Data manipulation'!$C$22:$N$22,0))/1000,0)*SUMIFS('Regional split'!$F$4:$F$6,'Regional split'!$B$4:$B$6,Z$3)*SUMIFS('Data manipulation'!$V$40:$V$43,'Data manipulation'!$X$40:$X$43,$E182,'Data manipulation'!$Y$40:$Y$43,$D182)</f>
        <v>0</v>
      </c>
      <c r="AA182" s="458">
        <f>_xlfn.IFNA(INDEX('Data manipulation'!$C$23:$N$40,MATCH($V182,'Data manipulation'!$B$23:$B$40,0),MATCH($X182,'Data manipulation'!$C$22:$N$22,0))/1000,0)*SUMIFS('Regional split'!$F$4:$F$6,'Regional split'!$B$4:$B$6,AA$3)*SUMIFS('Data manipulation'!$V$40:$V$43,'Data manipulation'!$X$40:$X$43,$E182,'Data manipulation'!$Y$40:$Y$43,$D182)</f>
        <v>0</v>
      </c>
      <c r="AB182" s="447">
        <f t="shared" si="177"/>
        <v>0</v>
      </c>
      <c r="AC182" s="252">
        <f t="shared" si="178"/>
        <v>0</v>
      </c>
      <c r="AD182" s="448">
        <f t="shared" si="179"/>
        <v>0</v>
      </c>
      <c r="AU182" s="261"/>
      <c r="AZ182" s="253"/>
    </row>
    <row r="183" spans="2:52" ht="15" customHeight="1">
      <c r="B183" s="233" t="str">
        <f t="shared" ref="B183:G183" si="304">B103</f>
        <v>RHTRDELCHE2</v>
      </c>
      <c r="C183" s="233" t="str">
        <f t="shared" si="304"/>
        <v>Residential Heating Technology Rural Detached - Electricity Heating - Existing 2</v>
      </c>
      <c r="D183" s="233" t="str">
        <f t="shared" si="304"/>
        <v>Rural</v>
      </c>
      <c r="E183" s="233" t="str">
        <f t="shared" si="304"/>
        <v>Detached</v>
      </c>
      <c r="F183" s="233" t="str">
        <f t="shared" si="304"/>
        <v>RESELCH</v>
      </c>
      <c r="G183" s="233" t="str">
        <f t="shared" si="304"/>
        <v>RESHRDB</v>
      </c>
      <c r="H183" s="585">
        <f t="shared" si="282"/>
        <v>2048</v>
      </c>
      <c r="I183" s="251">
        <v>0</v>
      </c>
      <c r="J183" s="251">
        <v>0</v>
      </c>
      <c r="K183" s="251">
        <v>0</v>
      </c>
      <c r="L183" s="466">
        <v>2.3149999999999999</v>
      </c>
      <c r="M183" s="466">
        <v>2.3149999999999999</v>
      </c>
      <c r="N183" s="466">
        <v>2.3149999999999999</v>
      </c>
      <c r="O183" s="244">
        <f t="shared" si="285"/>
        <v>3.1536000000000002E-2</v>
      </c>
      <c r="P183" s="462">
        <v>0.15</v>
      </c>
      <c r="Q183" s="246">
        <v>30</v>
      </c>
      <c r="R183" s="227">
        <v>1.05</v>
      </c>
      <c r="T183" s="269">
        <f t="shared" si="296"/>
        <v>0</v>
      </c>
      <c r="U183" s="269"/>
      <c r="W183" s="255" t="s">
        <v>191</v>
      </c>
      <c r="X183" s="247">
        <v>2019</v>
      </c>
      <c r="Y183" s="436">
        <f>_xlfn.IFNA(INDEX('Data manipulation'!$C$23:$N$40,MATCH($V183,'Data manipulation'!$B$23:$B$40,0),MATCH($X183,'Data manipulation'!$C$22:$N$22,0))/1000,0)*SUMIFS('Regional split'!$F$4:$F$6,'Regional split'!$B$4:$B$6,Y$3)*SUMIFS('Data manipulation'!$V$40:$V$43,'Data manipulation'!$X$40:$X$43,$E183,'Data manipulation'!$Y$40:$Y$43,$D183)</f>
        <v>0</v>
      </c>
      <c r="Z183" s="271">
        <f>_xlfn.IFNA(INDEX('Data manipulation'!$C$23:$N$40,MATCH($V183,'Data manipulation'!$B$23:$B$40,0),MATCH($X183,'Data manipulation'!$C$22:$N$22,0))/1000,0)*SUMIFS('Regional split'!$F$4:$F$6,'Regional split'!$B$4:$B$6,Z$3)*SUMIFS('Data manipulation'!$V$40:$V$43,'Data manipulation'!$X$40:$X$43,$E183,'Data manipulation'!$Y$40:$Y$43,$D183)</f>
        <v>0</v>
      </c>
      <c r="AA183" s="458">
        <f>_xlfn.IFNA(INDEX('Data manipulation'!$C$23:$N$40,MATCH($V183,'Data manipulation'!$B$23:$B$40,0),MATCH($X183,'Data manipulation'!$C$22:$N$22,0))/1000,0)*SUMIFS('Regional split'!$F$4:$F$6,'Regional split'!$B$4:$B$6,AA$3)*SUMIFS('Data manipulation'!$V$40:$V$43,'Data manipulation'!$X$40:$X$43,$E183,'Data manipulation'!$Y$40:$Y$43,$D183)</f>
        <v>0</v>
      </c>
      <c r="AB183" s="447">
        <f t="shared" si="177"/>
        <v>0</v>
      </c>
      <c r="AC183" s="252">
        <f t="shared" si="178"/>
        <v>0</v>
      </c>
      <c r="AD183" s="448">
        <f t="shared" si="179"/>
        <v>0</v>
      </c>
      <c r="AU183" s="261"/>
      <c r="AZ183" s="253"/>
    </row>
    <row r="184" spans="2:52" ht="15" customHeight="1">
      <c r="B184" s="233" t="str">
        <f t="shared" ref="B184:G184" si="305">B104</f>
        <v>RHTRDHCEE1</v>
      </c>
      <c r="C184" s="233" t="str">
        <f t="shared" si="305"/>
        <v>Residential Heating Technology Rural Detached - District heating Central - Existing 1</v>
      </c>
      <c r="D184" s="233" t="str">
        <f t="shared" si="305"/>
        <v>Rural</v>
      </c>
      <c r="E184" s="233" t="str">
        <f t="shared" si="305"/>
        <v>Detached</v>
      </c>
      <c r="F184" s="233" t="str">
        <f t="shared" si="305"/>
        <v>RESHDE</v>
      </c>
      <c r="G184" s="233" t="str">
        <f t="shared" si="305"/>
        <v>RESHRDX</v>
      </c>
      <c r="H184" s="587">
        <f t="shared" si="282"/>
        <v>2048</v>
      </c>
      <c r="I184" s="583">
        <v>0</v>
      </c>
      <c r="J184" s="583">
        <v>0</v>
      </c>
      <c r="K184" s="583">
        <v>0</v>
      </c>
      <c r="L184" s="466">
        <v>0.98</v>
      </c>
      <c r="M184" s="466">
        <v>0.98</v>
      </c>
      <c r="N184" s="466">
        <v>0.98</v>
      </c>
      <c r="O184" s="244">
        <f t="shared" si="285"/>
        <v>3.1536000000000002E-2</v>
      </c>
      <c r="P184" s="462">
        <v>0.15</v>
      </c>
      <c r="Q184" s="246">
        <v>30</v>
      </c>
      <c r="R184" s="227">
        <v>1.05</v>
      </c>
      <c r="T184" s="269">
        <f t="shared" si="296"/>
        <v>0</v>
      </c>
      <c r="U184" s="269"/>
      <c r="V184" s="227" t="s">
        <v>220</v>
      </c>
      <c r="W184" s="255" t="s">
        <v>192</v>
      </c>
      <c r="X184" s="247">
        <v>2019</v>
      </c>
      <c r="Y184" s="436">
        <f>_xlfn.IFNA(INDEX('Data manipulation'!$C$23:$N$40,MATCH($V184,'Data manipulation'!$B$23:$B$40,0),MATCH($X184,'Data manipulation'!$C$22:$N$22,0))/1000,0)*SUMIFS('Regional split'!$F$4:$F$6,'Regional split'!$B$4:$B$6,Y$3)*SUMIFS('Data manipulation'!$V$40:$V$43,'Data manipulation'!$X$40:$X$43,$E184,'Data manipulation'!$Y$40:$Y$43,$D184)</f>
        <v>0</v>
      </c>
      <c r="Z184" s="271">
        <f>_xlfn.IFNA(INDEX('Data manipulation'!$C$23:$N$40,MATCH($V184,'Data manipulation'!$B$23:$B$40,0),MATCH($X184,'Data manipulation'!$C$22:$N$22,0))/1000,0)*SUMIFS('Regional split'!$F$4:$F$6,'Regional split'!$B$4:$B$6,Z$3)*SUMIFS('Data manipulation'!$V$40:$V$43,'Data manipulation'!$X$40:$X$43,$E184,'Data manipulation'!$Y$40:$Y$43,$D184)</f>
        <v>0</v>
      </c>
      <c r="AA184" s="458">
        <f>_xlfn.IFNA(INDEX('Data manipulation'!$C$23:$N$40,MATCH($V184,'Data manipulation'!$B$23:$B$40,0),MATCH($X184,'Data manipulation'!$C$22:$N$22,0))/1000,0)*SUMIFS('Regional split'!$F$4:$F$6,'Regional split'!$B$4:$B$6,AA$3)*SUMIFS('Data manipulation'!$V$40:$V$43,'Data manipulation'!$X$40:$X$43,$E184,'Data manipulation'!$Y$40:$Y$43,$D184)</f>
        <v>0</v>
      </c>
      <c r="AB184" s="447">
        <f t="shared" si="177"/>
        <v>0</v>
      </c>
      <c r="AC184" s="252">
        <f t="shared" si="178"/>
        <v>0</v>
      </c>
      <c r="AD184" s="448">
        <f t="shared" si="179"/>
        <v>0</v>
      </c>
      <c r="AU184" s="261"/>
      <c r="AZ184" s="253"/>
    </row>
    <row r="185" spans="2:52" ht="15" customHeight="1" thickBot="1">
      <c r="B185" s="233" t="str">
        <f t="shared" ref="B185:G185" si="306">B105</f>
        <v>RHTRDLPGE1</v>
      </c>
      <c r="C185" s="233" t="str">
        <f t="shared" si="306"/>
        <v>Residential Heating Technology Rural Detached - LPG - Existing 1</v>
      </c>
      <c r="D185" s="233" t="str">
        <f t="shared" si="306"/>
        <v>Rural</v>
      </c>
      <c r="E185" s="233" t="str">
        <f t="shared" si="306"/>
        <v>Detached</v>
      </c>
      <c r="F185" s="233" t="str">
        <f t="shared" si="306"/>
        <v>RESLPG</v>
      </c>
      <c r="G185" s="233" t="str">
        <f t="shared" si="306"/>
        <v>RESHRDB</v>
      </c>
      <c r="H185" s="587">
        <f t="shared" si="282"/>
        <v>2048</v>
      </c>
      <c r="I185" s="251">
        <v>0</v>
      </c>
      <c r="J185" s="251">
        <v>0</v>
      </c>
      <c r="K185" s="251">
        <v>0</v>
      </c>
      <c r="L185" s="466">
        <v>0.98</v>
      </c>
      <c r="M185" s="466">
        <v>0.98</v>
      </c>
      <c r="N185" s="466">
        <v>0.98</v>
      </c>
      <c r="O185" s="244">
        <f t="shared" si="285"/>
        <v>3.1536000000000002E-2</v>
      </c>
      <c r="P185" s="462">
        <v>0.15</v>
      </c>
      <c r="Q185" s="246">
        <v>30</v>
      </c>
      <c r="R185" s="227">
        <v>1.05</v>
      </c>
      <c r="T185" s="269">
        <f t="shared" si="296"/>
        <v>0</v>
      </c>
      <c r="U185" s="269"/>
      <c r="V185" s="227" t="s">
        <v>210</v>
      </c>
      <c r="W185" s="429" t="s">
        <v>769</v>
      </c>
      <c r="X185" s="247">
        <v>2019</v>
      </c>
      <c r="Y185" s="437">
        <f>_xlfn.IFNA(INDEX('Data manipulation'!$C$23:$N$40,MATCH($V185,'Data manipulation'!$B$23:$B$40,0),MATCH($X185,'Data manipulation'!$C$22:$N$22,0))/1000,0)*SUMIFS('Regional split'!$F$4:$F$6,'Regional split'!$B$4:$B$6,Y$3)*SUMIFS('Data manipulation'!$V$40:$V$43,'Data manipulation'!$X$40:$X$43,$E185,'Data manipulation'!$Y$40:$Y$43,$D185)</f>
        <v>0</v>
      </c>
      <c r="Z185" s="434">
        <f>_xlfn.IFNA(INDEX('Data manipulation'!$C$23:$N$40,MATCH($V185,'Data manipulation'!$B$23:$B$40,0),MATCH($X185,'Data manipulation'!$C$22:$N$22,0))/1000,0)*SUMIFS('Regional split'!$F$4:$F$6,'Regional split'!$B$4:$B$6,Z$3)*SUMIFS('Data manipulation'!$V$40:$V$43,'Data manipulation'!$X$40:$X$43,$E185,'Data manipulation'!$Y$40:$Y$43,$D185)</f>
        <v>0</v>
      </c>
      <c r="AA185" s="459">
        <f>_xlfn.IFNA(INDEX('Data manipulation'!$C$23:$N$40,MATCH($V185,'Data manipulation'!$B$23:$B$40,0),MATCH($X185,'Data manipulation'!$C$22:$N$22,0))/1000,0)*SUMIFS('Regional split'!$F$4:$F$6,'Regional split'!$B$4:$B$6,AA$3)*SUMIFS('Data manipulation'!$V$40:$V$43,'Data manipulation'!$X$40:$X$43,$E185,'Data manipulation'!$Y$40:$Y$43,$D185)</f>
        <v>0</v>
      </c>
      <c r="AB185" s="449">
        <f t="shared" si="177"/>
        <v>0</v>
      </c>
      <c r="AC185" s="435">
        <f t="shared" si="178"/>
        <v>0</v>
      </c>
      <c r="AD185" s="456">
        <f t="shared" si="179"/>
        <v>0</v>
      </c>
      <c r="AU185" s="261"/>
      <c r="AZ185" s="253"/>
    </row>
    <row r="186" spans="2:52" ht="15" customHeight="1">
      <c r="B186" s="227" t="str">
        <f t="shared" ref="B186:E186" si="307">B106</f>
        <v>RHTUMNGAE1</v>
      </c>
      <c r="C186" s="227" t="str">
        <f t="shared" si="307"/>
        <v>Residential Heating Technology Urban Multi - Natural Gas - Existing 1</v>
      </c>
      <c r="D186" s="227" t="str">
        <f t="shared" si="307"/>
        <v>Urban</v>
      </c>
      <c r="E186" s="227" t="str">
        <f t="shared" si="307"/>
        <v>Multi storey</v>
      </c>
      <c r="F186" s="227" t="str">
        <f>F106</f>
        <v>RESNGA,RESSNG</v>
      </c>
      <c r="G186" s="227" t="str">
        <f>G106</f>
        <v>RESHUMB</v>
      </c>
      <c r="H186" s="584">
        <f t="shared" si="282"/>
        <v>2040</v>
      </c>
      <c r="I186" s="251">
        <v>0</v>
      </c>
      <c r="J186" s="251">
        <v>0</v>
      </c>
      <c r="K186" s="251">
        <v>0</v>
      </c>
      <c r="L186" s="466">
        <v>0.72</v>
      </c>
      <c r="M186" s="466">
        <v>0.72</v>
      </c>
      <c r="N186" s="466">
        <v>0.72</v>
      </c>
      <c r="O186" s="244">
        <f>31.536/1000</f>
        <v>3.1536000000000002E-2</v>
      </c>
      <c r="P186" s="462">
        <v>0.15</v>
      </c>
      <c r="Q186" s="246">
        <v>22</v>
      </c>
      <c r="R186" s="227">
        <v>1.05</v>
      </c>
      <c r="T186" s="269">
        <f t="shared" si="296"/>
        <v>0</v>
      </c>
      <c r="U186" s="269"/>
      <c r="V186" s="227" t="s">
        <v>80</v>
      </c>
      <c r="W186" s="247" t="s">
        <v>187</v>
      </c>
      <c r="X186" s="247">
        <v>2019</v>
      </c>
      <c r="Y186" s="436">
        <f>_xlfn.IFNA(INDEX('Data manipulation'!$C$23:$N$40,MATCH($V186,'Data manipulation'!$B$23:$B$40,0),MATCH($X186,'Data manipulation'!$C$22:$N$22,0))/1000,0)*SUMIFS('Regional split'!$F$4:$F$6,'Regional split'!$B$4:$B$6,Y$3)*SUMIFS('Data manipulation'!$V$40:$V$43,'Data manipulation'!$X$40:$X$43,$E186,'Data manipulation'!$Y$40:$Y$43,$D186)</f>
        <v>0</v>
      </c>
      <c r="Z186" s="271">
        <f>_xlfn.IFNA(INDEX('Data manipulation'!$C$23:$N$40,MATCH($V186,'Data manipulation'!$B$23:$B$40,0),MATCH($X186,'Data manipulation'!$C$22:$N$22,0))/1000,0)*SUMIFS('Regional split'!$F$4:$F$6,'Regional split'!$B$4:$B$6,Z$3)*SUMIFS('Data manipulation'!$V$40:$V$43,'Data manipulation'!$X$40:$X$43,$E186,'Data manipulation'!$Y$40:$Y$43,$D186)</f>
        <v>0</v>
      </c>
      <c r="AA186" s="458">
        <f>_xlfn.IFNA(INDEX('Data manipulation'!$C$23:$N$40,MATCH($V186,'Data manipulation'!$B$23:$B$40,0),MATCH($X186,'Data manipulation'!$C$22:$N$22,0))/1000,0)*SUMIFS('Regional split'!$F$4:$F$6,'Regional split'!$B$4:$B$6,AA$3)*SUMIFS('Data manipulation'!$V$40:$V$43,'Data manipulation'!$X$40:$X$43,$E186,'Data manipulation'!$Y$40:$Y$43,$D186)</f>
        <v>0</v>
      </c>
      <c r="AB186" s="447">
        <f t="shared" ref="AB186:AB205" si="308">Y186*L186</f>
        <v>0</v>
      </c>
      <c r="AC186" s="252">
        <f t="shared" ref="AC186:AC205" si="309">Z186*M186</f>
        <v>0</v>
      </c>
      <c r="AD186" s="448">
        <f t="shared" ref="AD186:AD205" si="310">AA186*N186</f>
        <v>0</v>
      </c>
      <c r="AE186" s="263"/>
      <c r="AU186" s="261"/>
      <c r="AZ186" s="253"/>
    </row>
    <row r="187" spans="2:52" ht="15" customHeight="1">
      <c r="B187" s="227" t="str">
        <f t="shared" ref="B187:G187" si="311">B107</f>
        <v>RHTUMDSLE1</v>
      </c>
      <c r="C187" s="227" t="str">
        <f t="shared" si="311"/>
        <v>Residential Heating Technology Urban Multi - Diesel - Existing 1</v>
      </c>
      <c r="D187" s="227" t="str">
        <f t="shared" si="311"/>
        <v>Urban</v>
      </c>
      <c r="E187" s="227" t="str">
        <f t="shared" si="311"/>
        <v>Multi storey</v>
      </c>
      <c r="F187" s="227" t="str">
        <f t="shared" si="311"/>
        <v>RESDSL,RESDSB</v>
      </c>
      <c r="G187" s="227" t="str">
        <f t="shared" si="311"/>
        <v>RESHUMB</v>
      </c>
      <c r="H187" s="584">
        <f t="shared" si="282"/>
        <v>2038</v>
      </c>
      <c r="I187" s="251">
        <v>0</v>
      </c>
      <c r="J187" s="251">
        <v>0</v>
      </c>
      <c r="K187" s="251">
        <v>0</v>
      </c>
      <c r="L187" s="466">
        <v>0.71</v>
      </c>
      <c r="M187" s="466">
        <v>0.71</v>
      </c>
      <c r="N187" s="466">
        <v>0.71</v>
      </c>
      <c r="O187" s="244">
        <f>31.536/1000</f>
        <v>3.1536000000000002E-2</v>
      </c>
      <c r="P187" s="462">
        <v>0.15</v>
      </c>
      <c r="Q187" s="246">
        <v>20</v>
      </c>
      <c r="R187" s="227">
        <v>1.05</v>
      </c>
      <c r="T187" s="269">
        <f t="shared" si="296"/>
        <v>0</v>
      </c>
      <c r="V187" s="227" t="s">
        <v>213</v>
      </c>
      <c r="W187" s="255" t="s">
        <v>728</v>
      </c>
      <c r="X187" s="247">
        <v>2019</v>
      </c>
      <c r="Y187" s="436">
        <f>_xlfn.IFNA(INDEX('Data manipulation'!$C$23:$N$40,MATCH($V187,'Data manipulation'!$B$23:$B$40,0),MATCH($X187,'Data manipulation'!$C$22:$N$22,0))/1000,0)*SUMIFS('Regional split'!$F$4:$F$6,'Regional split'!$B$4:$B$6,Y$3)*SUMIFS('Data manipulation'!$V$40:$V$43,'Data manipulation'!$X$40:$X$43,$E187,'Data manipulation'!$Y$40:$Y$43,$D187)</f>
        <v>0</v>
      </c>
      <c r="Z187" s="271">
        <f>_xlfn.IFNA(INDEX('Data manipulation'!$C$23:$N$40,MATCH($V187,'Data manipulation'!$B$23:$B$40,0),MATCH($X187,'Data manipulation'!$C$22:$N$22,0))/1000,0)*SUMIFS('Regional split'!$F$4:$F$6,'Regional split'!$B$4:$B$6,Z$3)*SUMIFS('Data manipulation'!$V$40:$V$43,'Data manipulation'!$X$40:$X$43,$E187,'Data manipulation'!$Y$40:$Y$43,$D187)</f>
        <v>0</v>
      </c>
      <c r="AA187" s="458">
        <f>_xlfn.IFNA(INDEX('Data manipulation'!$C$23:$N$40,MATCH($V187,'Data manipulation'!$B$23:$B$40,0),MATCH($X187,'Data manipulation'!$C$22:$N$22,0))/1000,0)*SUMIFS('Regional split'!$F$4:$F$6,'Regional split'!$B$4:$B$6,AA$3)*SUMIFS('Data manipulation'!$V$40:$V$43,'Data manipulation'!$X$40:$X$43,$E187,'Data manipulation'!$Y$40:$Y$43,$D187)</f>
        <v>0</v>
      </c>
      <c r="AB187" s="447">
        <f t="shared" si="308"/>
        <v>0</v>
      </c>
      <c r="AC187" s="252">
        <f t="shared" si="309"/>
        <v>0</v>
      </c>
      <c r="AD187" s="448">
        <f t="shared" si="310"/>
        <v>0</v>
      </c>
      <c r="AE187" s="263"/>
      <c r="AU187" s="261"/>
      <c r="AZ187" s="253"/>
    </row>
    <row r="188" spans="2:52" ht="15" customHeight="1">
      <c r="B188" s="227" t="str">
        <f t="shared" ref="B188:G188" si="312">B108</f>
        <v>RHTUMWPEE1</v>
      </c>
      <c r="C188" s="227" t="str">
        <f t="shared" si="312"/>
        <v>Residential Heating Technology Urban Multi - Wood pellets - Existing 1</v>
      </c>
      <c r="D188" s="227" t="str">
        <f t="shared" si="312"/>
        <v>Urban</v>
      </c>
      <c r="E188" s="227" t="str">
        <f t="shared" si="312"/>
        <v>Multi storey</v>
      </c>
      <c r="F188" s="227" t="str">
        <f t="shared" si="312"/>
        <v>RESWPE</v>
      </c>
      <c r="G188" s="227" t="str">
        <f t="shared" si="312"/>
        <v>RESHUMB</v>
      </c>
      <c r="H188" s="584">
        <f t="shared" si="282"/>
        <v>2038</v>
      </c>
      <c r="I188" s="251">
        <v>0</v>
      </c>
      <c r="J188" s="251">
        <v>0</v>
      </c>
      <c r="K188" s="251">
        <v>0</v>
      </c>
      <c r="L188" s="466">
        <v>0.61</v>
      </c>
      <c r="M188" s="466">
        <v>0.61</v>
      </c>
      <c r="N188" s="466">
        <v>0.61</v>
      </c>
      <c r="O188" s="244">
        <f t="shared" ref="O188:O205" si="313">31.536/1000</f>
        <v>3.1536000000000002E-2</v>
      </c>
      <c r="P188" s="462">
        <v>0.15</v>
      </c>
      <c r="Q188" s="246">
        <v>20</v>
      </c>
      <c r="R188" s="227">
        <v>1.05</v>
      </c>
      <c r="T188" s="269">
        <f t="shared" si="296"/>
        <v>0</v>
      </c>
      <c r="U188" s="269"/>
      <c r="V188" s="227" t="s">
        <v>214</v>
      </c>
      <c r="W188" s="255" t="s">
        <v>728</v>
      </c>
      <c r="X188" s="247">
        <v>2019</v>
      </c>
      <c r="Y188" s="436">
        <f>_xlfn.IFNA(INDEX('Data manipulation'!$C$23:$N$40,MATCH($V188,'Data manipulation'!$B$23:$B$40,0),MATCH($X188,'Data manipulation'!$C$22:$N$22,0))/1000,0)*SUMIFS('Regional split'!$F$4:$F$6,'Regional split'!$B$4:$B$6,Y$3)*SUMIFS('Data manipulation'!$V$40:$V$43,'Data manipulation'!$X$40:$X$43,$E188,'Data manipulation'!$Y$40:$Y$43,$D188)</f>
        <v>0</v>
      </c>
      <c r="Z188" s="271">
        <f>_xlfn.IFNA(INDEX('Data manipulation'!$C$23:$N$40,MATCH($V188,'Data manipulation'!$B$23:$B$40,0),MATCH($X188,'Data manipulation'!$C$22:$N$22,0))/1000,0)*SUMIFS('Regional split'!$F$4:$F$6,'Regional split'!$B$4:$B$6,Z$3)*SUMIFS('Data manipulation'!$V$40:$V$43,'Data manipulation'!$X$40:$X$43,$E188,'Data manipulation'!$Y$40:$Y$43,$D188)</f>
        <v>0</v>
      </c>
      <c r="AA188" s="458">
        <f>_xlfn.IFNA(INDEX('Data manipulation'!$C$23:$N$40,MATCH($V188,'Data manipulation'!$B$23:$B$40,0),MATCH($X188,'Data manipulation'!$C$22:$N$22,0))/1000,0)*SUMIFS('Regional split'!$F$4:$F$6,'Regional split'!$B$4:$B$6,AA$3)*SUMIFS('Data manipulation'!$V$40:$V$43,'Data manipulation'!$X$40:$X$43,$E188,'Data manipulation'!$Y$40:$Y$43,$D188)</f>
        <v>0</v>
      </c>
      <c r="AB188" s="447">
        <f t="shared" si="308"/>
        <v>0</v>
      </c>
      <c r="AC188" s="252">
        <f t="shared" si="309"/>
        <v>0</v>
      </c>
      <c r="AD188" s="448">
        <f t="shared" si="310"/>
        <v>0</v>
      </c>
      <c r="AE188" s="263"/>
      <c r="AU188" s="261"/>
      <c r="AZ188" s="253"/>
    </row>
    <row r="189" spans="2:52" ht="15" customHeight="1">
      <c r="B189" s="227" t="str">
        <f t="shared" ref="B189:G189" si="314">B109</f>
        <v>RHTUMFIWE1</v>
      </c>
      <c r="C189" s="227" t="str">
        <f t="shared" si="314"/>
        <v>Residential Heating Technology Urban Multi - Fire wood - Existing 1</v>
      </c>
      <c r="D189" s="227" t="str">
        <f t="shared" si="314"/>
        <v>Urban</v>
      </c>
      <c r="E189" s="227" t="str">
        <f t="shared" si="314"/>
        <v>Multi storey</v>
      </c>
      <c r="F189" s="227" t="str">
        <f t="shared" si="314"/>
        <v>RESFIW</v>
      </c>
      <c r="G189" s="227" t="str">
        <f t="shared" si="314"/>
        <v>RESHUMB</v>
      </c>
      <c r="H189" s="584">
        <f t="shared" si="282"/>
        <v>2038</v>
      </c>
      <c r="I189" s="251">
        <v>0</v>
      </c>
      <c r="J189" s="251">
        <v>0</v>
      </c>
      <c r="K189" s="251">
        <v>0</v>
      </c>
      <c r="L189" s="466">
        <v>0.65000022993955098</v>
      </c>
      <c r="M189" s="466">
        <v>0.65000022993955098</v>
      </c>
      <c r="N189" s="466">
        <v>0.65000022993955098</v>
      </c>
      <c r="O189" s="244">
        <f t="shared" si="313"/>
        <v>3.1536000000000002E-2</v>
      </c>
      <c r="P189" s="462">
        <v>0.15</v>
      </c>
      <c r="Q189" s="246">
        <v>20</v>
      </c>
      <c r="R189" s="227">
        <v>1.05</v>
      </c>
      <c r="T189" s="269">
        <f t="shared" si="296"/>
        <v>0</v>
      </c>
      <c r="U189" s="269"/>
      <c r="V189" s="227" t="s">
        <v>221</v>
      </c>
      <c r="W189" s="255" t="s">
        <v>197</v>
      </c>
      <c r="X189" s="247">
        <v>2019</v>
      </c>
      <c r="Y189" s="436">
        <f>_xlfn.IFNA(INDEX('Data manipulation'!$C$23:$N$40,MATCH($V189,'Data manipulation'!$B$23:$B$40,0),MATCH($X189,'Data manipulation'!$C$22:$N$22,0))/1000,0)*SUMIFS('Regional split'!$F$4:$F$6,'Regional split'!$B$4:$B$6,Y$3)*SUMIFS('Data manipulation'!$V$40:$V$43,'Data manipulation'!$X$40:$X$43,$E189,'Data manipulation'!$Y$40:$Y$43,$D189)</f>
        <v>0</v>
      </c>
      <c r="Z189" s="271">
        <f>_xlfn.IFNA(INDEX('Data manipulation'!$C$23:$N$40,MATCH($V189,'Data manipulation'!$B$23:$B$40,0),MATCH($X189,'Data manipulation'!$C$22:$N$22,0))/1000,0)*SUMIFS('Regional split'!$F$4:$F$6,'Regional split'!$B$4:$B$6,Z$3)*SUMIFS('Data manipulation'!$V$40:$V$43,'Data manipulation'!$X$40:$X$43,$E189,'Data manipulation'!$Y$40:$Y$43,$D189)</f>
        <v>0</v>
      </c>
      <c r="AA189" s="458">
        <f>_xlfn.IFNA(INDEX('Data manipulation'!$C$23:$N$40,MATCH($V189,'Data manipulation'!$B$23:$B$40,0),MATCH($X189,'Data manipulation'!$C$22:$N$22,0))/1000,0)*SUMIFS('Regional split'!$F$4:$F$6,'Regional split'!$B$4:$B$6,AA$3)*SUMIFS('Data manipulation'!$V$40:$V$43,'Data manipulation'!$X$40:$X$43,$E189,'Data manipulation'!$Y$40:$Y$43,$D189)</f>
        <v>0</v>
      </c>
      <c r="AB189" s="447">
        <f t="shared" si="308"/>
        <v>0</v>
      </c>
      <c r="AC189" s="252">
        <f t="shared" si="309"/>
        <v>0</v>
      </c>
      <c r="AD189" s="448">
        <f t="shared" si="310"/>
        <v>0</v>
      </c>
      <c r="AE189" s="263"/>
      <c r="AU189" s="261"/>
      <c r="AZ189" s="253"/>
    </row>
    <row r="190" spans="2:52" ht="15" customHeight="1">
      <c r="B190" s="233" t="str">
        <f t="shared" ref="B190:G190" si="315">B110</f>
        <v>RHTUMSTRE1</v>
      </c>
      <c r="C190" s="233" t="str">
        <f t="shared" si="315"/>
        <v>Residential Heating Technology Urban Multi - Straw - Existing 1</v>
      </c>
      <c r="D190" s="233" t="str">
        <f t="shared" si="315"/>
        <v>Urban</v>
      </c>
      <c r="E190" s="233" t="str">
        <f t="shared" si="315"/>
        <v>Multi storey</v>
      </c>
      <c r="F190" s="233" t="str">
        <f t="shared" si="315"/>
        <v>RESSTR</v>
      </c>
      <c r="G190" s="233" t="str">
        <f t="shared" si="315"/>
        <v>RESHUMB</v>
      </c>
      <c r="H190" s="584">
        <f t="shared" si="282"/>
        <v>2038</v>
      </c>
      <c r="I190" s="251">
        <v>0</v>
      </c>
      <c r="J190" s="251">
        <v>0</v>
      </c>
      <c r="K190" s="251">
        <v>0</v>
      </c>
      <c r="L190" s="466">
        <v>0.61</v>
      </c>
      <c r="M190" s="466">
        <v>0.61</v>
      </c>
      <c r="N190" s="466">
        <v>0.61</v>
      </c>
      <c r="O190" s="244">
        <f t="shared" si="313"/>
        <v>3.1536000000000002E-2</v>
      </c>
      <c r="P190" s="462">
        <v>0.15</v>
      </c>
      <c r="Q190" s="246">
        <v>20</v>
      </c>
      <c r="R190" s="227">
        <v>1.05</v>
      </c>
      <c r="T190" s="269">
        <f t="shared" si="296"/>
        <v>0</v>
      </c>
      <c r="U190" s="269"/>
      <c r="W190" s="255" t="s">
        <v>188</v>
      </c>
      <c r="X190" s="247">
        <v>2019</v>
      </c>
      <c r="Y190" s="436">
        <f>_xlfn.IFNA(INDEX('Data manipulation'!$C$23:$N$40,MATCH($V190,'Data manipulation'!$B$23:$B$40,0),MATCH($X190,'Data manipulation'!$C$22:$N$22,0))/1000,0)*SUMIFS('Regional split'!$F$4:$F$6,'Regional split'!$B$4:$B$6,Y$3)*SUMIFS('Data manipulation'!$V$40:$V$43,'Data manipulation'!$X$40:$X$43,$E190,'Data manipulation'!$Y$40:$Y$43,$D190)</f>
        <v>0</v>
      </c>
      <c r="Z190" s="271">
        <f>_xlfn.IFNA(INDEX('Data manipulation'!$C$23:$N$40,MATCH($V190,'Data manipulation'!$B$23:$B$40,0),MATCH($X190,'Data manipulation'!$C$22:$N$22,0))/1000,0)*SUMIFS('Regional split'!$F$4:$F$6,'Regional split'!$B$4:$B$6,Z$3)*SUMIFS('Data manipulation'!$V$40:$V$43,'Data manipulation'!$X$40:$X$43,$E190,'Data manipulation'!$Y$40:$Y$43,$D190)</f>
        <v>0</v>
      </c>
      <c r="AA190" s="458">
        <f>_xlfn.IFNA(INDEX('Data manipulation'!$C$23:$N$40,MATCH($V190,'Data manipulation'!$B$23:$B$40,0),MATCH($X190,'Data manipulation'!$C$22:$N$22,0))/1000,0)*SUMIFS('Regional split'!$F$4:$F$6,'Regional split'!$B$4:$B$6,AA$3)*SUMIFS('Data manipulation'!$V$40:$V$43,'Data manipulation'!$X$40:$X$43,$E190,'Data manipulation'!$Y$40:$Y$43,$D190)</f>
        <v>0</v>
      </c>
      <c r="AB190" s="447">
        <f t="shared" si="308"/>
        <v>0</v>
      </c>
      <c r="AC190" s="252">
        <f t="shared" si="309"/>
        <v>0</v>
      </c>
      <c r="AD190" s="448">
        <f t="shared" si="310"/>
        <v>0</v>
      </c>
      <c r="AE190" s="263"/>
      <c r="AU190" s="261"/>
      <c r="AZ190" s="253"/>
    </row>
    <row r="191" spans="2:52" ht="15" customHeight="1">
      <c r="B191" s="233" t="str">
        <f t="shared" ref="B191:G191" si="316">B111</f>
        <v>RHTUMSOLE1</v>
      </c>
      <c r="C191" s="233" t="str">
        <f t="shared" si="316"/>
        <v>Residential Heating Technology Urban Multi - Solar - Existing 1</v>
      </c>
      <c r="D191" s="233" t="str">
        <f t="shared" si="316"/>
        <v>Urban</v>
      </c>
      <c r="E191" s="233" t="str">
        <f t="shared" si="316"/>
        <v>Multi storey</v>
      </c>
      <c r="F191" s="233" t="str">
        <f t="shared" si="316"/>
        <v>RESSOL</v>
      </c>
      <c r="G191" s="233" t="str">
        <f t="shared" si="316"/>
        <v>RESHUMB</v>
      </c>
      <c r="H191" s="584">
        <f t="shared" si="282"/>
        <v>2038</v>
      </c>
      <c r="I191" s="251">
        <v>0</v>
      </c>
      <c r="J191" s="251">
        <v>0</v>
      </c>
      <c r="K191" s="251">
        <v>0</v>
      </c>
      <c r="L191" s="466">
        <v>1</v>
      </c>
      <c r="M191" s="466">
        <v>1</v>
      </c>
      <c r="N191" s="466">
        <v>1</v>
      </c>
      <c r="O191" s="244">
        <f t="shared" si="313"/>
        <v>3.1536000000000002E-2</v>
      </c>
      <c r="P191" s="462">
        <v>0.15</v>
      </c>
      <c r="Q191" s="246">
        <v>20</v>
      </c>
      <c r="R191" s="227">
        <v>1.05</v>
      </c>
      <c r="T191" s="269">
        <f t="shared" si="296"/>
        <v>0</v>
      </c>
      <c r="U191" s="269"/>
      <c r="W191" s="255" t="s">
        <v>189</v>
      </c>
      <c r="X191" s="247">
        <v>2019</v>
      </c>
      <c r="Y191" s="436">
        <f>_xlfn.IFNA(INDEX('Data manipulation'!$C$23:$N$40,MATCH($V191,'Data manipulation'!$B$23:$B$40,0),MATCH($X191,'Data manipulation'!$C$22:$N$22,0))/1000,0)*SUMIFS('Regional split'!$F$4:$F$6,'Regional split'!$B$4:$B$6,Y$3)*SUMIFS('Data manipulation'!$V$40:$V$43,'Data manipulation'!$X$40:$X$43,$E191,'Data manipulation'!$Y$40:$Y$43,$D191)</f>
        <v>0</v>
      </c>
      <c r="Z191" s="271">
        <f>_xlfn.IFNA(INDEX('Data manipulation'!$C$23:$N$40,MATCH($V191,'Data manipulation'!$B$23:$B$40,0),MATCH($X191,'Data manipulation'!$C$22:$N$22,0))/1000,0)*SUMIFS('Regional split'!$F$4:$F$6,'Regional split'!$B$4:$B$6,Z$3)*SUMIFS('Data manipulation'!$V$40:$V$43,'Data manipulation'!$X$40:$X$43,$E191,'Data manipulation'!$Y$40:$Y$43,$D191)</f>
        <v>0</v>
      </c>
      <c r="AA191" s="458">
        <f>_xlfn.IFNA(INDEX('Data manipulation'!$C$23:$N$40,MATCH($V191,'Data manipulation'!$B$23:$B$40,0),MATCH($X191,'Data manipulation'!$C$22:$N$22,0))/1000,0)*SUMIFS('Regional split'!$F$4:$F$6,'Regional split'!$B$4:$B$6,AA$3)*SUMIFS('Data manipulation'!$V$40:$V$43,'Data manipulation'!$X$40:$X$43,$E191,'Data manipulation'!$Y$40:$Y$43,$D191)</f>
        <v>0</v>
      </c>
      <c r="AB191" s="447">
        <f t="shared" si="308"/>
        <v>0</v>
      </c>
      <c r="AC191" s="252">
        <f t="shared" si="309"/>
        <v>0</v>
      </c>
      <c r="AD191" s="448">
        <f t="shared" si="310"/>
        <v>0</v>
      </c>
      <c r="AE191" s="263"/>
      <c r="AU191" s="261"/>
      <c r="AZ191" s="253"/>
    </row>
    <row r="192" spans="2:52" ht="15" customHeight="1">
      <c r="B192" s="233" t="str">
        <f t="shared" ref="B192:G192" si="317">B112</f>
        <v>RHTUMELCHE1</v>
      </c>
      <c r="C192" s="233" t="str">
        <f t="shared" si="317"/>
        <v>Residential Heating Technology Urban Multi - Electricity Heating - Existing 1</v>
      </c>
      <c r="D192" s="233" t="str">
        <f t="shared" si="317"/>
        <v>Urban</v>
      </c>
      <c r="E192" s="233" t="str">
        <f t="shared" si="317"/>
        <v>Multi storey</v>
      </c>
      <c r="F192" s="233" t="str">
        <f t="shared" si="317"/>
        <v>RESELCH</v>
      </c>
      <c r="G192" s="233" t="str">
        <f t="shared" si="317"/>
        <v>RESHUMB</v>
      </c>
      <c r="H192" s="584">
        <f t="shared" si="282"/>
        <v>2048</v>
      </c>
      <c r="I192" s="251">
        <v>0</v>
      </c>
      <c r="J192" s="251">
        <v>0</v>
      </c>
      <c r="K192" s="251">
        <v>0</v>
      </c>
      <c r="L192" s="466">
        <v>1</v>
      </c>
      <c r="M192" s="466">
        <v>1</v>
      </c>
      <c r="N192" s="466">
        <v>1</v>
      </c>
      <c r="O192" s="244">
        <f t="shared" si="313"/>
        <v>3.1536000000000002E-2</v>
      </c>
      <c r="P192" s="462">
        <v>0.15</v>
      </c>
      <c r="Q192" s="246">
        <v>30</v>
      </c>
      <c r="R192" s="227">
        <v>1.05</v>
      </c>
      <c r="T192" s="269">
        <f t="shared" si="296"/>
        <v>0</v>
      </c>
      <c r="U192" s="269"/>
      <c r="V192" s="227" t="str">
        <f>V122</f>
        <v>Electricity</v>
      </c>
      <c r="W192" s="255" t="s">
        <v>190</v>
      </c>
      <c r="X192" s="247">
        <v>2019</v>
      </c>
      <c r="Y192" s="436">
        <f>_xlfn.IFNA(INDEX('Data manipulation'!$C$23:$N$40,MATCH($V192,'Data manipulation'!$B$23:$B$40,0),MATCH($X192,'Data manipulation'!$C$22:$N$22,0))/1000,0)*SUMIFS('Regional split'!$F$4:$F$6,'Regional split'!$B$4:$B$6,Y$3)*SUMIFS('Data manipulation'!$V$40:$V$43,'Data manipulation'!$X$40:$X$43,$E192,'Data manipulation'!$Y$40:$Y$43,$D192)</f>
        <v>0</v>
      </c>
      <c r="Z192" s="271">
        <f>_xlfn.IFNA(INDEX('Data manipulation'!$C$23:$N$40,MATCH($V192,'Data manipulation'!$B$23:$B$40,0),MATCH($X192,'Data manipulation'!$C$22:$N$22,0))/1000,0)*SUMIFS('Regional split'!$F$4:$F$6,'Regional split'!$B$4:$B$6,Z$3)*SUMIFS('Data manipulation'!$V$40:$V$43,'Data manipulation'!$X$40:$X$43,$E192,'Data manipulation'!$Y$40:$Y$43,$D192)</f>
        <v>0</v>
      </c>
      <c r="AA192" s="458">
        <f>_xlfn.IFNA(INDEX('Data manipulation'!$C$23:$N$40,MATCH($V192,'Data manipulation'!$B$23:$B$40,0),MATCH($X192,'Data manipulation'!$C$22:$N$22,0))/1000,0)*SUMIFS('Regional split'!$F$4:$F$6,'Regional split'!$B$4:$B$6,AA$3)*SUMIFS('Data manipulation'!$V$40:$V$43,'Data manipulation'!$X$40:$X$43,$E192,'Data manipulation'!$Y$40:$Y$43,$D192)</f>
        <v>0</v>
      </c>
      <c r="AB192" s="447">
        <f t="shared" si="308"/>
        <v>0</v>
      </c>
      <c r="AC192" s="252">
        <f t="shared" si="309"/>
        <v>0</v>
      </c>
      <c r="AD192" s="448">
        <f t="shared" si="310"/>
        <v>0</v>
      </c>
      <c r="AU192" s="261"/>
      <c r="AZ192" s="253"/>
    </row>
    <row r="193" spans="2:52" ht="15" customHeight="1">
      <c r="B193" s="233" t="str">
        <f t="shared" ref="B193:G193" si="318">B113</f>
        <v>RHTUMELCHE2</v>
      </c>
      <c r="C193" s="233" t="str">
        <f t="shared" si="318"/>
        <v>Residential Heating Technology Urban Multi - Electricity Heating - Existing 2</v>
      </c>
      <c r="D193" s="233" t="str">
        <f t="shared" si="318"/>
        <v>Urban</v>
      </c>
      <c r="E193" s="233" t="str">
        <f t="shared" si="318"/>
        <v>Multi storey</v>
      </c>
      <c r="F193" s="233" t="str">
        <f t="shared" si="318"/>
        <v>RESELCH</v>
      </c>
      <c r="G193" s="233" t="str">
        <f t="shared" si="318"/>
        <v>RESHUMB</v>
      </c>
      <c r="H193" s="584">
        <f t="shared" si="282"/>
        <v>2048</v>
      </c>
      <c r="I193" s="251">
        <v>0</v>
      </c>
      <c r="J193" s="251">
        <v>0</v>
      </c>
      <c r="K193" s="251">
        <v>0</v>
      </c>
      <c r="L193" s="466">
        <v>2.3149999999999999</v>
      </c>
      <c r="M193" s="466">
        <v>2.3149999999999999</v>
      </c>
      <c r="N193" s="466">
        <v>2.3149999999999999</v>
      </c>
      <c r="O193" s="244">
        <f t="shared" si="313"/>
        <v>3.1536000000000002E-2</v>
      </c>
      <c r="P193" s="462">
        <v>0.15</v>
      </c>
      <c r="Q193" s="246">
        <v>30</v>
      </c>
      <c r="R193" s="227">
        <v>1.05</v>
      </c>
      <c r="T193" s="269">
        <f t="shared" si="296"/>
        <v>0</v>
      </c>
      <c r="U193" s="269"/>
      <c r="W193" s="255" t="s">
        <v>191</v>
      </c>
      <c r="X193" s="247">
        <v>2019</v>
      </c>
      <c r="Y193" s="436">
        <f>_xlfn.IFNA(INDEX('Data manipulation'!$C$23:$N$40,MATCH($V193,'Data manipulation'!$B$23:$B$40,0),MATCH($X193,'Data manipulation'!$C$22:$N$22,0))/1000,0)*SUMIFS('Regional split'!$F$4:$F$6,'Regional split'!$B$4:$B$6,Y$3)*SUMIFS('Data manipulation'!$V$40:$V$43,'Data manipulation'!$X$40:$X$43,$E193,'Data manipulation'!$Y$40:$Y$43,$D193)</f>
        <v>0</v>
      </c>
      <c r="Z193" s="271">
        <f>_xlfn.IFNA(INDEX('Data manipulation'!$C$23:$N$40,MATCH($V193,'Data manipulation'!$B$23:$B$40,0),MATCH($X193,'Data manipulation'!$C$22:$N$22,0))/1000,0)*SUMIFS('Regional split'!$F$4:$F$6,'Regional split'!$B$4:$B$6,Z$3)*SUMIFS('Data manipulation'!$V$40:$V$43,'Data manipulation'!$X$40:$X$43,$E193,'Data manipulation'!$Y$40:$Y$43,$D193)</f>
        <v>0</v>
      </c>
      <c r="AA193" s="458">
        <f>_xlfn.IFNA(INDEX('Data manipulation'!$C$23:$N$40,MATCH($V193,'Data manipulation'!$B$23:$B$40,0),MATCH($X193,'Data manipulation'!$C$22:$N$22,0))/1000,0)*SUMIFS('Regional split'!$F$4:$F$6,'Regional split'!$B$4:$B$6,AA$3)*SUMIFS('Data manipulation'!$V$40:$V$43,'Data manipulation'!$X$40:$X$43,$E193,'Data manipulation'!$Y$40:$Y$43,$D193)</f>
        <v>0</v>
      </c>
      <c r="AB193" s="447">
        <f t="shared" si="308"/>
        <v>0</v>
      </c>
      <c r="AC193" s="252">
        <f t="shared" si="309"/>
        <v>0</v>
      </c>
      <c r="AD193" s="448">
        <f t="shared" si="310"/>
        <v>0</v>
      </c>
      <c r="AU193" s="261"/>
      <c r="AZ193" s="253"/>
    </row>
    <row r="194" spans="2:52" ht="15" customHeight="1">
      <c r="B194" s="233" t="str">
        <f t="shared" ref="B194:G194" si="319">B114</f>
        <v>RHTUMHCEE1</v>
      </c>
      <c r="C194" s="233" t="str">
        <f t="shared" si="319"/>
        <v>Residential Heating Technology Urban Multi - District heating Central - Existing 1</v>
      </c>
      <c r="D194" s="233" t="str">
        <f t="shared" si="319"/>
        <v>Urban</v>
      </c>
      <c r="E194" s="233" t="str">
        <f t="shared" si="319"/>
        <v>Multi storey</v>
      </c>
      <c r="F194" s="233" t="str">
        <f t="shared" si="319"/>
        <v>RESHCE</v>
      </c>
      <c r="G194" s="233" t="str">
        <f t="shared" si="319"/>
        <v>RESHUMX</v>
      </c>
      <c r="H194" s="584">
        <f t="shared" si="282"/>
        <v>2048</v>
      </c>
      <c r="I194" s="583">
        <v>0</v>
      </c>
      <c r="J194" s="583">
        <v>0</v>
      </c>
      <c r="K194" s="583">
        <v>0</v>
      </c>
      <c r="L194" s="466">
        <v>0.95</v>
      </c>
      <c r="M194" s="466">
        <v>0.95</v>
      </c>
      <c r="N194" s="466">
        <v>0.95</v>
      </c>
      <c r="O194" s="244">
        <f t="shared" si="313"/>
        <v>3.1536000000000002E-2</v>
      </c>
      <c r="P194" s="462">
        <v>0.15</v>
      </c>
      <c r="Q194" s="246">
        <v>30</v>
      </c>
      <c r="R194" s="227">
        <v>1.05</v>
      </c>
      <c r="T194" s="269">
        <f t="shared" si="296"/>
        <v>0</v>
      </c>
      <c r="U194" s="269"/>
      <c r="V194" s="227" t="s">
        <v>220</v>
      </c>
      <c r="W194" s="255" t="s">
        <v>192</v>
      </c>
      <c r="X194" s="247">
        <v>2019</v>
      </c>
      <c r="Y194" s="436">
        <f>_xlfn.IFNA(INDEX('Data manipulation'!$C$23:$N$40,MATCH($V194,'Data manipulation'!$B$23:$B$40,0),MATCH($X194,'Data manipulation'!$C$22:$N$22,0))/1000,0)*SUMIFS('Regional split'!$F$4:$F$6,'Regional split'!$B$4:$B$6,Y$3)*SUMIFS('Data manipulation'!$V$40:$V$43,'Data manipulation'!$X$40:$X$43,$E194,'Data manipulation'!$Y$40:$Y$43,$D194)</f>
        <v>0</v>
      </c>
      <c r="Z194" s="271">
        <f>_xlfn.IFNA(INDEX('Data manipulation'!$C$23:$N$40,MATCH($V194,'Data manipulation'!$B$23:$B$40,0),MATCH($X194,'Data manipulation'!$C$22:$N$22,0))/1000,0)*SUMIFS('Regional split'!$F$4:$F$6,'Regional split'!$B$4:$B$6,Z$3)*SUMIFS('Data manipulation'!$V$40:$V$43,'Data manipulation'!$X$40:$X$43,$E194,'Data manipulation'!$Y$40:$Y$43,$D194)</f>
        <v>0</v>
      </c>
      <c r="AA194" s="458">
        <f>_xlfn.IFNA(INDEX('Data manipulation'!$C$23:$N$40,MATCH($V194,'Data manipulation'!$B$23:$B$40,0),MATCH($X194,'Data manipulation'!$C$22:$N$22,0))/1000,0)*SUMIFS('Regional split'!$F$4:$F$6,'Regional split'!$B$4:$B$6,AA$3)*SUMIFS('Data manipulation'!$V$40:$V$43,'Data manipulation'!$X$40:$X$43,$E194,'Data manipulation'!$Y$40:$Y$43,$D194)</f>
        <v>0</v>
      </c>
      <c r="AB194" s="447">
        <f t="shared" si="308"/>
        <v>0</v>
      </c>
      <c r="AC194" s="252">
        <f t="shared" si="309"/>
        <v>0</v>
      </c>
      <c r="AD194" s="448">
        <f t="shared" si="310"/>
        <v>0</v>
      </c>
      <c r="AU194" s="261"/>
      <c r="AZ194" s="253"/>
    </row>
    <row r="195" spans="2:52" ht="15" customHeight="1" thickBot="1">
      <c r="B195" s="256" t="str">
        <f t="shared" ref="B195:G195" si="320">B115</f>
        <v>RHTUMLPGE1</v>
      </c>
      <c r="C195" s="256" t="str">
        <f t="shared" si="320"/>
        <v>Residential Heating Technology Urban Multi - LPG - Existing 1</v>
      </c>
      <c r="D195" s="546" t="str">
        <f t="shared" si="320"/>
        <v>Urban</v>
      </c>
      <c r="E195" s="546" t="str">
        <f t="shared" si="320"/>
        <v>Multi storey</v>
      </c>
      <c r="F195" s="256" t="str">
        <f t="shared" si="320"/>
        <v>RESLPG</v>
      </c>
      <c r="G195" s="256" t="str">
        <f t="shared" si="320"/>
        <v>RESHUMB</v>
      </c>
      <c r="H195" s="586">
        <f t="shared" si="282"/>
        <v>2048</v>
      </c>
      <c r="I195" s="298">
        <v>0</v>
      </c>
      <c r="J195" s="298">
        <v>0</v>
      </c>
      <c r="K195" s="298">
        <v>0</v>
      </c>
      <c r="L195" s="467">
        <v>0.95</v>
      </c>
      <c r="M195" s="467">
        <v>0.95</v>
      </c>
      <c r="N195" s="467">
        <v>0.95</v>
      </c>
      <c r="O195" s="258">
        <f t="shared" si="313"/>
        <v>3.1536000000000002E-2</v>
      </c>
      <c r="P195" s="463">
        <v>0.15</v>
      </c>
      <c r="Q195" s="259">
        <v>30</v>
      </c>
      <c r="R195" s="227">
        <v>1.05</v>
      </c>
      <c r="T195" s="269">
        <f t="shared" si="296"/>
        <v>0</v>
      </c>
      <c r="U195" s="269"/>
      <c r="V195" s="227" t="s">
        <v>210</v>
      </c>
      <c r="W195" s="429" t="s">
        <v>769</v>
      </c>
      <c r="X195" s="247">
        <v>2019</v>
      </c>
      <c r="Y195" s="437">
        <f>_xlfn.IFNA(INDEX('Data manipulation'!$C$23:$N$40,MATCH($V195,'Data manipulation'!$B$23:$B$40,0),MATCH($X195,'Data manipulation'!$C$22:$N$22,0))/1000,0)*SUMIFS('Regional split'!$F$4:$F$6,'Regional split'!$B$4:$B$6,Y$3)*SUMIFS('Data manipulation'!$V$40:$V$43,'Data manipulation'!$X$40:$X$43,$E195,'Data manipulation'!$Y$40:$Y$43,$D195)</f>
        <v>0</v>
      </c>
      <c r="Z195" s="434">
        <f>_xlfn.IFNA(INDEX('Data manipulation'!$C$23:$N$40,MATCH($V195,'Data manipulation'!$B$23:$B$40,0),MATCH($X195,'Data manipulation'!$C$22:$N$22,0))/1000,0)*SUMIFS('Regional split'!$F$4:$F$6,'Regional split'!$B$4:$B$6,Z$3)*SUMIFS('Data manipulation'!$V$40:$V$43,'Data manipulation'!$X$40:$X$43,$E195,'Data manipulation'!$Y$40:$Y$43,$D195)</f>
        <v>0</v>
      </c>
      <c r="AA195" s="459">
        <f>_xlfn.IFNA(INDEX('Data manipulation'!$C$23:$N$40,MATCH($V195,'Data manipulation'!$B$23:$B$40,0),MATCH($X195,'Data manipulation'!$C$22:$N$22,0))/1000,0)*SUMIFS('Regional split'!$F$4:$F$6,'Regional split'!$B$4:$B$6,AA$3)*SUMIFS('Data manipulation'!$V$40:$V$43,'Data manipulation'!$X$40:$X$43,$E195,'Data manipulation'!$Y$40:$Y$43,$D195)</f>
        <v>0</v>
      </c>
      <c r="AB195" s="454">
        <f t="shared" si="308"/>
        <v>0</v>
      </c>
      <c r="AC195" s="278">
        <f t="shared" si="309"/>
        <v>0</v>
      </c>
      <c r="AD195" s="450">
        <f t="shared" si="310"/>
        <v>0</v>
      </c>
      <c r="AU195" s="261"/>
      <c r="AZ195" s="253"/>
    </row>
    <row r="196" spans="2:52" ht="15" customHeight="1">
      <c r="B196" s="233" t="str">
        <f t="shared" ref="B196:G196" si="321">B116</f>
        <v>RHTRMNGAE1</v>
      </c>
      <c r="C196" s="233" t="str">
        <f t="shared" si="321"/>
        <v>Residential Heating Technology Rural Multi - Natural Gas - Existing 1</v>
      </c>
      <c r="D196" s="233" t="str">
        <f t="shared" si="321"/>
        <v>Rural</v>
      </c>
      <c r="E196" s="233" t="str">
        <f t="shared" si="321"/>
        <v>Multi storey</v>
      </c>
      <c r="F196" s="233" t="str">
        <f t="shared" si="321"/>
        <v>RESNGA,RESSNG</v>
      </c>
      <c r="G196" s="233" t="str">
        <f t="shared" si="321"/>
        <v>RESHRMB</v>
      </c>
      <c r="H196" s="585">
        <f t="shared" si="282"/>
        <v>2043</v>
      </c>
      <c r="I196" s="251">
        <v>0</v>
      </c>
      <c r="J196" s="251">
        <v>0</v>
      </c>
      <c r="K196" s="251">
        <v>0</v>
      </c>
      <c r="L196" s="466">
        <v>0.79</v>
      </c>
      <c r="M196" s="466">
        <v>0.79</v>
      </c>
      <c r="N196" s="466">
        <v>0.79</v>
      </c>
      <c r="O196" s="244">
        <f t="shared" si="313"/>
        <v>3.1536000000000002E-2</v>
      </c>
      <c r="P196" s="462">
        <v>0.15</v>
      </c>
      <c r="Q196" s="246">
        <v>25</v>
      </c>
      <c r="R196" s="227">
        <v>1.05</v>
      </c>
      <c r="T196" s="269">
        <f t="shared" si="296"/>
        <v>0</v>
      </c>
      <c r="U196" s="269"/>
      <c r="V196" s="227" t="s">
        <v>80</v>
      </c>
      <c r="W196" s="255" t="s">
        <v>187</v>
      </c>
      <c r="X196" s="247">
        <v>2019</v>
      </c>
      <c r="Y196" s="436">
        <f>_xlfn.IFNA(INDEX('Data manipulation'!$C$23:$N$40,MATCH($V196,'Data manipulation'!$B$23:$B$40,0),MATCH($X196,'Data manipulation'!$C$22:$N$22,0))/1000,0)*SUMIFS('Regional split'!$F$4:$F$6,'Regional split'!$B$4:$B$6,Y$3)*SUMIFS('Data manipulation'!$V$40:$V$43,'Data manipulation'!$X$40:$X$43,$E196,'Data manipulation'!$Y$40:$Y$43,$D196)</f>
        <v>0</v>
      </c>
      <c r="Z196" s="271">
        <f>_xlfn.IFNA(INDEX('Data manipulation'!$C$23:$N$40,MATCH($V196,'Data manipulation'!$B$23:$B$40,0),MATCH($X196,'Data manipulation'!$C$22:$N$22,0))/1000,0)*SUMIFS('Regional split'!$F$4:$F$6,'Regional split'!$B$4:$B$6,Z$3)*SUMIFS('Data manipulation'!$V$40:$V$43,'Data manipulation'!$X$40:$X$43,$E196,'Data manipulation'!$Y$40:$Y$43,$D196)</f>
        <v>0</v>
      </c>
      <c r="AA196" s="458">
        <f>_xlfn.IFNA(INDEX('Data manipulation'!$C$23:$N$40,MATCH($V196,'Data manipulation'!$B$23:$B$40,0),MATCH($X196,'Data manipulation'!$C$22:$N$22,0))/1000,0)*SUMIFS('Regional split'!$F$4:$F$6,'Regional split'!$B$4:$B$6,AA$3)*SUMIFS('Data manipulation'!$V$40:$V$43,'Data manipulation'!$X$40:$X$43,$E196,'Data manipulation'!$Y$40:$Y$43,$D196)</f>
        <v>0</v>
      </c>
      <c r="AB196" s="455">
        <f t="shared" si="308"/>
        <v>0</v>
      </c>
      <c r="AC196" s="279">
        <f t="shared" si="309"/>
        <v>0</v>
      </c>
      <c r="AD196" s="451">
        <f t="shared" si="310"/>
        <v>0</v>
      </c>
      <c r="AU196" s="261"/>
      <c r="AZ196" s="253"/>
    </row>
    <row r="197" spans="2:52" ht="15" customHeight="1">
      <c r="B197" s="233" t="str">
        <f t="shared" ref="B197:G197" si="322">B117</f>
        <v>RHTRMDSLE1</v>
      </c>
      <c r="C197" s="233" t="str">
        <f t="shared" si="322"/>
        <v>Residential Heating Technology Rural Multi - Diesel - Existing 1</v>
      </c>
      <c r="D197" s="233" t="str">
        <f t="shared" si="322"/>
        <v>Rural</v>
      </c>
      <c r="E197" s="233" t="str">
        <f t="shared" si="322"/>
        <v>Multi storey</v>
      </c>
      <c r="F197" s="233" t="str">
        <f t="shared" si="322"/>
        <v>RESDSL,RESDSB</v>
      </c>
      <c r="G197" s="233" t="str">
        <f t="shared" si="322"/>
        <v>RESHRMB</v>
      </c>
      <c r="H197" s="585">
        <f t="shared" si="282"/>
        <v>2038</v>
      </c>
      <c r="I197" s="251">
        <v>0</v>
      </c>
      <c r="J197" s="251">
        <v>0</v>
      </c>
      <c r="K197" s="251">
        <v>0</v>
      </c>
      <c r="L197" s="466">
        <v>0.79</v>
      </c>
      <c r="M197" s="466">
        <v>0.79</v>
      </c>
      <c r="N197" s="466">
        <v>0.79</v>
      </c>
      <c r="O197" s="244">
        <f t="shared" si="313"/>
        <v>3.1536000000000002E-2</v>
      </c>
      <c r="P197" s="462">
        <v>0.15</v>
      </c>
      <c r="Q197" s="246">
        <v>20</v>
      </c>
      <c r="R197" s="227">
        <v>1.05</v>
      </c>
      <c r="T197" s="269">
        <f t="shared" si="296"/>
        <v>0</v>
      </c>
      <c r="V197" s="227" t="s">
        <v>213</v>
      </c>
      <c r="W197" s="255" t="s">
        <v>728</v>
      </c>
      <c r="X197" s="247">
        <v>2019</v>
      </c>
      <c r="Y197" s="436">
        <f>_xlfn.IFNA(INDEX('Data manipulation'!$C$23:$N$40,MATCH($V197,'Data manipulation'!$B$23:$B$40,0),MATCH($X197,'Data manipulation'!$C$22:$N$22,0))/1000,0)*SUMIFS('Regional split'!$F$4:$F$6,'Regional split'!$B$4:$B$6,Y$3)*SUMIFS('Data manipulation'!$V$40:$V$43,'Data manipulation'!$X$40:$X$43,$E197,'Data manipulation'!$Y$40:$Y$43,$D197)</f>
        <v>0</v>
      </c>
      <c r="Z197" s="271">
        <f>_xlfn.IFNA(INDEX('Data manipulation'!$C$23:$N$40,MATCH($V197,'Data manipulation'!$B$23:$B$40,0),MATCH($X197,'Data manipulation'!$C$22:$N$22,0))/1000,0)*SUMIFS('Regional split'!$F$4:$F$6,'Regional split'!$B$4:$B$6,Z$3)*SUMIFS('Data manipulation'!$V$40:$V$43,'Data manipulation'!$X$40:$X$43,$E197,'Data manipulation'!$Y$40:$Y$43,$D197)</f>
        <v>0</v>
      </c>
      <c r="AA197" s="458">
        <f>_xlfn.IFNA(INDEX('Data manipulation'!$C$23:$N$40,MATCH($V197,'Data manipulation'!$B$23:$B$40,0),MATCH($X197,'Data manipulation'!$C$22:$N$22,0))/1000,0)*SUMIFS('Regional split'!$F$4:$F$6,'Regional split'!$B$4:$B$6,AA$3)*SUMIFS('Data manipulation'!$V$40:$V$43,'Data manipulation'!$X$40:$X$43,$E197,'Data manipulation'!$Y$40:$Y$43,$D197)</f>
        <v>0</v>
      </c>
      <c r="AB197" s="447">
        <f t="shared" si="308"/>
        <v>0</v>
      </c>
      <c r="AC197" s="252">
        <f t="shared" si="309"/>
        <v>0</v>
      </c>
      <c r="AD197" s="448">
        <f t="shared" si="310"/>
        <v>0</v>
      </c>
      <c r="AU197" s="261"/>
      <c r="AZ197" s="253"/>
    </row>
    <row r="198" spans="2:52" ht="15" customHeight="1">
      <c r="B198" s="233" t="str">
        <f t="shared" ref="B198:G198" si="323">B118</f>
        <v>RHTRMWPEE1</v>
      </c>
      <c r="C198" s="233" t="str">
        <f t="shared" si="323"/>
        <v>Residential Heating Technology Rural Multi - Wood pellets - Existing 1</v>
      </c>
      <c r="D198" s="233" t="str">
        <f t="shared" si="323"/>
        <v>Rural</v>
      </c>
      <c r="E198" s="233" t="str">
        <f t="shared" si="323"/>
        <v>Multi storey</v>
      </c>
      <c r="F198" s="233" t="str">
        <f t="shared" si="323"/>
        <v>RESWPE</v>
      </c>
      <c r="G198" s="233" t="str">
        <f t="shared" si="323"/>
        <v>RESHRMB</v>
      </c>
      <c r="H198" s="585">
        <f t="shared" si="282"/>
        <v>2038</v>
      </c>
      <c r="I198" s="251">
        <v>0</v>
      </c>
      <c r="J198" s="251">
        <v>0</v>
      </c>
      <c r="K198" s="251">
        <v>0</v>
      </c>
      <c r="L198" s="466">
        <v>0.67</v>
      </c>
      <c r="M198" s="466">
        <v>0.67</v>
      </c>
      <c r="N198" s="466">
        <v>0.67</v>
      </c>
      <c r="O198" s="244">
        <f>31.536/1000</f>
        <v>3.1536000000000002E-2</v>
      </c>
      <c r="P198" s="462">
        <v>0.15</v>
      </c>
      <c r="Q198" s="246">
        <v>20</v>
      </c>
      <c r="R198" s="227">
        <v>1.05</v>
      </c>
      <c r="T198" s="269">
        <f t="shared" si="296"/>
        <v>0</v>
      </c>
      <c r="U198" s="269"/>
      <c r="V198" s="269" t="s">
        <v>214</v>
      </c>
      <c r="W198" s="255" t="s">
        <v>728</v>
      </c>
      <c r="X198" s="247">
        <v>2019</v>
      </c>
      <c r="Y198" s="436">
        <f>_xlfn.IFNA(INDEX('Data manipulation'!$C$23:$N$40,MATCH($V198,'Data manipulation'!$B$23:$B$40,0),MATCH($X198,'Data manipulation'!$C$22:$N$22,0))/1000,0)*SUMIFS('Regional split'!$F$4:$F$6,'Regional split'!$B$4:$B$6,Y$3)*SUMIFS('Data manipulation'!$V$40:$V$43,'Data manipulation'!$X$40:$X$43,$E198,'Data manipulation'!$Y$40:$Y$43,$D198)</f>
        <v>0</v>
      </c>
      <c r="Z198" s="271">
        <f>_xlfn.IFNA(INDEX('Data manipulation'!$C$23:$N$40,MATCH($V198,'Data manipulation'!$B$23:$B$40,0),MATCH($X198,'Data manipulation'!$C$22:$N$22,0))/1000,0)*SUMIFS('Regional split'!$F$4:$F$6,'Regional split'!$B$4:$B$6,Z$3)*SUMIFS('Data manipulation'!$V$40:$V$43,'Data manipulation'!$X$40:$X$43,$E198,'Data manipulation'!$Y$40:$Y$43,$D198)</f>
        <v>0</v>
      </c>
      <c r="AA198" s="458">
        <f>_xlfn.IFNA(INDEX('Data manipulation'!$C$23:$N$40,MATCH($V198,'Data manipulation'!$B$23:$B$40,0),MATCH($X198,'Data manipulation'!$C$22:$N$22,0))/1000,0)*SUMIFS('Regional split'!$F$4:$F$6,'Regional split'!$B$4:$B$6,AA$3)*SUMIFS('Data manipulation'!$V$40:$V$43,'Data manipulation'!$X$40:$X$43,$E198,'Data manipulation'!$Y$40:$Y$43,$D198)</f>
        <v>0</v>
      </c>
      <c r="AB198" s="447">
        <f t="shared" si="308"/>
        <v>0</v>
      </c>
      <c r="AC198" s="252">
        <f t="shared" si="309"/>
        <v>0</v>
      </c>
      <c r="AD198" s="448">
        <f t="shared" si="310"/>
        <v>0</v>
      </c>
      <c r="AU198" s="261"/>
      <c r="AZ198" s="253"/>
    </row>
    <row r="199" spans="2:52" ht="15" customHeight="1">
      <c r="B199" s="233" t="str">
        <f t="shared" ref="B199:G199" si="324">B119</f>
        <v>RHTRMFIWE1</v>
      </c>
      <c r="C199" s="233" t="str">
        <f t="shared" si="324"/>
        <v>Residential Heating Technology Rural Multi - Fire wood - Existing 1</v>
      </c>
      <c r="D199" s="233" t="str">
        <f t="shared" si="324"/>
        <v>Rural</v>
      </c>
      <c r="E199" s="233" t="str">
        <f t="shared" si="324"/>
        <v>Multi storey</v>
      </c>
      <c r="F199" s="233" t="str">
        <f t="shared" si="324"/>
        <v>RESFIW</v>
      </c>
      <c r="G199" s="233" t="str">
        <f t="shared" si="324"/>
        <v>RESHRMB</v>
      </c>
      <c r="H199" s="585">
        <f t="shared" si="282"/>
        <v>2038</v>
      </c>
      <c r="I199" s="251">
        <v>0</v>
      </c>
      <c r="J199" s="251">
        <v>0</v>
      </c>
      <c r="K199" s="251">
        <v>0</v>
      </c>
      <c r="L199" s="466">
        <v>0.67</v>
      </c>
      <c r="M199" s="466">
        <v>0.67</v>
      </c>
      <c r="N199" s="466">
        <v>0.67</v>
      </c>
      <c r="O199" s="244">
        <f>31.536/1000</f>
        <v>3.1536000000000002E-2</v>
      </c>
      <c r="P199" s="462">
        <v>0.15</v>
      </c>
      <c r="Q199" s="246">
        <v>20</v>
      </c>
      <c r="R199" s="227">
        <v>1.05</v>
      </c>
      <c r="T199" s="269">
        <f t="shared" si="296"/>
        <v>0</v>
      </c>
      <c r="U199" s="269"/>
      <c r="V199" s="227" t="s">
        <v>221</v>
      </c>
      <c r="W199" s="255" t="s">
        <v>197</v>
      </c>
      <c r="X199" s="247">
        <v>2019</v>
      </c>
      <c r="Y199" s="436">
        <f>_xlfn.IFNA(INDEX('Data manipulation'!$C$23:$N$40,MATCH($V199,'Data manipulation'!$B$23:$B$40,0),MATCH($X199,'Data manipulation'!$C$22:$N$22,0))/1000,0)*SUMIFS('Regional split'!$F$4:$F$6,'Regional split'!$B$4:$B$6,Y$3)*SUMIFS('Data manipulation'!$V$40:$V$43,'Data manipulation'!$X$40:$X$43,$E199,'Data manipulation'!$Y$40:$Y$43,$D199)</f>
        <v>0</v>
      </c>
      <c r="Z199" s="271">
        <f>_xlfn.IFNA(INDEX('Data manipulation'!$C$23:$N$40,MATCH($V199,'Data manipulation'!$B$23:$B$40,0),MATCH($X199,'Data manipulation'!$C$22:$N$22,0))/1000,0)*SUMIFS('Regional split'!$F$4:$F$6,'Regional split'!$B$4:$B$6,Z$3)*SUMIFS('Data manipulation'!$V$40:$V$43,'Data manipulation'!$X$40:$X$43,$E199,'Data manipulation'!$Y$40:$Y$43,$D199)</f>
        <v>0</v>
      </c>
      <c r="AA199" s="458">
        <f>_xlfn.IFNA(INDEX('Data manipulation'!$C$23:$N$40,MATCH($V199,'Data manipulation'!$B$23:$B$40,0),MATCH($X199,'Data manipulation'!$C$22:$N$22,0))/1000,0)*SUMIFS('Regional split'!$F$4:$F$6,'Regional split'!$B$4:$B$6,AA$3)*SUMIFS('Data manipulation'!$V$40:$V$43,'Data manipulation'!$X$40:$X$43,$E199,'Data manipulation'!$Y$40:$Y$43,$D199)</f>
        <v>0</v>
      </c>
      <c r="AB199" s="447">
        <f t="shared" si="308"/>
        <v>0</v>
      </c>
      <c r="AC199" s="252">
        <f t="shared" si="309"/>
        <v>0</v>
      </c>
      <c r="AD199" s="448">
        <f t="shared" si="310"/>
        <v>0</v>
      </c>
      <c r="AU199" s="261"/>
      <c r="AZ199" s="253"/>
    </row>
    <row r="200" spans="2:52" ht="15" customHeight="1">
      <c r="B200" s="233" t="str">
        <f t="shared" ref="B200:G200" si="325">B120</f>
        <v>RHTRMSTRE1</v>
      </c>
      <c r="C200" s="233" t="str">
        <f t="shared" si="325"/>
        <v>Residential Heating Technology Rural Multi - Straw - Existing 1</v>
      </c>
      <c r="D200" s="233" t="str">
        <f t="shared" si="325"/>
        <v>Rural</v>
      </c>
      <c r="E200" s="233" t="str">
        <f t="shared" si="325"/>
        <v>Multi storey</v>
      </c>
      <c r="F200" s="233" t="str">
        <f t="shared" si="325"/>
        <v>RESSTR</v>
      </c>
      <c r="G200" s="233" t="str">
        <f t="shared" si="325"/>
        <v>RESHRMB</v>
      </c>
      <c r="H200" s="585">
        <f t="shared" si="282"/>
        <v>2038</v>
      </c>
      <c r="I200" s="251">
        <v>0</v>
      </c>
      <c r="J200" s="251">
        <v>0</v>
      </c>
      <c r="K200" s="251">
        <v>0</v>
      </c>
      <c r="L200" s="466">
        <v>0.61</v>
      </c>
      <c r="M200" s="466">
        <v>0.61</v>
      </c>
      <c r="N200" s="466">
        <v>0.61</v>
      </c>
      <c r="O200" s="244">
        <f t="shared" si="313"/>
        <v>3.1536000000000002E-2</v>
      </c>
      <c r="P200" s="462">
        <v>0.15</v>
      </c>
      <c r="Q200" s="246">
        <v>20</v>
      </c>
      <c r="R200" s="227">
        <v>1.05</v>
      </c>
      <c r="T200" s="269">
        <f t="shared" si="296"/>
        <v>0</v>
      </c>
      <c r="U200" s="269"/>
      <c r="W200" s="255" t="s">
        <v>188</v>
      </c>
      <c r="X200" s="247">
        <v>2019</v>
      </c>
      <c r="Y200" s="436">
        <f>_xlfn.IFNA(INDEX('Data manipulation'!$C$23:$N$40,MATCH($V200,'Data manipulation'!$B$23:$B$40,0),MATCH($X200,'Data manipulation'!$C$22:$N$22,0))/1000,0)*SUMIFS('Regional split'!$F$4:$F$6,'Regional split'!$B$4:$B$6,Y$3)*SUMIFS('Data manipulation'!$V$40:$V$43,'Data manipulation'!$X$40:$X$43,$E200,'Data manipulation'!$Y$40:$Y$43,$D200)</f>
        <v>0</v>
      </c>
      <c r="Z200" s="271">
        <f>_xlfn.IFNA(INDEX('Data manipulation'!$C$23:$N$40,MATCH($V200,'Data manipulation'!$B$23:$B$40,0),MATCH($X200,'Data manipulation'!$C$22:$N$22,0))/1000,0)*SUMIFS('Regional split'!$F$4:$F$6,'Regional split'!$B$4:$B$6,Z$3)*SUMIFS('Data manipulation'!$V$40:$V$43,'Data manipulation'!$X$40:$X$43,$E200,'Data manipulation'!$Y$40:$Y$43,$D200)</f>
        <v>0</v>
      </c>
      <c r="AA200" s="458">
        <f>_xlfn.IFNA(INDEX('Data manipulation'!$C$23:$N$40,MATCH($V200,'Data manipulation'!$B$23:$B$40,0),MATCH($X200,'Data manipulation'!$C$22:$N$22,0))/1000,0)*SUMIFS('Regional split'!$F$4:$F$6,'Regional split'!$B$4:$B$6,AA$3)*SUMIFS('Data manipulation'!$V$40:$V$43,'Data manipulation'!$X$40:$X$43,$E200,'Data manipulation'!$Y$40:$Y$43,$D200)</f>
        <v>0</v>
      </c>
      <c r="AB200" s="447">
        <f t="shared" si="308"/>
        <v>0</v>
      </c>
      <c r="AC200" s="252">
        <f t="shared" si="309"/>
        <v>0</v>
      </c>
      <c r="AD200" s="448">
        <f t="shared" si="310"/>
        <v>0</v>
      </c>
      <c r="AU200" s="261"/>
      <c r="AZ200" s="253"/>
    </row>
    <row r="201" spans="2:52" ht="15" customHeight="1">
      <c r="B201" s="233" t="str">
        <f t="shared" ref="B201:G201" si="326">B121</f>
        <v>RHTRMSOLE1</v>
      </c>
      <c r="C201" s="233" t="str">
        <f t="shared" si="326"/>
        <v>Residential Heating Technology Rural Multi - Solar - Existing 1</v>
      </c>
      <c r="D201" s="233" t="str">
        <f t="shared" si="326"/>
        <v>Rural</v>
      </c>
      <c r="E201" s="233" t="str">
        <f t="shared" si="326"/>
        <v>Multi storey</v>
      </c>
      <c r="F201" s="233" t="str">
        <f t="shared" si="326"/>
        <v>RESSOL</v>
      </c>
      <c r="G201" s="233" t="str">
        <f t="shared" si="326"/>
        <v>RESHRMB</v>
      </c>
      <c r="H201" s="585">
        <f t="shared" si="282"/>
        <v>2038</v>
      </c>
      <c r="I201" s="251">
        <v>0</v>
      </c>
      <c r="J201" s="251">
        <v>0</v>
      </c>
      <c r="K201" s="251">
        <v>0</v>
      </c>
      <c r="L201" s="466">
        <v>1</v>
      </c>
      <c r="M201" s="466">
        <v>1</v>
      </c>
      <c r="N201" s="466">
        <v>1</v>
      </c>
      <c r="O201" s="244">
        <f t="shared" si="313"/>
        <v>3.1536000000000002E-2</v>
      </c>
      <c r="P201" s="462">
        <v>0.15</v>
      </c>
      <c r="Q201" s="246">
        <v>20</v>
      </c>
      <c r="R201" s="227">
        <v>1.05</v>
      </c>
      <c r="T201" s="269">
        <f t="shared" si="296"/>
        <v>0</v>
      </c>
      <c r="U201" s="269"/>
      <c r="W201" s="255" t="s">
        <v>189</v>
      </c>
      <c r="X201" s="247">
        <v>2019</v>
      </c>
      <c r="Y201" s="436">
        <f>_xlfn.IFNA(INDEX('Data manipulation'!$C$23:$N$40,MATCH($V201,'Data manipulation'!$B$23:$B$40,0),MATCH($X201,'Data manipulation'!$C$22:$N$22,0))/1000,0)*SUMIFS('Regional split'!$F$4:$F$6,'Regional split'!$B$4:$B$6,Y$3)*SUMIFS('Data manipulation'!$V$40:$V$43,'Data manipulation'!$X$40:$X$43,$E201,'Data manipulation'!$Y$40:$Y$43,$D201)</f>
        <v>0</v>
      </c>
      <c r="Z201" s="271">
        <f>_xlfn.IFNA(INDEX('Data manipulation'!$C$23:$N$40,MATCH($V201,'Data manipulation'!$B$23:$B$40,0),MATCH($X201,'Data manipulation'!$C$22:$N$22,0))/1000,0)*SUMIFS('Regional split'!$F$4:$F$6,'Regional split'!$B$4:$B$6,Z$3)*SUMIFS('Data manipulation'!$V$40:$V$43,'Data manipulation'!$X$40:$X$43,$E201,'Data manipulation'!$Y$40:$Y$43,$D201)</f>
        <v>0</v>
      </c>
      <c r="AA201" s="458">
        <f>_xlfn.IFNA(INDEX('Data manipulation'!$C$23:$N$40,MATCH($V201,'Data manipulation'!$B$23:$B$40,0),MATCH($X201,'Data manipulation'!$C$22:$N$22,0))/1000,0)*SUMIFS('Regional split'!$F$4:$F$6,'Regional split'!$B$4:$B$6,AA$3)*SUMIFS('Data manipulation'!$V$40:$V$43,'Data manipulation'!$X$40:$X$43,$E201,'Data manipulation'!$Y$40:$Y$43,$D201)</f>
        <v>0</v>
      </c>
      <c r="AB201" s="447">
        <f t="shared" si="308"/>
        <v>0</v>
      </c>
      <c r="AC201" s="252">
        <f t="shared" si="309"/>
        <v>0</v>
      </c>
      <c r="AD201" s="448">
        <f t="shared" si="310"/>
        <v>0</v>
      </c>
      <c r="AU201" s="261"/>
      <c r="AZ201" s="253"/>
    </row>
    <row r="202" spans="2:52" ht="15" customHeight="1">
      <c r="B202" s="233" t="str">
        <f t="shared" ref="B202:G202" si="327">B122</f>
        <v>RHTRMELCHE1</v>
      </c>
      <c r="C202" s="233" t="str">
        <f t="shared" si="327"/>
        <v>Residential Heating Technology Rural Multi - Electricity Heating - Existing 1</v>
      </c>
      <c r="D202" s="233" t="str">
        <f t="shared" si="327"/>
        <v>Rural</v>
      </c>
      <c r="E202" s="233" t="str">
        <f t="shared" si="327"/>
        <v>Multi storey</v>
      </c>
      <c r="F202" s="233" t="str">
        <f t="shared" si="327"/>
        <v>RESELCH</v>
      </c>
      <c r="G202" s="233" t="str">
        <f t="shared" si="327"/>
        <v>RESHRMB</v>
      </c>
      <c r="H202" s="585">
        <f t="shared" si="282"/>
        <v>2048</v>
      </c>
      <c r="I202" s="251">
        <v>0</v>
      </c>
      <c r="J202" s="251">
        <v>0</v>
      </c>
      <c r="K202" s="251">
        <v>0</v>
      </c>
      <c r="L202" s="466">
        <v>1</v>
      </c>
      <c r="M202" s="466">
        <v>1</v>
      </c>
      <c r="N202" s="466">
        <v>1</v>
      </c>
      <c r="O202" s="244">
        <f t="shared" si="313"/>
        <v>3.1536000000000002E-2</v>
      </c>
      <c r="P202" s="462">
        <v>0.15</v>
      </c>
      <c r="Q202" s="246">
        <v>30</v>
      </c>
      <c r="R202" s="227">
        <v>1.05</v>
      </c>
      <c r="T202" s="269">
        <f t="shared" si="296"/>
        <v>0</v>
      </c>
      <c r="U202" s="269"/>
      <c r="V202" s="227" t="str">
        <f>V192</f>
        <v>Electricity</v>
      </c>
      <c r="W202" s="255" t="s">
        <v>190</v>
      </c>
      <c r="X202" s="247">
        <v>2019</v>
      </c>
      <c r="Y202" s="436">
        <f>_xlfn.IFNA(INDEX('Data manipulation'!$C$23:$N$40,MATCH($V202,'Data manipulation'!$B$23:$B$40,0),MATCH($X202,'Data manipulation'!$C$22:$N$22,0))/1000,0)*SUMIFS('Regional split'!$F$4:$F$6,'Regional split'!$B$4:$B$6,Y$3)*SUMIFS('Data manipulation'!$V$40:$V$43,'Data manipulation'!$X$40:$X$43,$E202,'Data manipulation'!$Y$40:$Y$43,$D202)</f>
        <v>0</v>
      </c>
      <c r="Z202" s="271">
        <f>_xlfn.IFNA(INDEX('Data manipulation'!$C$23:$N$40,MATCH($V202,'Data manipulation'!$B$23:$B$40,0),MATCH($X202,'Data manipulation'!$C$22:$N$22,0))/1000,0)*SUMIFS('Regional split'!$F$4:$F$6,'Regional split'!$B$4:$B$6,Z$3)*SUMIFS('Data manipulation'!$V$40:$V$43,'Data manipulation'!$X$40:$X$43,$E202,'Data manipulation'!$Y$40:$Y$43,$D202)</f>
        <v>0</v>
      </c>
      <c r="AA202" s="458">
        <f>_xlfn.IFNA(INDEX('Data manipulation'!$C$23:$N$40,MATCH($V202,'Data manipulation'!$B$23:$B$40,0),MATCH($X202,'Data manipulation'!$C$22:$N$22,0))/1000,0)*SUMIFS('Regional split'!$F$4:$F$6,'Regional split'!$B$4:$B$6,AA$3)*SUMIFS('Data manipulation'!$V$40:$V$43,'Data manipulation'!$X$40:$X$43,$E202,'Data manipulation'!$Y$40:$Y$43,$D202)</f>
        <v>0</v>
      </c>
      <c r="AB202" s="447">
        <f t="shared" si="308"/>
        <v>0</v>
      </c>
      <c r="AC202" s="252">
        <f t="shared" si="309"/>
        <v>0</v>
      </c>
      <c r="AD202" s="448">
        <f t="shared" si="310"/>
        <v>0</v>
      </c>
      <c r="AU202" s="261"/>
      <c r="AZ202" s="253"/>
    </row>
    <row r="203" spans="2:52" ht="15" customHeight="1">
      <c r="B203" s="233" t="str">
        <f t="shared" ref="B203:G203" si="328">B123</f>
        <v>RHTRMELCHE2</v>
      </c>
      <c r="C203" s="233" t="str">
        <f t="shared" si="328"/>
        <v>Residential Heating Technology Rural Multi - Electricity Heating - Existing 2</v>
      </c>
      <c r="D203" s="233" t="str">
        <f t="shared" si="328"/>
        <v>Rural</v>
      </c>
      <c r="E203" s="233" t="str">
        <f t="shared" si="328"/>
        <v>Multi storey</v>
      </c>
      <c r="F203" s="233" t="str">
        <f t="shared" si="328"/>
        <v>RESELCH</v>
      </c>
      <c r="G203" s="233" t="str">
        <f t="shared" si="328"/>
        <v>RESHRMB</v>
      </c>
      <c r="H203" s="585">
        <f t="shared" si="282"/>
        <v>2048</v>
      </c>
      <c r="I203" s="251">
        <v>0</v>
      </c>
      <c r="J203" s="251">
        <v>0</v>
      </c>
      <c r="K203" s="251">
        <v>0</v>
      </c>
      <c r="L203" s="466">
        <v>2.3149999999999999</v>
      </c>
      <c r="M203" s="466">
        <v>2.3149999999999999</v>
      </c>
      <c r="N203" s="466">
        <v>2.3149999999999999</v>
      </c>
      <c r="O203" s="244">
        <f t="shared" si="313"/>
        <v>3.1536000000000002E-2</v>
      </c>
      <c r="P203" s="462">
        <v>0.15</v>
      </c>
      <c r="Q203" s="246">
        <v>30</v>
      </c>
      <c r="R203" s="227">
        <v>1.05</v>
      </c>
      <c r="T203" s="269">
        <f t="shared" si="296"/>
        <v>0</v>
      </c>
      <c r="U203" s="269"/>
      <c r="W203" s="255" t="s">
        <v>191</v>
      </c>
      <c r="X203" s="247">
        <v>2019</v>
      </c>
      <c r="Y203" s="436">
        <f>_xlfn.IFNA(INDEX('Data manipulation'!$C$23:$N$40,MATCH($V203,'Data manipulation'!$B$23:$B$40,0),MATCH($X203,'Data manipulation'!$C$22:$N$22,0))/1000,0)*SUMIFS('Regional split'!$F$4:$F$6,'Regional split'!$B$4:$B$6,Y$3)*SUMIFS('Data manipulation'!$V$40:$V$43,'Data manipulation'!$X$40:$X$43,$E203,'Data manipulation'!$Y$40:$Y$43,$D203)</f>
        <v>0</v>
      </c>
      <c r="Z203" s="271">
        <f>_xlfn.IFNA(INDEX('Data manipulation'!$C$23:$N$40,MATCH($V203,'Data manipulation'!$B$23:$B$40,0),MATCH($X203,'Data manipulation'!$C$22:$N$22,0))/1000,0)*SUMIFS('Regional split'!$F$4:$F$6,'Regional split'!$B$4:$B$6,Z$3)*SUMIFS('Data manipulation'!$V$40:$V$43,'Data manipulation'!$X$40:$X$43,$E203,'Data manipulation'!$Y$40:$Y$43,$D203)</f>
        <v>0</v>
      </c>
      <c r="AA203" s="458">
        <f>_xlfn.IFNA(INDEX('Data manipulation'!$C$23:$N$40,MATCH($V203,'Data manipulation'!$B$23:$B$40,0),MATCH($X203,'Data manipulation'!$C$22:$N$22,0))/1000,0)*SUMIFS('Regional split'!$F$4:$F$6,'Regional split'!$B$4:$B$6,AA$3)*SUMIFS('Data manipulation'!$V$40:$V$43,'Data manipulation'!$X$40:$X$43,$E203,'Data manipulation'!$Y$40:$Y$43,$D203)</f>
        <v>0</v>
      </c>
      <c r="AB203" s="447">
        <f t="shared" si="308"/>
        <v>0</v>
      </c>
      <c r="AC203" s="252">
        <f t="shared" si="309"/>
        <v>0</v>
      </c>
      <c r="AD203" s="448">
        <f t="shared" si="310"/>
        <v>0</v>
      </c>
      <c r="AU203" s="261"/>
      <c r="AZ203" s="253"/>
    </row>
    <row r="204" spans="2:52" ht="15" customHeight="1">
      <c r="B204" s="233" t="str">
        <f t="shared" ref="B204:G204" si="329">B124</f>
        <v>RHTRMHCEE1</v>
      </c>
      <c r="C204" s="233" t="str">
        <f t="shared" si="329"/>
        <v>Residential Heating Technology Rural Multi - District heating Central - Existing 1</v>
      </c>
      <c r="D204" s="233" t="str">
        <f t="shared" si="329"/>
        <v>Rural</v>
      </c>
      <c r="E204" s="233" t="str">
        <f t="shared" si="329"/>
        <v>Multi storey</v>
      </c>
      <c r="F204" s="233" t="str">
        <f t="shared" si="329"/>
        <v>RESHDE</v>
      </c>
      <c r="G204" s="233" t="str">
        <f t="shared" si="329"/>
        <v>RESHRMX</v>
      </c>
      <c r="H204" s="587">
        <f t="shared" si="282"/>
        <v>2048</v>
      </c>
      <c r="I204" s="583">
        <v>0</v>
      </c>
      <c r="J204" s="583">
        <v>0</v>
      </c>
      <c r="K204" s="583">
        <v>0</v>
      </c>
      <c r="L204" s="466">
        <v>0.98</v>
      </c>
      <c r="M204" s="466">
        <v>0.98</v>
      </c>
      <c r="N204" s="466">
        <v>0.98</v>
      </c>
      <c r="O204" s="244">
        <f t="shared" si="313"/>
        <v>3.1536000000000002E-2</v>
      </c>
      <c r="P204" s="462">
        <v>0.15</v>
      </c>
      <c r="Q204" s="246">
        <v>30</v>
      </c>
      <c r="R204" s="227">
        <v>1.05</v>
      </c>
      <c r="T204" s="269">
        <f t="shared" si="296"/>
        <v>0</v>
      </c>
      <c r="U204" s="269"/>
      <c r="V204" s="227" t="s">
        <v>220</v>
      </c>
      <c r="W204" s="255" t="s">
        <v>192</v>
      </c>
      <c r="X204" s="247">
        <v>2019</v>
      </c>
      <c r="Y204" s="436">
        <f>_xlfn.IFNA(INDEX('Data manipulation'!$C$23:$N$40,MATCH($V204,'Data manipulation'!$B$23:$B$40,0),MATCH($X204,'Data manipulation'!$C$22:$N$22,0))/1000,0)*SUMIFS('Regional split'!$F$4:$F$6,'Regional split'!$B$4:$B$6,Y$3)*SUMIFS('Data manipulation'!$V$40:$V$43,'Data manipulation'!$X$40:$X$43,$E204,'Data manipulation'!$Y$40:$Y$43,$D204)</f>
        <v>0</v>
      </c>
      <c r="Z204" s="271">
        <f>_xlfn.IFNA(INDEX('Data manipulation'!$C$23:$N$40,MATCH($V204,'Data manipulation'!$B$23:$B$40,0),MATCH($X204,'Data manipulation'!$C$22:$N$22,0))/1000,0)*SUMIFS('Regional split'!$F$4:$F$6,'Regional split'!$B$4:$B$6,Z$3)*SUMIFS('Data manipulation'!$V$40:$V$43,'Data manipulation'!$X$40:$X$43,$E204,'Data manipulation'!$Y$40:$Y$43,$D204)</f>
        <v>0</v>
      </c>
      <c r="AA204" s="458">
        <f>_xlfn.IFNA(INDEX('Data manipulation'!$C$23:$N$40,MATCH($V204,'Data manipulation'!$B$23:$B$40,0),MATCH($X204,'Data manipulation'!$C$22:$N$22,0))/1000,0)*SUMIFS('Regional split'!$F$4:$F$6,'Regional split'!$B$4:$B$6,AA$3)*SUMIFS('Data manipulation'!$V$40:$V$43,'Data manipulation'!$X$40:$X$43,$E204,'Data manipulation'!$Y$40:$Y$43,$D204)</f>
        <v>0</v>
      </c>
      <c r="AB204" s="447">
        <f t="shared" si="308"/>
        <v>0</v>
      </c>
      <c r="AC204" s="252">
        <f t="shared" si="309"/>
        <v>0</v>
      </c>
      <c r="AD204" s="448">
        <f t="shared" si="310"/>
        <v>0</v>
      </c>
      <c r="AU204" s="261"/>
      <c r="AZ204" s="253"/>
    </row>
    <row r="205" spans="2:52" ht="15" customHeight="1" thickBot="1">
      <c r="B205" s="233" t="str">
        <f t="shared" ref="B205:G205" si="330">B125</f>
        <v>RHTRMLPGE1</v>
      </c>
      <c r="C205" s="233" t="str">
        <f t="shared" si="330"/>
        <v>Residential Heating Technology Rural Multi - LPG - Existing 1</v>
      </c>
      <c r="D205" s="233" t="str">
        <f t="shared" si="330"/>
        <v>Rural</v>
      </c>
      <c r="E205" s="233" t="str">
        <f t="shared" si="330"/>
        <v>Multi storey</v>
      </c>
      <c r="F205" s="233" t="str">
        <f t="shared" si="330"/>
        <v>RESLPG</v>
      </c>
      <c r="G205" s="233" t="str">
        <f t="shared" si="330"/>
        <v>RESHRMB</v>
      </c>
      <c r="H205" s="587">
        <f t="shared" si="282"/>
        <v>2048</v>
      </c>
      <c r="I205" s="251">
        <v>0</v>
      </c>
      <c r="J205" s="251">
        <v>0</v>
      </c>
      <c r="K205" s="251">
        <v>0</v>
      </c>
      <c r="L205" s="466">
        <v>0.98</v>
      </c>
      <c r="M205" s="466">
        <v>0.98</v>
      </c>
      <c r="N205" s="466">
        <v>0.98</v>
      </c>
      <c r="O205" s="244">
        <f t="shared" si="313"/>
        <v>3.1536000000000002E-2</v>
      </c>
      <c r="P205" s="462">
        <v>0.15</v>
      </c>
      <c r="Q205" s="246">
        <v>30</v>
      </c>
      <c r="R205" s="227">
        <v>1.05</v>
      </c>
      <c r="T205" s="269">
        <f t="shared" si="296"/>
        <v>0</v>
      </c>
      <c r="U205" s="269"/>
      <c r="V205" s="227" t="s">
        <v>210</v>
      </c>
      <c r="W205" s="429" t="s">
        <v>769</v>
      </c>
      <c r="X205" s="247">
        <v>2019</v>
      </c>
      <c r="Y205" s="437">
        <f>_xlfn.IFNA(INDEX('Data manipulation'!$C$23:$N$40,MATCH($V205,'Data manipulation'!$B$23:$B$40,0),MATCH($X205,'Data manipulation'!$C$22:$N$22,0))/1000,0)*SUMIFS('Regional split'!$F$4:$F$6,'Regional split'!$B$4:$B$6,Y$3)*SUMIFS('Data manipulation'!$V$40:$V$43,'Data manipulation'!$X$40:$X$43,$E205,'Data manipulation'!$Y$40:$Y$43,$D205)</f>
        <v>0</v>
      </c>
      <c r="Z205" s="434">
        <f>_xlfn.IFNA(INDEX('Data manipulation'!$C$23:$N$40,MATCH($V205,'Data manipulation'!$B$23:$B$40,0),MATCH($X205,'Data manipulation'!$C$22:$N$22,0))/1000,0)*SUMIFS('Regional split'!$F$4:$F$6,'Regional split'!$B$4:$B$6,Z$3)*SUMIFS('Data manipulation'!$V$40:$V$43,'Data manipulation'!$X$40:$X$43,$E205,'Data manipulation'!$Y$40:$Y$43,$D205)</f>
        <v>0</v>
      </c>
      <c r="AA205" s="459">
        <f>_xlfn.IFNA(INDEX('Data manipulation'!$C$23:$N$40,MATCH($V205,'Data manipulation'!$B$23:$B$40,0),MATCH($X205,'Data manipulation'!$C$22:$N$22,0))/1000,0)*SUMIFS('Regional split'!$F$4:$F$6,'Regional split'!$B$4:$B$6,AA$3)*SUMIFS('Data manipulation'!$V$40:$V$43,'Data manipulation'!$X$40:$X$43,$E205,'Data manipulation'!$Y$40:$Y$43,$D205)</f>
        <v>0</v>
      </c>
      <c r="AB205" s="449">
        <f t="shared" si="308"/>
        <v>0</v>
      </c>
      <c r="AC205" s="435">
        <f t="shared" si="309"/>
        <v>0</v>
      </c>
      <c r="AD205" s="456">
        <f t="shared" si="310"/>
        <v>0</v>
      </c>
      <c r="AU205" s="261"/>
      <c r="AZ205" s="253"/>
    </row>
    <row r="206" spans="2:52">
      <c r="B206" s="241"/>
      <c r="C206" s="270"/>
      <c r="D206" s="270"/>
      <c r="E206" s="270"/>
      <c r="F206" s="270"/>
      <c r="G206" s="270"/>
      <c r="H206" s="270"/>
      <c r="I206" s="270"/>
      <c r="J206" s="270"/>
      <c r="K206" s="270"/>
      <c r="L206" s="270"/>
      <c r="M206" s="270"/>
      <c r="N206" s="270"/>
      <c r="O206" s="270"/>
      <c r="P206" s="270"/>
      <c r="Q206" s="270"/>
      <c r="R206" s="270"/>
      <c r="S206" s="270"/>
      <c r="T206" s="270"/>
      <c r="U206" s="270"/>
      <c r="V206" s="270"/>
      <c r="W206" s="270"/>
      <c r="X206" s="270"/>
      <c r="Y206" s="270"/>
      <c r="Z206" s="270"/>
      <c r="AA206" s="270"/>
      <c r="AB206" s="270"/>
      <c r="AC206" s="270"/>
      <c r="AD206" s="270"/>
      <c r="AE206" s="270"/>
      <c r="AF206" s="270"/>
      <c r="AG206" s="270"/>
      <c r="AH206" s="270"/>
      <c r="AI206" s="270"/>
      <c r="AJ206" s="270"/>
      <c r="AK206" s="270"/>
      <c r="AL206" s="270"/>
      <c r="AM206" s="270"/>
      <c r="AN206" s="270"/>
      <c r="AO206" s="270"/>
      <c r="AP206" s="270"/>
    </row>
    <row r="207" spans="2:52">
      <c r="B207" s="241"/>
      <c r="C207" s="270"/>
      <c r="D207" s="270"/>
      <c r="E207" s="270"/>
      <c r="F207" s="270"/>
      <c r="G207" s="270"/>
      <c r="H207" s="270"/>
      <c r="I207" s="270"/>
      <c r="J207" s="270"/>
      <c r="K207" s="270"/>
      <c r="L207" s="270"/>
      <c r="M207" s="270"/>
      <c r="N207" s="270"/>
      <c r="O207" s="270"/>
      <c r="P207" s="270"/>
      <c r="Q207" s="270"/>
      <c r="R207" s="270"/>
      <c r="S207" s="270"/>
      <c r="T207" s="270"/>
      <c r="U207" s="270"/>
      <c r="V207" s="270"/>
      <c r="W207" s="270"/>
      <c r="X207" s="270"/>
      <c r="Y207" s="270"/>
      <c r="Z207" s="270"/>
      <c r="AA207" s="270"/>
      <c r="AB207" s="270"/>
      <c r="AC207" s="270"/>
      <c r="AD207" s="270"/>
      <c r="AE207" s="270"/>
      <c r="AF207" s="270"/>
      <c r="AG207" s="270"/>
      <c r="AH207" s="270"/>
      <c r="AI207" s="270"/>
      <c r="AJ207" s="270"/>
      <c r="AK207" s="270"/>
      <c r="AL207" s="270"/>
      <c r="AM207" s="270"/>
      <c r="AN207" s="270"/>
      <c r="AO207" s="270"/>
      <c r="AP207" s="270"/>
    </row>
    <row r="208" spans="2:52">
      <c r="B208" s="241"/>
      <c r="C208" s="270"/>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c r="AA208" s="270"/>
      <c r="AB208" s="270"/>
      <c r="AC208" s="270"/>
      <c r="AD208" s="270"/>
      <c r="AE208" s="270"/>
      <c r="AF208" s="270"/>
      <c r="AG208" s="270"/>
      <c r="AH208" s="270"/>
      <c r="AI208" s="270"/>
      <c r="AJ208" s="270"/>
      <c r="AK208" s="270"/>
      <c r="AL208" s="270"/>
      <c r="AM208" s="270"/>
      <c r="AN208" s="270"/>
      <c r="AO208" s="270"/>
      <c r="AP208" s="270"/>
    </row>
    <row r="209" spans="2:42">
      <c r="B209" s="241"/>
      <c r="C209" s="270"/>
      <c r="D209" s="270"/>
      <c r="E209" s="270"/>
      <c r="F209" s="270"/>
      <c r="G209" s="270"/>
      <c r="H209" s="270"/>
      <c r="I209" s="270"/>
      <c r="J209" s="270"/>
      <c r="K209" s="270"/>
      <c r="L209" s="270"/>
      <c r="M209" s="270"/>
      <c r="N209" s="270"/>
      <c r="O209" s="270"/>
      <c r="P209" s="270"/>
      <c r="Q209" s="270"/>
      <c r="R209" s="270"/>
      <c r="S209" s="270"/>
      <c r="T209" s="270"/>
      <c r="U209" s="270"/>
      <c r="V209" s="270"/>
      <c r="W209" s="270"/>
      <c r="X209" s="270"/>
      <c r="Y209" s="270"/>
      <c r="Z209" s="270"/>
      <c r="AA209" s="270"/>
      <c r="AB209" s="270"/>
      <c r="AC209" s="270"/>
      <c r="AD209" s="270"/>
      <c r="AE209" s="270"/>
      <c r="AF209" s="270"/>
      <c r="AG209" s="270"/>
      <c r="AH209" s="270"/>
      <c r="AI209" s="270"/>
      <c r="AJ209" s="270"/>
      <c r="AK209" s="270"/>
      <c r="AL209" s="270"/>
      <c r="AM209" s="270"/>
      <c r="AN209" s="270"/>
      <c r="AO209" s="270"/>
      <c r="AP209" s="270"/>
    </row>
    <row r="210" spans="2:42">
      <c r="B210" s="241"/>
      <c r="C210" s="270"/>
      <c r="D210" s="270"/>
      <c r="E210" s="270"/>
      <c r="F210" s="270"/>
      <c r="G210" s="270"/>
      <c r="H210" s="270"/>
      <c r="I210" s="270"/>
      <c r="J210" s="270"/>
      <c r="K210" s="270"/>
      <c r="L210" s="270"/>
      <c r="M210" s="270"/>
      <c r="N210" s="270"/>
      <c r="O210" s="270"/>
      <c r="P210" s="270"/>
      <c r="Q210" s="270"/>
      <c r="R210" s="270"/>
      <c r="S210" s="270"/>
      <c r="T210" s="270"/>
      <c r="U210" s="270"/>
      <c r="V210" s="270"/>
      <c r="W210" s="270"/>
      <c r="X210" s="270"/>
      <c r="Y210" s="270"/>
      <c r="Z210" s="270"/>
      <c r="AA210" s="270"/>
      <c r="AB210" s="270"/>
      <c r="AC210" s="270"/>
      <c r="AD210" s="270"/>
      <c r="AE210" s="270"/>
      <c r="AF210" s="270"/>
      <c r="AG210" s="270"/>
      <c r="AH210" s="270"/>
      <c r="AI210" s="270"/>
      <c r="AJ210" s="270"/>
      <c r="AK210" s="270"/>
      <c r="AL210" s="270"/>
      <c r="AM210" s="270"/>
      <c r="AN210" s="270"/>
      <c r="AO210" s="270"/>
      <c r="AP210" s="270"/>
    </row>
    <row r="211" spans="2:42">
      <c r="B211" s="241"/>
      <c r="C211" s="270"/>
      <c r="D211" s="270"/>
      <c r="E211" s="270"/>
      <c r="F211" s="270"/>
      <c r="G211" s="270"/>
      <c r="H211" s="270"/>
      <c r="I211" s="270"/>
      <c r="J211" s="270"/>
      <c r="K211" s="270"/>
      <c r="L211" s="270"/>
      <c r="M211" s="270"/>
      <c r="N211" s="270"/>
      <c r="O211" s="270"/>
      <c r="P211" s="270"/>
      <c r="Q211" s="270"/>
      <c r="R211" s="270"/>
      <c r="S211" s="270"/>
      <c r="T211" s="270"/>
      <c r="U211" s="270"/>
      <c r="V211" s="270"/>
      <c r="W211" s="270"/>
      <c r="X211" s="270"/>
      <c r="Y211" s="270"/>
      <c r="Z211" s="270"/>
      <c r="AA211" s="270"/>
      <c r="AB211" s="270"/>
      <c r="AC211" s="270"/>
      <c r="AD211" s="270"/>
      <c r="AE211" s="270"/>
      <c r="AF211" s="270"/>
      <c r="AG211" s="270"/>
      <c r="AH211" s="270"/>
      <c r="AI211" s="270"/>
      <c r="AJ211" s="270"/>
      <c r="AK211" s="270"/>
      <c r="AL211" s="270"/>
      <c r="AM211" s="270"/>
      <c r="AN211" s="270"/>
      <c r="AO211" s="270"/>
      <c r="AP211" s="270"/>
    </row>
    <row r="212" spans="2:42">
      <c r="B212" s="241"/>
      <c r="C212" s="270"/>
      <c r="D212" s="270"/>
      <c r="E212" s="270"/>
      <c r="F212" s="270"/>
      <c r="G212" s="270"/>
      <c r="H212" s="270"/>
      <c r="I212" s="270"/>
      <c r="J212" s="270"/>
      <c r="K212" s="270"/>
      <c r="L212" s="270"/>
      <c r="M212" s="270"/>
      <c r="N212" s="270"/>
      <c r="O212" s="270"/>
      <c r="P212" s="270"/>
      <c r="Q212" s="270"/>
      <c r="R212" s="270"/>
      <c r="S212" s="270"/>
      <c r="T212" s="270"/>
      <c r="U212" s="270"/>
      <c r="V212" s="270"/>
      <c r="W212" s="270"/>
      <c r="X212" s="270"/>
      <c r="Y212" s="270"/>
      <c r="Z212" s="270"/>
      <c r="AA212" s="270"/>
      <c r="AB212" s="270"/>
      <c r="AC212" s="270"/>
      <c r="AD212" s="270"/>
      <c r="AE212" s="270"/>
      <c r="AF212" s="270"/>
      <c r="AG212" s="270"/>
      <c r="AH212" s="270"/>
      <c r="AI212" s="270"/>
      <c r="AJ212" s="270"/>
      <c r="AK212" s="270"/>
      <c r="AL212" s="270"/>
      <c r="AM212" s="270"/>
      <c r="AN212" s="270"/>
      <c r="AO212" s="270"/>
      <c r="AP212" s="270"/>
    </row>
    <row r="213" spans="2:42">
      <c r="B213" s="241"/>
      <c r="C213" s="270"/>
      <c r="D213" s="270"/>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c r="AA213" s="270"/>
      <c r="AB213" s="270"/>
      <c r="AC213" s="270"/>
      <c r="AD213" s="270"/>
      <c r="AE213" s="270"/>
      <c r="AF213" s="270"/>
      <c r="AG213" s="270"/>
      <c r="AH213" s="270"/>
      <c r="AI213" s="270"/>
      <c r="AJ213" s="270"/>
      <c r="AK213" s="270"/>
      <c r="AL213" s="270"/>
      <c r="AM213" s="270"/>
      <c r="AN213" s="270"/>
      <c r="AO213" s="270"/>
      <c r="AP213" s="270"/>
    </row>
    <row r="214" spans="2:42">
      <c r="B214" s="241"/>
      <c r="C214" s="270"/>
      <c r="D214" s="270"/>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c r="AA214" s="270"/>
      <c r="AB214" s="270"/>
      <c r="AC214" s="270"/>
      <c r="AD214" s="270"/>
      <c r="AE214" s="270"/>
      <c r="AF214" s="270"/>
      <c r="AG214" s="270"/>
      <c r="AH214" s="270"/>
      <c r="AI214" s="270"/>
      <c r="AJ214" s="270"/>
      <c r="AK214" s="270"/>
      <c r="AL214" s="270"/>
      <c r="AM214" s="270"/>
      <c r="AN214" s="270"/>
      <c r="AO214" s="270"/>
      <c r="AP214" s="270"/>
    </row>
    <row r="215" spans="2:42">
      <c r="B215" s="241"/>
      <c r="C215" s="270"/>
      <c r="D215" s="270"/>
      <c r="E215" s="270"/>
      <c r="F215" s="270"/>
      <c r="G215" s="270"/>
      <c r="H215" s="270"/>
      <c r="I215" s="270"/>
      <c r="J215" s="270"/>
      <c r="K215" s="270"/>
      <c r="L215" s="270"/>
      <c r="M215" s="270"/>
      <c r="N215" s="270"/>
      <c r="O215" s="270"/>
      <c r="P215" s="270"/>
      <c r="Q215" s="270"/>
      <c r="R215" s="270"/>
      <c r="S215" s="270"/>
      <c r="T215" s="270"/>
      <c r="U215" s="270"/>
      <c r="V215" s="270"/>
      <c r="W215" s="270"/>
      <c r="X215" s="270"/>
      <c r="Y215" s="270"/>
      <c r="Z215" s="270"/>
      <c r="AA215" s="270"/>
      <c r="AB215" s="270"/>
      <c r="AC215" s="270"/>
      <c r="AD215" s="270"/>
      <c r="AE215" s="270"/>
      <c r="AF215" s="270"/>
      <c r="AG215" s="270"/>
      <c r="AH215" s="270"/>
      <c r="AI215" s="270"/>
      <c r="AJ215" s="270"/>
      <c r="AK215" s="270"/>
      <c r="AL215" s="270"/>
      <c r="AM215" s="270"/>
      <c r="AN215" s="270"/>
      <c r="AO215" s="270"/>
      <c r="AP215" s="270"/>
    </row>
    <row r="216" spans="2:42">
      <c r="B216" s="241"/>
      <c r="C216" s="270"/>
      <c r="D216" s="270"/>
      <c r="E216" s="270"/>
      <c r="F216" s="270"/>
      <c r="G216" s="270"/>
      <c r="H216" s="270"/>
      <c r="I216" s="270"/>
      <c r="J216" s="270"/>
      <c r="K216" s="270"/>
      <c r="L216" s="270"/>
      <c r="M216" s="270"/>
      <c r="N216" s="270"/>
      <c r="O216" s="270"/>
      <c r="P216" s="270"/>
      <c r="Q216" s="270"/>
      <c r="R216" s="270"/>
      <c r="S216" s="270"/>
      <c r="T216" s="270"/>
      <c r="U216" s="270"/>
      <c r="V216" s="270"/>
      <c r="W216" s="270"/>
      <c r="X216" s="270"/>
      <c r="Y216" s="270"/>
      <c r="Z216" s="270"/>
      <c r="AA216" s="270"/>
      <c r="AB216" s="270"/>
      <c r="AC216" s="270"/>
      <c r="AD216" s="270"/>
      <c r="AE216" s="270"/>
      <c r="AF216" s="270"/>
      <c r="AG216" s="270"/>
      <c r="AH216" s="270"/>
      <c r="AI216" s="270"/>
      <c r="AJ216" s="270"/>
      <c r="AK216" s="270"/>
      <c r="AL216" s="270"/>
      <c r="AM216" s="270"/>
      <c r="AN216" s="270"/>
      <c r="AO216" s="270"/>
      <c r="AP216" s="270"/>
    </row>
    <row r="217" spans="2:42">
      <c r="B217" s="241"/>
      <c r="C217" s="270"/>
      <c r="D217" s="270"/>
      <c r="E217" s="270"/>
      <c r="F217" s="270"/>
      <c r="G217" s="270"/>
      <c r="H217" s="270"/>
      <c r="I217" s="270"/>
      <c r="J217" s="270"/>
      <c r="K217" s="270"/>
      <c r="L217" s="270"/>
      <c r="M217" s="270"/>
      <c r="N217" s="270"/>
      <c r="O217" s="270"/>
      <c r="P217" s="270"/>
      <c r="Q217" s="270"/>
      <c r="R217" s="270"/>
      <c r="S217" s="270"/>
      <c r="T217" s="270"/>
      <c r="U217" s="270"/>
      <c r="V217" s="270"/>
      <c r="W217" s="270"/>
      <c r="X217" s="270"/>
      <c r="Y217" s="270"/>
      <c r="Z217" s="270"/>
      <c r="AA217" s="270"/>
      <c r="AB217" s="270"/>
      <c r="AC217" s="270"/>
      <c r="AD217" s="270"/>
      <c r="AE217" s="270"/>
      <c r="AF217" s="270"/>
      <c r="AG217" s="270"/>
      <c r="AH217" s="270"/>
      <c r="AI217" s="270"/>
      <c r="AJ217" s="270"/>
      <c r="AK217" s="270"/>
      <c r="AL217" s="270"/>
      <c r="AM217" s="270"/>
      <c r="AN217" s="270"/>
      <c r="AO217" s="270"/>
      <c r="AP217" s="270"/>
    </row>
    <row r="218" spans="2:42">
      <c r="B218" s="241"/>
      <c r="C218" s="270"/>
      <c r="D218" s="270"/>
      <c r="E218" s="270"/>
      <c r="F218" s="270"/>
      <c r="G218" s="270"/>
      <c r="H218" s="270"/>
      <c r="I218" s="270"/>
      <c r="J218" s="270"/>
      <c r="K218" s="270"/>
      <c r="L218" s="270"/>
      <c r="M218" s="270"/>
      <c r="N218" s="270"/>
      <c r="O218" s="270"/>
      <c r="P218" s="270"/>
      <c r="Q218" s="270"/>
      <c r="R218" s="270"/>
      <c r="S218" s="270"/>
      <c r="T218" s="270"/>
      <c r="U218" s="270"/>
      <c r="V218" s="270"/>
      <c r="W218" s="270"/>
      <c r="X218" s="270"/>
      <c r="Y218" s="270"/>
      <c r="Z218" s="270"/>
      <c r="AA218" s="270"/>
      <c r="AB218" s="270"/>
      <c r="AC218" s="270"/>
      <c r="AD218" s="270"/>
      <c r="AE218" s="270"/>
      <c r="AF218" s="270"/>
      <c r="AG218" s="270"/>
      <c r="AH218" s="270"/>
      <c r="AI218" s="270"/>
      <c r="AJ218" s="270"/>
      <c r="AK218" s="270"/>
      <c r="AL218" s="270"/>
      <c r="AM218" s="270"/>
      <c r="AN218" s="270"/>
      <c r="AO218" s="270"/>
      <c r="AP218" s="270"/>
    </row>
    <row r="219" spans="2:42">
      <c r="B219" s="241"/>
      <c r="C219" s="270"/>
      <c r="D219" s="270"/>
      <c r="E219" s="270"/>
      <c r="F219" s="270"/>
      <c r="G219" s="270"/>
      <c r="H219" s="270"/>
      <c r="I219" s="270"/>
      <c r="J219" s="270"/>
      <c r="K219" s="270"/>
      <c r="L219" s="270"/>
      <c r="M219" s="270"/>
      <c r="N219" s="270"/>
      <c r="O219" s="270"/>
      <c r="P219" s="270"/>
      <c r="Q219" s="270"/>
      <c r="R219" s="270"/>
      <c r="S219" s="270"/>
      <c r="T219" s="270"/>
      <c r="U219" s="270"/>
      <c r="V219" s="270"/>
      <c r="W219" s="270"/>
      <c r="X219" s="270"/>
      <c r="Y219" s="270"/>
      <c r="Z219" s="270"/>
      <c r="AA219" s="270"/>
      <c r="AB219" s="270"/>
      <c r="AC219" s="270"/>
      <c r="AD219" s="270"/>
      <c r="AE219" s="270"/>
      <c r="AF219" s="270"/>
      <c r="AG219" s="270"/>
      <c r="AH219" s="270"/>
      <c r="AI219" s="270"/>
      <c r="AJ219" s="270"/>
      <c r="AK219" s="270"/>
      <c r="AL219" s="270"/>
      <c r="AM219" s="270"/>
      <c r="AN219" s="270"/>
      <c r="AO219" s="270"/>
      <c r="AP219" s="270"/>
    </row>
    <row r="220" spans="2:42">
      <c r="B220" s="241"/>
      <c r="C220" s="270"/>
      <c r="D220" s="270"/>
      <c r="E220" s="270"/>
      <c r="F220" s="270"/>
      <c r="G220" s="270"/>
      <c r="H220" s="270"/>
      <c r="I220" s="270"/>
      <c r="J220" s="270"/>
      <c r="K220" s="270"/>
      <c r="L220" s="270"/>
      <c r="M220" s="270"/>
      <c r="N220" s="270"/>
      <c r="O220" s="270"/>
      <c r="P220" s="270"/>
      <c r="Q220" s="270"/>
      <c r="R220" s="270"/>
      <c r="S220" s="270"/>
      <c r="T220" s="270"/>
      <c r="U220" s="270"/>
      <c r="V220" s="270"/>
      <c r="W220" s="270"/>
      <c r="X220" s="270"/>
      <c r="Y220" s="270"/>
      <c r="Z220" s="270"/>
      <c r="AA220" s="270"/>
      <c r="AB220" s="270"/>
      <c r="AC220" s="270"/>
      <c r="AD220" s="270"/>
      <c r="AE220" s="270"/>
      <c r="AF220" s="270"/>
      <c r="AG220" s="270"/>
      <c r="AH220" s="270"/>
      <c r="AI220" s="270"/>
      <c r="AJ220" s="270"/>
      <c r="AK220" s="270"/>
      <c r="AL220" s="270"/>
      <c r="AM220" s="270"/>
      <c r="AN220" s="270"/>
      <c r="AO220" s="270"/>
      <c r="AP220" s="270"/>
    </row>
    <row r="221" spans="2:42">
      <c r="B221" s="241"/>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row>
    <row r="222" spans="2:42">
      <c r="B222" s="241"/>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row>
    <row r="223" spans="2:42">
      <c r="B223" s="241"/>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row>
    <row r="224" spans="2:42">
      <c r="B224" s="241"/>
      <c r="C224" s="241"/>
      <c r="D224" s="241"/>
      <c r="E224" s="241"/>
      <c r="F224" s="260"/>
      <c r="G224" s="260"/>
      <c r="H224" s="260"/>
      <c r="I224" s="260"/>
      <c r="J224" s="260"/>
      <c r="K224" s="260"/>
      <c r="L224" s="260"/>
      <c r="M224" s="260"/>
      <c r="N224" s="260"/>
      <c r="O224" s="260"/>
      <c r="P224" s="235"/>
      <c r="Q224" s="235"/>
      <c r="R224" s="235"/>
      <c r="S224" s="235"/>
      <c r="AD224" s="227"/>
      <c r="AE224" s="233"/>
    </row>
    <row r="225" spans="2:31">
      <c r="B225" s="241"/>
      <c r="C225" s="241"/>
      <c r="D225" s="241"/>
      <c r="E225" s="241"/>
      <c r="F225" s="260"/>
      <c r="G225" s="260"/>
      <c r="H225" s="260"/>
      <c r="I225" s="260"/>
      <c r="J225" s="260"/>
      <c r="K225" s="260"/>
      <c r="L225" s="260"/>
      <c r="M225" s="260"/>
      <c r="N225" s="260"/>
      <c r="O225" s="260"/>
      <c r="P225" s="235"/>
      <c r="Q225" s="235"/>
      <c r="R225" s="235"/>
      <c r="S225" s="235"/>
      <c r="AD225" s="227"/>
      <c r="AE225" s="233"/>
    </row>
    <row r="226" spans="2:31">
      <c r="B226" s="241"/>
      <c r="C226" s="241"/>
      <c r="D226" s="241"/>
      <c r="E226" s="241"/>
      <c r="F226" s="260"/>
      <c r="G226" s="260"/>
      <c r="H226" s="260"/>
      <c r="I226" s="260"/>
      <c r="J226" s="260"/>
      <c r="K226" s="260"/>
      <c r="L226" s="260"/>
      <c r="M226" s="260"/>
      <c r="N226" s="260"/>
      <c r="O226" s="260"/>
      <c r="P226" s="235"/>
      <c r="Q226" s="235"/>
      <c r="R226" s="235"/>
      <c r="S226" s="235"/>
      <c r="AD226" s="227"/>
      <c r="AE226" s="233"/>
    </row>
    <row r="227" spans="2:31">
      <c r="B227" s="241"/>
      <c r="C227" s="241"/>
      <c r="D227" s="241"/>
      <c r="E227" s="241"/>
      <c r="F227" s="260"/>
      <c r="G227" s="260"/>
      <c r="H227" s="260"/>
      <c r="I227" s="260"/>
      <c r="J227" s="260"/>
      <c r="K227" s="260"/>
      <c r="L227" s="260"/>
      <c r="M227" s="260"/>
      <c r="N227" s="260"/>
      <c r="O227" s="260"/>
      <c r="P227" s="235"/>
      <c r="Q227" s="235"/>
      <c r="R227" s="235"/>
      <c r="S227" s="235"/>
      <c r="AD227" s="227"/>
      <c r="AE227" s="233"/>
    </row>
    <row r="228" spans="2:31">
      <c r="B228" s="241"/>
      <c r="C228" s="241"/>
      <c r="D228" s="241"/>
      <c r="E228" s="241"/>
      <c r="F228" s="260"/>
      <c r="G228" s="260"/>
      <c r="H228" s="260"/>
      <c r="I228" s="260"/>
      <c r="J228" s="260"/>
      <c r="K228" s="260"/>
      <c r="L228" s="260"/>
      <c r="M228" s="260"/>
      <c r="N228" s="260"/>
      <c r="O228" s="260"/>
      <c r="P228" s="235"/>
      <c r="Q228" s="235"/>
      <c r="R228" s="235"/>
      <c r="S228" s="235"/>
      <c r="AD228" s="227"/>
      <c r="AE228" s="233"/>
    </row>
    <row r="229" spans="2:31">
      <c r="B229" s="241"/>
      <c r="C229" s="241"/>
      <c r="D229" s="241"/>
      <c r="E229" s="241"/>
      <c r="F229" s="260"/>
      <c r="G229" s="260"/>
      <c r="H229" s="260"/>
      <c r="I229" s="260"/>
      <c r="J229" s="260"/>
      <c r="K229" s="260"/>
      <c r="L229" s="260"/>
      <c r="M229" s="260"/>
      <c r="N229" s="260"/>
      <c r="O229" s="260"/>
      <c r="P229" s="235"/>
      <c r="Q229" s="235"/>
      <c r="R229" s="235"/>
      <c r="S229" s="235"/>
      <c r="AD229" s="227"/>
      <c r="AE229" s="233"/>
    </row>
    <row r="230" spans="2:31">
      <c r="B230" s="241"/>
      <c r="C230" s="241"/>
      <c r="D230" s="241"/>
      <c r="E230" s="241"/>
      <c r="F230" s="260"/>
      <c r="G230" s="260"/>
      <c r="H230" s="260"/>
      <c r="I230" s="260"/>
      <c r="J230" s="260"/>
      <c r="K230" s="260"/>
      <c r="L230" s="260"/>
      <c r="M230" s="260"/>
      <c r="N230" s="260"/>
      <c r="O230" s="260"/>
      <c r="P230" s="235"/>
      <c r="Q230" s="235"/>
      <c r="R230" s="235"/>
      <c r="S230" s="235"/>
      <c r="AD230" s="227"/>
      <c r="AE230" s="233"/>
    </row>
    <row r="231" spans="2:31">
      <c r="B231" s="241"/>
      <c r="C231" s="241"/>
      <c r="D231" s="241"/>
      <c r="E231" s="241"/>
      <c r="F231" s="260"/>
      <c r="G231" s="260"/>
      <c r="H231" s="260"/>
      <c r="I231" s="260"/>
      <c r="J231" s="260"/>
      <c r="K231" s="260"/>
      <c r="L231" s="260"/>
      <c r="M231" s="260"/>
      <c r="N231" s="260"/>
      <c r="O231" s="260"/>
      <c r="P231" s="235"/>
      <c r="Q231" s="235"/>
      <c r="R231" s="235"/>
      <c r="S231" s="235"/>
      <c r="AD231" s="227"/>
      <c r="AE231" s="233"/>
    </row>
    <row r="232" spans="2:31">
      <c r="B232" s="241"/>
      <c r="C232" s="241"/>
      <c r="D232" s="241"/>
      <c r="E232" s="241"/>
      <c r="F232" s="260"/>
      <c r="G232" s="260"/>
      <c r="H232" s="260"/>
      <c r="I232" s="260"/>
      <c r="J232" s="260"/>
      <c r="K232" s="260"/>
      <c r="L232" s="260"/>
      <c r="M232" s="260"/>
      <c r="N232" s="260"/>
      <c r="O232" s="260"/>
      <c r="P232" s="235"/>
      <c r="Q232" s="235"/>
      <c r="R232" s="235"/>
      <c r="S232" s="235"/>
      <c r="AD232" s="227"/>
      <c r="AE232" s="233"/>
    </row>
    <row r="233" spans="2:31">
      <c r="B233" s="241"/>
      <c r="C233" s="241"/>
      <c r="D233" s="241"/>
      <c r="E233" s="241"/>
      <c r="F233" s="260"/>
      <c r="G233" s="260"/>
      <c r="H233" s="260"/>
      <c r="I233" s="260"/>
      <c r="J233" s="260"/>
      <c r="K233" s="260"/>
      <c r="L233" s="260"/>
      <c r="M233" s="260"/>
      <c r="N233" s="260"/>
      <c r="O233" s="260"/>
      <c r="P233" s="235"/>
      <c r="Q233" s="235"/>
      <c r="R233" s="235"/>
      <c r="S233" s="235"/>
      <c r="AD233" s="227"/>
      <c r="AE233" s="233"/>
    </row>
    <row r="234" spans="2:31">
      <c r="B234" s="241"/>
      <c r="C234" s="241"/>
      <c r="D234" s="241"/>
      <c r="E234" s="241"/>
      <c r="F234" s="260"/>
      <c r="G234" s="260"/>
      <c r="H234" s="260"/>
      <c r="I234" s="260"/>
      <c r="J234" s="260"/>
      <c r="K234" s="260"/>
      <c r="L234" s="260"/>
      <c r="M234" s="260"/>
      <c r="N234" s="260"/>
      <c r="O234" s="260"/>
      <c r="P234" s="235"/>
      <c r="Q234" s="235"/>
      <c r="R234" s="235"/>
      <c r="S234" s="235"/>
      <c r="AD234" s="227"/>
      <c r="AE234" s="233"/>
    </row>
    <row r="235" spans="2:31">
      <c r="B235" s="241"/>
      <c r="C235" s="241"/>
      <c r="D235" s="241"/>
      <c r="E235" s="241"/>
      <c r="F235" s="260"/>
      <c r="G235" s="260"/>
      <c r="H235" s="260"/>
      <c r="I235" s="260"/>
      <c r="J235" s="260"/>
      <c r="K235" s="260"/>
      <c r="L235" s="260"/>
      <c r="M235" s="260"/>
      <c r="N235" s="260"/>
      <c r="O235" s="260"/>
      <c r="P235" s="235"/>
      <c r="Q235" s="235"/>
      <c r="R235" s="235"/>
      <c r="S235" s="235"/>
      <c r="AD235" s="227"/>
      <c r="AE235" s="233"/>
    </row>
    <row r="236" spans="2:31">
      <c r="B236" s="241"/>
      <c r="C236" s="241"/>
      <c r="D236" s="241"/>
      <c r="E236" s="241"/>
      <c r="F236" s="260"/>
      <c r="G236" s="260"/>
      <c r="H236" s="260"/>
      <c r="I236" s="260"/>
      <c r="J236" s="260"/>
      <c r="K236" s="260"/>
      <c r="L236" s="260"/>
      <c r="M236" s="260"/>
      <c r="N236" s="260"/>
      <c r="O236" s="260"/>
      <c r="P236" s="235"/>
      <c r="Q236" s="235"/>
      <c r="R236" s="235"/>
      <c r="S236" s="235"/>
      <c r="AD236" s="227"/>
      <c r="AE236" s="233"/>
    </row>
    <row r="237" spans="2:31">
      <c r="B237" s="241"/>
      <c r="C237" s="241"/>
      <c r="D237" s="241"/>
      <c r="E237" s="241"/>
      <c r="F237" s="260"/>
      <c r="G237" s="260"/>
      <c r="H237" s="260"/>
      <c r="I237" s="260"/>
      <c r="J237" s="260"/>
      <c r="K237" s="260"/>
      <c r="L237" s="260"/>
      <c r="M237" s="260"/>
      <c r="N237" s="260"/>
      <c r="O237" s="260"/>
      <c r="P237" s="235"/>
      <c r="Q237" s="235"/>
      <c r="R237" s="235"/>
      <c r="S237" s="235"/>
      <c r="AD237" s="227"/>
      <c r="AE237" s="233"/>
    </row>
    <row r="238" spans="2:31">
      <c r="B238" s="241"/>
      <c r="C238" s="241"/>
      <c r="D238" s="241"/>
      <c r="E238" s="241"/>
      <c r="F238" s="260"/>
      <c r="G238" s="260"/>
      <c r="H238" s="260"/>
      <c r="I238" s="260"/>
      <c r="J238" s="260"/>
      <c r="K238" s="260"/>
      <c r="L238" s="260"/>
      <c r="M238" s="260"/>
      <c r="N238" s="260"/>
      <c r="O238" s="260"/>
      <c r="P238" s="235"/>
      <c r="Q238" s="235"/>
      <c r="R238" s="235"/>
      <c r="S238" s="235"/>
      <c r="AD238" s="227"/>
      <c r="AE238" s="233"/>
    </row>
    <row r="239" spans="2:31">
      <c r="B239" s="241"/>
      <c r="C239" s="241"/>
      <c r="D239" s="241"/>
      <c r="E239" s="241"/>
      <c r="F239" s="260"/>
      <c r="G239" s="260"/>
      <c r="H239" s="260"/>
      <c r="I239" s="260"/>
      <c r="J239" s="260"/>
      <c r="K239" s="260"/>
      <c r="L239" s="260"/>
      <c r="M239" s="260"/>
      <c r="N239" s="260"/>
      <c r="O239" s="260"/>
      <c r="P239" s="235"/>
      <c r="Q239" s="235"/>
      <c r="R239" s="235"/>
      <c r="S239" s="235"/>
      <c r="AD239" s="227"/>
      <c r="AE239" s="233"/>
    </row>
    <row r="240" spans="2:31">
      <c r="B240" s="241"/>
      <c r="C240" s="241"/>
      <c r="D240" s="241"/>
      <c r="E240" s="241"/>
      <c r="F240" s="260"/>
      <c r="G240" s="260"/>
      <c r="H240" s="260"/>
      <c r="I240" s="260"/>
      <c r="J240" s="260"/>
      <c r="K240" s="260"/>
      <c r="L240" s="260"/>
      <c r="M240" s="260"/>
      <c r="N240" s="260"/>
      <c r="O240" s="260"/>
      <c r="P240" s="235"/>
      <c r="Q240" s="235"/>
      <c r="R240" s="235"/>
      <c r="S240" s="235"/>
      <c r="AD240" s="227"/>
      <c r="AE240" s="233"/>
    </row>
    <row r="241" spans="2:31">
      <c r="B241" s="241"/>
      <c r="C241" s="241"/>
      <c r="D241" s="241"/>
      <c r="E241" s="241"/>
      <c r="F241" s="260"/>
      <c r="G241" s="260"/>
      <c r="H241" s="260"/>
      <c r="I241" s="260"/>
      <c r="J241" s="260"/>
      <c r="K241" s="260"/>
      <c r="L241" s="260"/>
      <c r="M241" s="260"/>
      <c r="N241" s="260"/>
      <c r="O241" s="260"/>
      <c r="P241" s="235"/>
      <c r="Q241" s="235"/>
      <c r="R241" s="235"/>
      <c r="S241" s="235"/>
      <c r="AD241" s="227"/>
      <c r="AE241" s="233"/>
    </row>
    <row r="242" spans="2:31">
      <c r="B242" s="241"/>
      <c r="C242" s="241"/>
      <c r="D242" s="241"/>
      <c r="E242" s="241"/>
      <c r="F242" s="260"/>
      <c r="G242" s="260"/>
      <c r="H242" s="260"/>
      <c r="I242" s="260"/>
      <c r="J242" s="260"/>
      <c r="K242" s="260"/>
      <c r="L242" s="260"/>
      <c r="M242" s="260"/>
      <c r="N242" s="260"/>
      <c r="O242" s="260"/>
      <c r="P242" s="235"/>
      <c r="Q242" s="235"/>
      <c r="R242" s="235"/>
      <c r="S242" s="235"/>
      <c r="AD242" s="227"/>
      <c r="AE242" s="233"/>
    </row>
    <row r="243" spans="2:31">
      <c r="B243" s="241"/>
      <c r="C243" s="241"/>
      <c r="D243" s="241"/>
      <c r="E243" s="241"/>
      <c r="F243" s="260"/>
      <c r="G243" s="260"/>
      <c r="H243" s="260"/>
      <c r="I243" s="260"/>
      <c r="J243" s="260"/>
      <c r="K243" s="260"/>
      <c r="L243" s="260"/>
      <c r="M243" s="260"/>
      <c r="N243" s="260"/>
      <c r="O243" s="260"/>
      <c r="P243" s="235"/>
      <c r="Q243" s="235"/>
      <c r="R243" s="235"/>
      <c r="S243" s="235"/>
      <c r="AD243" s="227"/>
      <c r="AE243" s="233"/>
    </row>
    <row r="244" spans="2:31">
      <c r="B244" s="241"/>
      <c r="C244" s="241"/>
      <c r="D244" s="241"/>
      <c r="E244" s="241"/>
      <c r="F244" s="260"/>
      <c r="G244" s="260"/>
      <c r="H244" s="260"/>
      <c r="I244" s="260"/>
      <c r="J244" s="260"/>
      <c r="K244" s="260"/>
      <c r="L244" s="260"/>
      <c r="M244" s="260"/>
      <c r="N244" s="260"/>
      <c r="O244" s="260"/>
      <c r="P244" s="235"/>
      <c r="Q244" s="235"/>
      <c r="R244" s="235"/>
      <c r="S244" s="235"/>
      <c r="AD244" s="227"/>
      <c r="AE244" s="233"/>
    </row>
    <row r="245" spans="2:31">
      <c r="B245" s="241"/>
      <c r="C245" s="241"/>
      <c r="D245" s="241"/>
      <c r="E245" s="241"/>
      <c r="F245" s="260"/>
      <c r="G245" s="260"/>
      <c r="H245" s="260"/>
      <c r="I245" s="260"/>
      <c r="J245" s="260"/>
      <c r="K245" s="260"/>
      <c r="L245" s="260"/>
      <c r="M245" s="260"/>
      <c r="N245" s="260"/>
      <c r="O245" s="260"/>
      <c r="P245" s="235"/>
      <c r="Q245" s="235"/>
      <c r="R245" s="235"/>
      <c r="S245" s="235"/>
      <c r="AD245" s="227"/>
      <c r="AE245" s="233"/>
    </row>
    <row r="246" spans="2:31">
      <c r="B246" s="241"/>
      <c r="C246" s="241"/>
      <c r="D246" s="241"/>
      <c r="E246" s="241"/>
      <c r="F246" s="260"/>
      <c r="G246" s="260"/>
      <c r="H246" s="260"/>
      <c r="I246" s="260"/>
      <c r="J246" s="260"/>
      <c r="K246" s="260"/>
      <c r="L246" s="260"/>
      <c r="M246" s="260"/>
      <c r="N246" s="260"/>
      <c r="O246" s="260"/>
      <c r="P246" s="235"/>
      <c r="Q246" s="235"/>
      <c r="R246" s="235"/>
      <c r="S246" s="235"/>
      <c r="AD246" s="227"/>
      <c r="AE246" s="233"/>
    </row>
    <row r="247" spans="2:31">
      <c r="B247" s="241"/>
      <c r="C247" s="241"/>
      <c r="D247" s="241"/>
      <c r="E247" s="241"/>
      <c r="F247" s="260"/>
      <c r="G247" s="260"/>
      <c r="H247" s="260"/>
      <c r="I247" s="260"/>
      <c r="J247" s="260"/>
      <c r="K247" s="260"/>
      <c r="L247" s="260"/>
      <c r="M247" s="260"/>
      <c r="N247" s="260"/>
      <c r="O247" s="260"/>
      <c r="P247" s="235"/>
      <c r="Q247" s="235"/>
      <c r="R247" s="235"/>
      <c r="S247" s="235"/>
      <c r="AD247" s="227"/>
      <c r="AE247" s="233"/>
    </row>
    <row r="248" spans="2:31">
      <c r="B248" s="241"/>
      <c r="C248" s="241"/>
      <c r="D248" s="241"/>
      <c r="E248" s="241"/>
      <c r="F248" s="260"/>
      <c r="G248" s="260"/>
      <c r="H248" s="260"/>
      <c r="I248" s="260"/>
      <c r="J248" s="260"/>
      <c r="K248" s="260"/>
      <c r="L248" s="260"/>
      <c r="M248" s="260"/>
      <c r="N248" s="260"/>
      <c r="O248" s="235"/>
      <c r="P248" s="235"/>
      <c r="Q248" s="235"/>
    </row>
    <row r="249" spans="2:31">
      <c r="B249" s="241"/>
      <c r="C249" s="241"/>
      <c r="D249" s="241"/>
      <c r="E249" s="241"/>
      <c r="F249" s="260"/>
      <c r="G249" s="260"/>
      <c r="H249" s="260"/>
      <c r="I249" s="260"/>
      <c r="J249" s="260"/>
      <c r="K249" s="260"/>
      <c r="L249" s="260"/>
      <c r="M249" s="260"/>
      <c r="N249" s="260"/>
      <c r="O249" s="235"/>
      <c r="P249" s="235"/>
      <c r="Q249" s="235"/>
    </row>
    <row r="250" spans="2:31">
      <c r="B250" s="241"/>
      <c r="C250" s="241"/>
      <c r="D250" s="241"/>
      <c r="E250" s="241"/>
      <c r="F250" s="260"/>
      <c r="G250" s="260"/>
      <c r="H250" s="260"/>
      <c r="I250" s="260"/>
      <c r="J250" s="260"/>
      <c r="K250" s="260"/>
      <c r="L250" s="260"/>
      <c r="M250" s="260"/>
      <c r="N250" s="260"/>
      <c r="O250" s="235"/>
      <c r="P250" s="235"/>
      <c r="Q250" s="235"/>
    </row>
    <row r="251" spans="2:31">
      <c r="B251" s="241"/>
      <c r="C251" s="241"/>
      <c r="D251" s="241"/>
      <c r="E251" s="241"/>
      <c r="F251" s="260"/>
      <c r="G251" s="260"/>
      <c r="H251" s="260"/>
      <c r="I251" s="260"/>
      <c r="J251" s="260"/>
      <c r="K251" s="260"/>
      <c r="L251" s="260"/>
      <c r="M251" s="260"/>
      <c r="N251" s="260"/>
      <c r="O251" s="235"/>
      <c r="P251" s="235"/>
      <c r="Q251" s="235"/>
    </row>
    <row r="252" spans="2:31">
      <c r="B252" s="241"/>
      <c r="C252" s="241"/>
      <c r="D252" s="241"/>
      <c r="E252" s="241"/>
      <c r="F252" s="260"/>
      <c r="G252" s="260"/>
      <c r="H252" s="260"/>
      <c r="I252" s="260"/>
      <c r="J252" s="260"/>
      <c r="K252" s="260"/>
      <c r="L252" s="260"/>
      <c r="M252" s="260"/>
      <c r="N252" s="260"/>
      <c r="O252" s="235"/>
      <c r="P252" s="235"/>
      <c r="Q252" s="235"/>
    </row>
    <row r="253" spans="2:31">
      <c r="B253" s="241"/>
      <c r="C253" s="241"/>
      <c r="D253" s="241"/>
      <c r="E253" s="241"/>
      <c r="F253" s="260"/>
      <c r="G253" s="260"/>
      <c r="H253" s="260"/>
      <c r="I253" s="260"/>
      <c r="J253" s="260"/>
      <c r="K253" s="260"/>
      <c r="L253" s="260"/>
      <c r="M253" s="260"/>
      <c r="N253" s="260"/>
      <c r="O253" s="235"/>
      <c r="P253" s="235"/>
      <c r="Q253" s="235"/>
    </row>
    <row r="254" spans="2:31">
      <c r="B254" s="241"/>
      <c r="C254" s="241"/>
      <c r="D254" s="241"/>
      <c r="E254" s="241"/>
      <c r="F254" s="260"/>
      <c r="G254" s="260"/>
      <c r="H254" s="260"/>
      <c r="I254" s="260"/>
      <c r="J254" s="260"/>
      <c r="K254" s="260"/>
      <c r="L254" s="260"/>
      <c r="M254" s="260"/>
      <c r="N254" s="260"/>
      <c r="O254" s="235"/>
      <c r="P254" s="235"/>
      <c r="Q254" s="235"/>
    </row>
    <row r="255" spans="2:31">
      <c r="B255" s="241"/>
      <c r="C255" s="241"/>
      <c r="D255" s="241"/>
      <c r="E255" s="241"/>
      <c r="F255" s="260"/>
      <c r="G255" s="260"/>
      <c r="H255" s="260"/>
      <c r="I255" s="260"/>
      <c r="J255" s="260"/>
      <c r="K255" s="260"/>
      <c r="L255" s="260"/>
      <c r="M255" s="260"/>
      <c r="N255" s="260"/>
      <c r="O255" s="235"/>
      <c r="P255" s="235"/>
      <c r="Q255" s="235"/>
    </row>
    <row r="256" spans="2:31">
      <c r="B256" s="241"/>
      <c r="C256" s="241"/>
      <c r="D256" s="241"/>
      <c r="E256" s="241"/>
      <c r="F256" s="260"/>
      <c r="G256" s="260"/>
      <c r="H256" s="260"/>
      <c r="I256" s="260"/>
      <c r="J256" s="260"/>
      <c r="K256" s="260"/>
      <c r="L256" s="260"/>
      <c r="M256" s="260"/>
      <c r="N256" s="260"/>
      <c r="O256" s="235"/>
      <c r="P256" s="235"/>
      <c r="Q256" s="235"/>
    </row>
    <row r="257" spans="2:17">
      <c r="B257" s="241"/>
      <c r="C257" s="241"/>
      <c r="D257" s="241"/>
      <c r="E257" s="241"/>
      <c r="F257" s="260"/>
      <c r="G257" s="260"/>
      <c r="H257" s="260"/>
      <c r="I257" s="260"/>
      <c r="J257" s="260"/>
      <c r="K257" s="260"/>
      <c r="L257" s="260"/>
      <c r="M257" s="260"/>
      <c r="N257" s="260"/>
      <c r="O257" s="235"/>
      <c r="P257" s="235"/>
      <c r="Q257" s="235"/>
    </row>
    <row r="258" spans="2:17">
      <c r="B258" s="241"/>
      <c r="C258" s="241"/>
      <c r="D258" s="241"/>
      <c r="E258" s="241"/>
      <c r="F258" s="260"/>
      <c r="G258" s="260"/>
      <c r="H258" s="260"/>
      <c r="I258" s="260"/>
      <c r="J258" s="260"/>
      <c r="K258" s="260"/>
      <c r="L258" s="260"/>
      <c r="M258" s="260"/>
      <c r="N258" s="260"/>
      <c r="O258" s="235"/>
      <c r="P258" s="235"/>
      <c r="Q258" s="235"/>
    </row>
    <row r="259" spans="2:17">
      <c r="B259" s="241"/>
      <c r="C259" s="241"/>
      <c r="D259" s="241"/>
      <c r="E259" s="241"/>
      <c r="F259" s="260"/>
      <c r="G259" s="260"/>
      <c r="H259" s="260"/>
      <c r="I259" s="260"/>
      <c r="J259" s="260"/>
      <c r="K259" s="260"/>
      <c r="L259" s="260"/>
      <c r="M259" s="260"/>
      <c r="N259" s="260"/>
      <c r="O259" s="235"/>
      <c r="P259" s="235"/>
      <c r="Q259" s="235"/>
    </row>
    <row r="260" spans="2:17">
      <c r="B260" s="241"/>
      <c r="C260" s="241"/>
      <c r="D260" s="241"/>
      <c r="E260" s="241"/>
      <c r="F260" s="260"/>
      <c r="G260" s="260"/>
      <c r="H260" s="260"/>
      <c r="I260" s="260"/>
      <c r="J260" s="260"/>
      <c r="K260" s="260"/>
      <c r="L260" s="260"/>
      <c r="M260" s="260"/>
      <c r="N260" s="260"/>
      <c r="O260" s="235"/>
      <c r="P260" s="235"/>
      <c r="Q260" s="235"/>
    </row>
    <row r="261" spans="2:17">
      <c r="B261" s="241"/>
      <c r="C261" s="241"/>
      <c r="D261" s="241"/>
      <c r="E261" s="241"/>
      <c r="F261" s="260"/>
      <c r="G261" s="260"/>
      <c r="H261" s="260"/>
      <c r="I261" s="260"/>
      <c r="J261" s="260"/>
      <c r="K261" s="260"/>
      <c r="L261" s="260"/>
      <c r="M261" s="260"/>
      <c r="N261" s="260"/>
      <c r="O261" s="235"/>
      <c r="P261" s="235"/>
      <c r="Q261" s="235"/>
    </row>
    <row r="262" spans="2:17">
      <c r="B262" s="241"/>
      <c r="C262" s="241"/>
      <c r="D262" s="241"/>
      <c r="E262" s="241"/>
      <c r="F262" s="260"/>
      <c r="G262" s="260"/>
      <c r="H262" s="260"/>
      <c r="I262" s="260"/>
      <c r="J262" s="260"/>
      <c r="K262" s="260"/>
      <c r="L262" s="260"/>
      <c r="M262" s="260"/>
      <c r="N262" s="260"/>
      <c r="O262" s="235"/>
      <c r="P262" s="235"/>
      <c r="Q262" s="235"/>
    </row>
    <row r="263" spans="2:17">
      <c r="B263" s="241"/>
      <c r="C263" s="241"/>
      <c r="D263" s="241"/>
      <c r="E263" s="241"/>
      <c r="F263" s="260"/>
      <c r="G263" s="260"/>
      <c r="H263" s="260"/>
      <c r="I263" s="260"/>
      <c r="J263" s="260"/>
      <c r="K263" s="260"/>
      <c r="L263" s="260"/>
      <c r="M263" s="260"/>
      <c r="N263" s="260"/>
      <c r="O263" s="235"/>
      <c r="P263" s="235"/>
      <c r="Q263" s="235"/>
    </row>
    <row r="264" spans="2:17">
      <c r="B264" s="241"/>
      <c r="C264" s="241"/>
      <c r="D264" s="241"/>
      <c r="E264" s="241"/>
      <c r="F264" s="260"/>
      <c r="G264" s="260"/>
      <c r="H264" s="260"/>
      <c r="I264" s="260"/>
      <c r="J264" s="260"/>
      <c r="K264" s="260"/>
      <c r="L264" s="260"/>
      <c r="M264" s="260"/>
      <c r="N264" s="260"/>
      <c r="O264" s="235"/>
      <c r="P264" s="235"/>
      <c r="Q264" s="235"/>
    </row>
    <row r="265" spans="2:17">
      <c r="B265" s="241"/>
      <c r="C265" s="241"/>
      <c r="D265" s="241"/>
      <c r="E265" s="241"/>
      <c r="F265" s="260"/>
      <c r="G265" s="260"/>
      <c r="H265" s="260"/>
      <c r="I265" s="260"/>
      <c r="J265" s="260"/>
      <c r="K265" s="260"/>
      <c r="L265" s="260"/>
      <c r="M265" s="260"/>
      <c r="N265" s="260"/>
      <c r="O265" s="235"/>
      <c r="P265" s="235"/>
      <c r="Q265" s="235"/>
    </row>
    <row r="266" spans="2:17">
      <c r="B266" s="241"/>
      <c r="C266" s="241"/>
      <c r="D266" s="241"/>
      <c r="E266" s="241"/>
      <c r="F266" s="260"/>
      <c r="G266" s="260"/>
      <c r="H266" s="260"/>
      <c r="I266" s="260"/>
      <c r="J266" s="260"/>
      <c r="K266" s="260"/>
      <c r="L266" s="260"/>
      <c r="M266" s="260"/>
      <c r="N266" s="260"/>
      <c r="O266" s="235"/>
      <c r="P266" s="235"/>
      <c r="Q266" s="235"/>
    </row>
    <row r="267" spans="2:17">
      <c r="B267" s="241"/>
      <c r="C267" s="241"/>
      <c r="D267" s="241"/>
      <c r="E267" s="241"/>
      <c r="F267" s="260"/>
      <c r="G267" s="260"/>
      <c r="H267" s="260"/>
      <c r="I267" s="260"/>
      <c r="J267" s="260"/>
      <c r="K267" s="260"/>
      <c r="L267" s="260"/>
      <c r="M267" s="260"/>
      <c r="N267" s="260"/>
      <c r="O267" s="235"/>
      <c r="P267" s="235"/>
      <c r="Q267" s="235"/>
    </row>
    <row r="268" spans="2:17">
      <c r="B268" s="241"/>
      <c r="C268" s="241"/>
      <c r="D268" s="241"/>
      <c r="E268" s="241"/>
      <c r="F268" s="260"/>
      <c r="G268" s="260"/>
      <c r="H268" s="260"/>
      <c r="I268" s="260"/>
      <c r="J268" s="260"/>
      <c r="K268" s="260"/>
      <c r="L268" s="260"/>
      <c r="M268" s="260"/>
      <c r="N268" s="260"/>
      <c r="O268" s="235"/>
      <c r="P268" s="235"/>
      <c r="Q268" s="235"/>
    </row>
    <row r="269" spans="2:17">
      <c r="B269" s="241"/>
      <c r="C269" s="241"/>
      <c r="D269" s="241"/>
      <c r="E269" s="241"/>
      <c r="F269" s="260"/>
      <c r="G269" s="260"/>
      <c r="H269" s="260"/>
      <c r="I269" s="260"/>
      <c r="J269" s="260"/>
      <c r="K269" s="260"/>
      <c r="L269" s="260"/>
      <c r="M269" s="260"/>
      <c r="N269" s="260"/>
      <c r="O269" s="235"/>
      <c r="P269" s="235"/>
      <c r="Q269" s="235"/>
    </row>
    <row r="270" spans="2:17">
      <c r="B270" s="241"/>
      <c r="C270" s="241"/>
      <c r="D270" s="241"/>
      <c r="E270" s="241"/>
      <c r="F270" s="260"/>
      <c r="G270" s="260"/>
      <c r="H270" s="260"/>
      <c r="I270" s="260"/>
      <c r="J270" s="260"/>
      <c r="K270" s="260"/>
      <c r="L270" s="260"/>
      <c r="M270" s="260"/>
      <c r="N270" s="260"/>
      <c r="O270" s="235"/>
      <c r="P270" s="235"/>
      <c r="Q270" s="235"/>
    </row>
    <row r="271" spans="2:17">
      <c r="B271" s="241"/>
      <c r="C271" s="241"/>
      <c r="D271" s="241"/>
      <c r="E271" s="241"/>
      <c r="F271" s="260"/>
      <c r="G271" s="260"/>
      <c r="H271" s="260"/>
      <c r="I271" s="260"/>
      <c r="J271" s="260"/>
      <c r="K271" s="260"/>
      <c r="L271" s="260"/>
      <c r="M271" s="260"/>
      <c r="N271" s="260"/>
      <c r="O271" s="235"/>
      <c r="P271" s="235"/>
      <c r="Q271" s="235"/>
    </row>
    <row r="272" spans="2:17">
      <c r="B272" s="241"/>
      <c r="C272" s="241"/>
      <c r="D272" s="241"/>
      <c r="E272" s="241"/>
      <c r="F272" s="260"/>
      <c r="G272" s="260"/>
      <c r="H272" s="260"/>
      <c r="I272" s="260"/>
      <c r="J272" s="260"/>
      <c r="K272" s="260"/>
      <c r="L272" s="260"/>
      <c r="M272" s="260"/>
      <c r="N272" s="260"/>
      <c r="O272" s="235"/>
      <c r="P272" s="235"/>
      <c r="Q272" s="235"/>
    </row>
    <row r="273" spans="2:17">
      <c r="B273" s="241"/>
      <c r="C273" s="241"/>
      <c r="D273" s="241"/>
      <c r="E273" s="241"/>
      <c r="F273" s="260"/>
      <c r="G273" s="260"/>
      <c r="H273" s="260"/>
      <c r="I273" s="260"/>
      <c r="J273" s="260"/>
      <c r="K273" s="260"/>
      <c r="L273" s="260"/>
      <c r="M273" s="260"/>
      <c r="N273" s="260"/>
      <c r="O273" s="235"/>
      <c r="P273" s="235"/>
      <c r="Q273" s="235"/>
    </row>
    <row r="274" spans="2:17">
      <c r="B274" s="241"/>
      <c r="C274" s="241"/>
      <c r="D274" s="241"/>
      <c r="E274" s="241"/>
      <c r="F274" s="260"/>
      <c r="G274" s="260"/>
      <c r="H274" s="260"/>
      <c r="I274" s="260"/>
      <c r="J274" s="260"/>
      <c r="K274" s="260"/>
      <c r="L274" s="260"/>
      <c r="M274" s="260"/>
      <c r="N274" s="260"/>
      <c r="O274" s="235"/>
      <c r="P274" s="235"/>
      <c r="Q274" s="235"/>
    </row>
    <row r="275" spans="2:17">
      <c r="B275" s="241"/>
      <c r="C275" s="241"/>
      <c r="D275" s="241"/>
      <c r="E275" s="241"/>
      <c r="F275" s="260"/>
      <c r="G275" s="260"/>
      <c r="H275" s="260"/>
      <c r="I275" s="260"/>
      <c r="J275" s="260"/>
      <c r="K275" s="260"/>
      <c r="L275" s="260"/>
      <c r="M275" s="260"/>
      <c r="N275" s="260"/>
      <c r="O275" s="235"/>
      <c r="P275" s="235"/>
      <c r="Q275" s="235"/>
    </row>
    <row r="276" spans="2:17">
      <c r="B276" s="241"/>
      <c r="C276" s="241"/>
      <c r="D276" s="241"/>
      <c r="E276" s="241"/>
      <c r="F276" s="260"/>
      <c r="G276" s="260"/>
      <c r="H276" s="260"/>
      <c r="I276" s="260"/>
      <c r="J276" s="260"/>
      <c r="K276" s="260"/>
      <c r="L276" s="260"/>
      <c r="M276" s="260"/>
      <c r="N276" s="260"/>
      <c r="O276" s="235"/>
      <c r="P276" s="235"/>
      <c r="Q276" s="235"/>
    </row>
    <row r="277" spans="2:17">
      <c r="B277" s="241"/>
      <c r="C277" s="241"/>
      <c r="D277" s="241"/>
      <c r="E277" s="241"/>
      <c r="F277" s="260"/>
      <c r="G277" s="260"/>
      <c r="H277" s="260"/>
      <c r="I277" s="260"/>
      <c r="J277" s="260"/>
      <c r="K277" s="260"/>
      <c r="L277" s="260"/>
      <c r="M277" s="260"/>
      <c r="N277" s="260"/>
      <c r="O277" s="235"/>
      <c r="P277" s="235"/>
      <c r="Q277" s="235"/>
    </row>
    <row r="278" spans="2:17">
      <c r="B278" s="241"/>
      <c r="C278" s="241"/>
      <c r="D278" s="241"/>
      <c r="E278" s="241"/>
      <c r="F278" s="260"/>
      <c r="G278" s="260"/>
      <c r="H278" s="260"/>
      <c r="I278" s="260"/>
      <c r="J278" s="260"/>
      <c r="K278" s="260"/>
      <c r="L278" s="260"/>
      <c r="M278" s="260"/>
      <c r="N278" s="260"/>
      <c r="O278" s="235"/>
      <c r="P278" s="235"/>
      <c r="Q278" s="235"/>
    </row>
    <row r="279" spans="2:17">
      <c r="B279" s="241"/>
      <c r="C279" s="241"/>
      <c r="D279" s="241"/>
      <c r="E279" s="241"/>
      <c r="F279" s="260"/>
      <c r="G279" s="260"/>
      <c r="H279" s="260"/>
      <c r="I279" s="260"/>
      <c r="J279" s="260"/>
      <c r="K279" s="260"/>
      <c r="L279" s="260"/>
      <c r="M279" s="260"/>
      <c r="N279" s="260"/>
      <c r="O279" s="235"/>
      <c r="P279" s="235"/>
      <c r="Q279" s="235"/>
    </row>
    <row r="280" spans="2:17">
      <c r="B280" s="241"/>
      <c r="C280" s="241"/>
      <c r="D280" s="241"/>
      <c r="E280" s="241"/>
      <c r="F280" s="260"/>
      <c r="G280" s="260"/>
      <c r="H280" s="260"/>
      <c r="I280" s="260"/>
      <c r="J280" s="260"/>
      <c r="K280" s="260"/>
      <c r="L280" s="260"/>
      <c r="M280" s="260"/>
      <c r="N280" s="260"/>
      <c r="O280" s="235"/>
      <c r="P280" s="235"/>
      <c r="Q280" s="235"/>
    </row>
    <row r="281" spans="2:17">
      <c r="B281" s="241"/>
      <c r="C281" s="241"/>
      <c r="D281" s="241"/>
      <c r="E281" s="241"/>
      <c r="F281" s="260"/>
      <c r="G281" s="260"/>
      <c r="H281" s="260"/>
      <c r="I281" s="260"/>
      <c r="J281" s="260"/>
      <c r="K281" s="260"/>
      <c r="L281" s="260"/>
      <c r="M281" s="260"/>
      <c r="N281" s="260"/>
      <c r="O281" s="235"/>
      <c r="P281" s="235"/>
      <c r="Q281" s="235"/>
    </row>
    <row r="282" spans="2:17">
      <c r="B282" s="241"/>
      <c r="C282" s="241"/>
      <c r="D282" s="241"/>
      <c r="E282" s="241"/>
      <c r="F282" s="260"/>
      <c r="G282" s="260"/>
      <c r="H282" s="260"/>
      <c r="I282" s="260"/>
      <c r="J282" s="260"/>
      <c r="K282" s="260"/>
      <c r="L282" s="260"/>
      <c r="M282" s="260"/>
      <c r="N282" s="260"/>
      <c r="O282" s="235"/>
      <c r="P282" s="235"/>
      <c r="Q282" s="235"/>
    </row>
    <row r="283" spans="2:17">
      <c r="B283" s="241"/>
      <c r="C283" s="241"/>
      <c r="D283" s="241"/>
      <c r="E283" s="241"/>
      <c r="F283" s="260"/>
      <c r="G283" s="260"/>
      <c r="H283" s="260"/>
      <c r="I283" s="260"/>
      <c r="J283" s="260"/>
      <c r="K283" s="260"/>
      <c r="L283" s="260"/>
      <c r="M283" s="260"/>
      <c r="N283" s="260"/>
      <c r="O283" s="235"/>
      <c r="P283" s="235"/>
      <c r="Q283" s="235"/>
    </row>
    <row r="284" spans="2:17">
      <c r="B284" s="241"/>
      <c r="C284" s="241"/>
      <c r="D284" s="241"/>
      <c r="E284" s="241"/>
      <c r="F284" s="260"/>
      <c r="G284" s="260"/>
      <c r="H284" s="260"/>
      <c r="I284" s="260"/>
      <c r="J284" s="260"/>
      <c r="K284" s="260"/>
      <c r="L284" s="260"/>
      <c r="M284" s="260"/>
      <c r="N284" s="260"/>
      <c r="O284" s="235"/>
      <c r="P284" s="235"/>
      <c r="Q284" s="235"/>
    </row>
    <row r="285" spans="2:17">
      <c r="B285" s="241"/>
      <c r="C285" s="241"/>
      <c r="D285" s="241"/>
      <c r="E285" s="241"/>
      <c r="F285" s="260"/>
      <c r="G285" s="260"/>
      <c r="H285" s="260"/>
      <c r="I285" s="260"/>
      <c r="J285" s="260"/>
      <c r="K285" s="260"/>
      <c r="L285" s="260"/>
      <c r="M285" s="260"/>
      <c r="N285" s="260"/>
      <c r="O285" s="235"/>
      <c r="P285" s="235"/>
      <c r="Q285" s="235"/>
    </row>
    <row r="286" spans="2:17">
      <c r="B286" s="241"/>
      <c r="C286" s="241"/>
      <c r="D286" s="241"/>
      <c r="E286" s="241"/>
      <c r="F286" s="260"/>
      <c r="G286" s="260"/>
      <c r="H286" s="260"/>
      <c r="I286" s="260"/>
      <c r="J286" s="260"/>
      <c r="K286" s="260"/>
      <c r="L286" s="260"/>
      <c r="M286" s="260"/>
      <c r="N286" s="260"/>
      <c r="O286" s="235"/>
      <c r="P286" s="235"/>
      <c r="Q286" s="235"/>
    </row>
    <row r="287" spans="2:17">
      <c r="B287" s="241"/>
      <c r="C287" s="241"/>
      <c r="D287" s="241"/>
      <c r="E287" s="241"/>
      <c r="F287" s="260"/>
      <c r="G287" s="260"/>
      <c r="H287" s="260"/>
      <c r="I287" s="260"/>
      <c r="J287" s="260"/>
      <c r="K287" s="260"/>
      <c r="L287" s="260"/>
      <c r="M287" s="260"/>
      <c r="N287" s="260"/>
      <c r="O287" s="235"/>
      <c r="P287" s="235"/>
      <c r="Q287" s="235"/>
    </row>
    <row r="288" spans="2:17">
      <c r="B288" s="241"/>
      <c r="C288" s="241"/>
      <c r="D288" s="241"/>
      <c r="E288" s="241"/>
      <c r="F288" s="260"/>
      <c r="G288" s="260"/>
      <c r="H288" s="260"/>
      <c r="I288" s="260"/>
      <c r="J288" s="260"/>
      <c r="K288" s="260"/>
      <c r="L288" s="260"/>
      <c r="M288" s="260"/>
      <c r="N288" s="260"/>
      <c r="O288" s="235"/>
      <c r="P288" s="235"/>
      <c r="Q288" s="235"/>
    </row>
    <row r="289" spans="2:17">
      <c r="B289" s="241"/>
      <c r="C289" s="241"/>
      <c r="D289" s="241"/>
      <c r="E289" s="241"/>
      <c r="F289" s="260"/>
      <c r="G289" s="260"/>
      <c r="H289" s="260"/>
      <c r="I289" s="260"/>
      <c r="J289" s="260"/>
      <c r="K289" s="260"/>
      <c r="L289" s="260"/>
      <c r="M289" s="260"/>
      <c r="N289" s="260"/>
      <c r="O289" s="235"/>
      <c r="P289" s="235"/>
      <c r="Q289" s="235"/>
    </row>
    <row r="290" spans="2:17">
      <c r="B290" s="241"/>
      <c r="C290" s="241"/>
      <c r="D290" s="241"/>
      <c r="E290" s="241"/>
      <c r="F290" s="260"/>
      <c r="G290" s="260"/>
      <c r="H290" s="260"/>
      <c r="I290" s="260"/>
      <c r="J290" s="260"/>
      <c r="K290" s="260"/>
      <c r="L290" s="260"/>
      <c r="M290" s="260"/>
      <c r="N290" s="260"/>
      <c r="O290" s="235"/>
      <c r="P290" s="235"/>
      <c r="Q290" s="235"/>
    </row>
    <row r="291" spans="2:17">
      <c r="B291" s="241"/>
      <c r="C291" s="241"/>
      <c r="D291" s="241"/>
      <c r="E291" s="241"/>
      <c r="F291" s="260"/>
      <c r="G291" s="260"/>
      <c r="H291" s="260"/>
      <c r="I291" s="260"/>
      <c r="J291" s="260"/>
      <c r="K291" s="260"/>
      <c r="L291" s="260"/>
      <c r="M291" s="260"/>
      <c r="N291" s="260"/>
      <c r="O291" s="235"/>
      <c r="P291" s="235"/>
      <c r="Q291" s="235"/>
    </row>
    <row r="292" spans="2:17">
      <c r="B292" s="241"/>
      <c r="C292" s="241"/>
      <c r="D292" s="241"/>
      <c r="E292" s="241"/>
      <c r="F292" s="260"/>
      <c r="G292" s="260"/>
      <c r="H292" s="260"/>
      <c r="I292" s="260"/>
      <c r="J292" s="260"/>
      <c r="K292" s="260"/>
      <c r="L292" s="260"/>
      <c r="M292" s="260"/>
      <c r="N292" s="260"/>
      <c r="O292" s="235"/>
      <c r="P292" s="235"/>
      <c r="Q292" s="235"/>
    </row>
    <row r="293" spans="2:17">
      <c r="B293" s="241"/>
      <c r="C293" s="241"/>
      <c r="D293" s="241"/>
      <c r="E293" s="241"/>
      <c r="F293" s="260"/>
      <c r="G293" s="260"/>
      <c r="H293" s="260"/>
      <c r="I293" s="260"/>
      <c r="J293" s="260"/>
      <c r="K293" s="260"/>
      <c r="L293" s="260"/>
      <c r="M293" s="260"/>
      <c r="N293" s="260"/>
      <c r="O293" s="235"/>
      <c r="P293" s="235"/>
      <c r="Q293" s="235"/>
    </row>
    <row r="294" spans="2:17">
      <c r="B294" s="241"/>
      <c r="C294" s="241"/>
      <c r="D294" s="241"/>
      <c r="E294" s="241"/>
      <c r="F294" s="260"/>
      <c r="G294" s="260"/>
      <c r="H294" s="260"/>
      <c r="I294" s="260"/>
      <c r="J294" s="260"/>
      <c r="K294" s="260"/>
      <c r="L294" s="260"/>
      <c r="M294" s="260"/>
      <c r="N294" s="260"/>
      <c r="O294" s="235"/>
      <c r="P294" s="235"/>
      <c r="Q294" s="235"/>
    </row>
    <row r="295" spans="2:17">
      <c r="B295" s="241"/>
      <c r="C295" s="241"/>
      <c r="D295" s="241"/>
      <c r="E295" s="241"/>
      <c r="F295" s="260"/>
      <c r="G295" s="260"/>
      <c r="H295" s="260"/>
      <c r="I295" s="260"/>
      <c r="J295" s="260"/>
      <c r="K295" s="260"/>
      <c r="L295" s="260"/>
      <c r="M295" s="260"/>
      <c r="N295" s="260"/>
      <c r="O295" s="235"/>
      <c r="P295" s="235"/>
      <c r="Q295" s="235"/>
    </row>
    <row r="296" spans="2:17">
      <c r="B296" s="241"/>
      <c r="C296" s="241"/>
      <c r="D296" s="241"/>
      <c r="E296" s="241"/>
      <c r="F296" s="260"/>
      <c r="G296" s="260"/>
      <c r="H296" s="260"/>
      <c r="I296" s="260"/>
      <c r="J296" s="260"/>
      <c r="K296" s="260"/>
      <c r="L296" s="260"/>
      <c r="M296" s="260"/>
      <c r="N296" s="260"/>
      <c r="O296" s="235"/>
      <c r="P296" s="235"/>
      <c r="Q296" s="235"/>
    </row>
    <row r="297" spans="2:17">
      <c r="B297" s="241"/>
      <c r="C297" s="241"/>
      <c r="D297" s="241"/>
      <c r="E297" s="241"/>
      <c r="F297" s="260"/>
      <c r="G297" s="260"/>
      <c r="H297" s="260"/>
      <c r="I297" s="260"/>
      <c r="J297" s="260"/>
      <c r="K297" s="260"/>
      <c r="L297" s="260"/>
      <c r="M297" s="260"/>
      <c r="N297" s="260"/>
      <c r="O297" s="235"/>
      <c r="P297" s="235"/>
      <c r="Q297" s="235"/>
    </row>
    <row r="298" spans="2:17">
      <c r="B298" s="241"/>
      <c r="C298" s="241"/>
      <c r="D298" s="241"/>
      <c r="E298" s="241"/>
      <c r="F298" s="260"/>
      <c r="G298" s="260"/>
      <c r="H298" s="260"/>
      <c r="I298" s="260"/>
      <c r="J298" s="260"/>
      <c r="K298" s="260"/>
      <c r="L298" s="260"/>
      <c r="M298" s="260"/>
      <c r="N298" s="260"/>
      <c r="O298" s="235"/>
      <c r="P298" s="235"/>
      <c r="Q298" s="235"/>
    </row>
    <row r="299" spans="2:17">
      <c r="B299" s="241"/>
      <c r="C299" s="241"/>
      <c r="D299" s="241"/>
      <c r="E299" s="241"/>
      <c r="F299" s="260"/>
      <c r="G299" s="260"/>
      <c r="H299" s="260"/>
      <c r="I299" s="260"/>
      <c r="J299" s="260"/>
      <c r="K299" s="260"/>
      <c r="L299" s="260"/>
      <c r="M299" s="260"/>
      <c r="N299" s="260"/>
      <c r="O299" s="235"/>
      <c r="P299" s="235"/>
      <c r="Q299" s="235"/>
    </row>
    <row r="300" spans="2:17">
      <c r="B300" s="241"/>
      <c r="C300" s="241"/>
      <c r="D300" s="241"/>
      <c r="E300" s="241"/>
      <c r="F300" s="260"/>
      <c r="G300" s="260"/>
      <c r="H300" s="260"/>
      <c r="I300" s="260"/>
      <c r="J300" s="260"/>
      <c r="K300" s="260"/>
      <c r="L300" s="260"/>
      <c r="M300" s="260"/>
      <c r="N300" s="260"/>
      <c r="O300" s="235"/>
      <c r="P300" s="235"/>
      <c r="Q300" s="235"/>
    </row>
    <row r="301" spans="2:17">
      <c r="B301" s="241"/>
      <c r="C301" s="241"/>
      <c r="D301" s="241"/>
      <c r="E301" s="241"/>
      <c r="F301" s="260"/>
      <c r="G301" s="260"/>
      <c r="H301" s="260"/>
      <c r="I301" s="260"/>
      <c r="J301" s="260"/>
      <c r="K301" s="260"/>
      <c r="L301" s="260"/>
      <c r="M301" s="260"/>
      <c r="N301" s="260"/>
      <c r="O301" s="235"/>
      <c r="P301" s="235"/>
      <c r="Q301" s="235"/>
    </row>
    <row r="302" spans="2:17">
      <c r="B302" s="241"/>
      <c r="C302" s="241"/>
      <c r="D302" s="241"/>
      <c r="E302" s="241"/>
      <c r="F302" s="260"/>
      <c r="G302" s="260"/>
      <c r="H302" s="260"/>
      <c r="I302" s="260"/>
      <c r="J302" s="260"/>
      <c r="K302" s="260"/>
      <c r="L302" s="260"/>
      <c r="M302" s="260"/>
      <c r="N302" s="260"/>
      <c r="O302" s="235"/>
      <c r="P302" s="235"/>
      <c r="Q302" s="235"/>
    </row>
    <row r="303" spans="2:17">
      <c r="B303" s="241"/>
      <c r="C303" s="241"/>
      <c r="D303" s="241"/>
      <c r="E303" s="241"/>
      <c r="F303" s="260"/>
      <c r="G303" s="260"/>
      <c r="H303" s="260"/>
      <c r="I303" s="260"/>
      <c r="J303" s="260"/>
      <c r="K303" s="260"/>
      <c r="L303" s="260"/>
      <c r="M303" s="260"/>
      <c r="N303" s="260"/>
      <c r="O303" s="235"/>
      <c r="P303" s="235"/>
      <c r="Q303" s="235"/>
    </row>
    <row r="304" spans="2:17">
      <c r="B304" s="241"/>
      <c r="C304" s="241"/>
      <c r="D304" s="241"/>
      <c r="E304" s="241"/>
      <c r="F304" s="260"/>
      <c r="G304" s="260"/>
      <c r="H304" s="260"/>
      <c r="I304" s="260"/>
      <c r="J304" s="260"/>
      <c r="K304" s="260"/>
      <c r="L304" s="260"/>
      <c r="M304" s="260"/>
      <c r="N304" s="260"/>
      <c r="O304" s="235"/>
      <c r="P304" s="235"/>
      <c r="Q304" s="235"/>
    </row>
    <row r="305" spans="2:17">
      <c r="B305" s="241"/>
      <c r="C305" s="241"/>
      <c r="D305" s="241"/>
      <c r="E305" s="241"/>
      <c r="F305" s="260"/>
      <c r="G305" s="260"/>
      <c r="H305" s="260"/>
      <c r="I305" s="260"/>
      <c r="J305" s="260"/>
      <c r="K305" s="260"/>
      <c r="L305" s="260"/>
      <c r="M305" s="260"/>
      <c r="N305" s="260"/>
      <c r="O305" s="235"/>
      <c r="P305" s="235"/>
      <c r="Q305" s="235"/>
    </row>
    <row r="306" spans="2:17">
      <c r="B306" s="241"/>
      <c r="C306" s="241"/>
      <c r="D306" s="241"/>
      <c r="E306" s="241"/>
      <c r="F306" s="260"/>
      <c r="G306" s="260"/>
      <c r="H306" s="260"/>
      <c r="I306" s="260"/>
      <c r="J306" s="260"/>
      <c r="K306" s="260"/>
      <c r="L306" s="260"/>
      <c r="M306" s="260"/>
      <c r="N306" s="260"/>
      <c r="O306" s="235"/>
      <c r="P306" s="235"/>
      <c r="Q306" s="235"/>
    </row>
    <row r="307" spans="2:17">
      <c r="B307" s="241"/>
      <c r="C307" s="241"/>
      <c r="D307" s="241"/>
      <c r="E307" s="241"/>
      <c r="F307" s="260"/>
      <c r="G307" s="260"/>
      <c r="H307" s="260"/>
      <c r="I307" s="260"/>
      <c r="J307" s="260"/>
      <c r="K307" s="260"/>
      <c r="L307" s="260"/>
      <c r="M307" s="260"/>
      <c r="N307" s="260"/>
      <c r="O307" s="235"/>
      <c r="P307" s="235"/>
      <c r="Q307" s="235"/>
    </row>
    <row r="308" spans="2:17">
      <c r="B308" s="241"/>
      <c r="C308" s="241"/>
      <c r="D308" s="241"/>
      <c r="E308" s="241"/>
      <c r="F308" s="260"/>
      <c r="G308" s="260"/>
      <c r="H308" s="260"/>
      <c r="I308" s="260"/>
      <c r="J308" s="260"/>
      <c r="K308" s="260"/>
      <c r="L308" s="260"/>
      <c r="M308" s="260"/>
      <c r="N308" s="260"/>
      <c r="O308" s="235"/>
      <c r="P308" s="235"/>
      <c r="Q308" s="235"/>
    </row>
    <row r="309" spans="2:17">
      <c r="B309" s="241"/>
      <c r="C309" s="241"/>
      <c r="D309" s="241"/>
      <c r="E309" s="241"/>
      <c r="F309" s="260"/>
      <c r="G309" s="260"/>
      <c r="H309" s="260"/>
      <c r="I309" s="260"/>
      <c r="J309" s="260"/>
      <c r="K309" s="260"/>
      <c r="L309" s="260"/>
      <c r="M309" s="260"/>
      <c r="N309" s="260"/>
      <c r="O309" s="235"/>
      <c r="P309" s="235"/>
      <c r="Q309" s="235"/>
    </row>
    <row r="310" spans="2:17">
      <c r="B310" s="241"/>
      <c r="C310" s="241"/>
      <c r="D310" s="241"/>
      <c r="E310" s="241"/>
      <c r="F310" s="260"/>
      <c r="G310" s="260"/>
      <c r="H310" s="260"/>
      <c r="I310" s="260"/>
      <c r="J310" s="260"/>
      <c r="K310" s="260"/>
      <c r="L310" s="260"/>
      <c r="M310" s="260"/>
      <c r="N310" s="260"/>
      <c r="O310" s="235"/>
      <c r="P310" s="235"/>
      <c r="Q310" s="235"/>
    </row>
    <row r="311" spans="2:17">
      <c r="B311" s="241"/>
      <c r="C311" s="241"/>
      <c r="D311" s="241"/>
      <c r="E311" s="241"/>
      <c r="F311" s="260"/>
      <c r="G311" s="260"/>
      <c r="H311" s="260"/>
      <c r="I311" s="260"/>
      <c r="J311" s="260"/>
      <c r="K311" s="260"/>
      <c r="L311" s="260"/>
      <c r="M311" s="260"/>
      <c r="N311" s="260"/>
      <c r="O311" s="235"/>
      <c r="P311" s="235"/>
      <c r="Q311" s="235"/>
    </row>
    <row r="312" spans="2:17">
      <c r="B312" s="241"/>
      <c r="C312" s="241"/>
      <c r="D312" s="241"/>
      <c r="E312" s="241"/>
      <c r="F312" s="260"/>
      <c r="G312" s="260"/>
      <c r="H312" s="260"/>
      <c r="I312" s="260"/>
      <c r="J312" s="260"/>
      <c r="K312" s="260"/>
      <c r="L312" s="260"/>
      <c r="M312" s="260"/>
      <c r="N312" s="260"/>
      <c r="O312" s="235"/>
      <c r="P312" s="235"/>
      <c r="Q312" s="235"/>
    </row>
    <row r="313" spans="2:17">
      <c r="B313" s="241"/>
      <c r="C313" s="241"/>
      <c r="D313" s="241"/>
      <c r="E313" s="241"/>
      <c r="F313" s="260"/>
      <c r="G313" s="260"/>
      <c r="H313" s="260"/>
      <c r="I313" s="260"/>
      <c r="J313" s="260"/>
      <c r="K313" s="260"/>
      <c r="L313" s="260"/>
      <c r="M313" s="260"/>
      <c r="N313" s="260"/>
      <c r="O313" s="235"/>
      <c r="P313" s="235"/>
      <c r="Q313" s="235"/>
    </row>
    <row r="314" spans="2:17">
      <c r="B314" s="241"/>
      <c r="C314" s="241"/>
      <c r="D314" s="241"/>
      <c r="E314" s="241"/>
      <c r="F314" s="260"/>
      <c r="G314" s="260"/>
      <c r="H314" s="260"/>
      <c r="I314" s="260"/>
      <c r="J314" s="260"/>
      <c r="K314" s="260"/>
      <c r="L314" s="260"/>
      <c r="M314" s="260"/>
      <c r="N314" s="260"/>
      <c r="O314" s="235"/>
      <c r="P314" s="235"/>
      <c r="Q314" s="235"/>
    </row>
    <row r="315" spans="2:17">
      <c r="B315" s="241"/>
      <c r="C315" s="241"/>
      <c r="D315" s="241"/>
      <c r="E315" s="241"/>
      <c r="F315" s="260"/>
      <c r="G315" s="260"/>
      <c r="H315" s="260"/>
      <c r="I315" s="260"/>
      <c r="J315" s="260"/>
      <c r="K315" s="260"/>
      <c r="L315" s="260"/>
      <c r="M315" s="260"/>
      <c r="N315" s="260"/>
      <c r="O315" s="235"/>
      <c r="P315" s="235"/>
      <c r="Q315" s="235"/>
    </row>
    <row r="316" spans="2:17">
      <c r="B316" s="241"/>
      <c r="C316" s="241"/>
      <c r="D316" s="241"/>
      <c r="E316" s="241"/>
      <c r="F316" s="260"/>
      <c r="G316" s="260"/>
      <c r="H316" s="260"/>
      <c r="I316" s="260"/>
      <c r="J316" s="260"/>
      <c r="K316" s="260"/>
      <c r="L316" s="260"/>
      <c r="M316" s="260"/>
      <c r="N316" s="260"/>
      <c r="O316" s="235"/>
      <c r="P316" s="235"/>
      <c r="Q316" s="235"/>
    </row>
    <row r="317" spans="2:17">
      <c r="B317" s="241"/>
      <c r="C317" s="241"/>
      <c r="D317" s="241"/>
      <c r="E317" s="241"/>
      <c r="F317" s="260"/>
      <c r="G317" s="260"/>
      <c r="H317" s="260"/>
      <c r="I317" s="260"/>
      <c r="J317" s="260"/>
      <c r="K317" s="260"/>
      <c r="L317" s="260"/>
      <c r="M317" s="260"/>
      <c r="N317" s="260"/>
      <c r="O317" s="235"/>
      <c r="P317" s="235"/>
      <c r="Q317" s="235"/>
    </row>
    <row r="318" spans="2:17">
      <c r="B318" s="241"/>
      <c r="C318" s="241"/>
      <c r="D318" s="241"/>
      <c r="E318" s="241"/>
      <c r="F318" s="260"/>
      <c r="G318" s="260"/>
      <c r="H318" s="260"/>
      <c r="I318" s="260"/>
      <c r="J318" s="260"/>
      <c r="K318" s="260"/>
      <c r="L318" s="260"/>
      <c r="M318" s="260"/>
      <c r="N318" s="260"/>
      <c r="O318" s="235"/>
      <c r="P318" s="235"/>
      <c r="Q318" s="235"/>
    </row>
    <row r="319" spans="2:17">
      <c r="B319" s="241"/>
      <c r="C319" s="241"/>
      <c r="D319" s="241"/>
      <c r="E319" s="241"/>
      <c r="F319" s="260"/>
      <c r="G319" s="260"/>
      <c r="H319" s="260"/>
      <c r="I319" s="260"/>
      <c r="J319" s="260"/>
      <c r="K319" s="260"/>
      <c r="L319" s="260"/>
      <c r="M319" s="260"/>
      <c r="N319" s="260"/>
      <c r="O319" s="235"/>
      <c r="P319" s="235"/>
      <c r="Q319" s="235"/>
    </row>
    <row r="320" spans="2:17">
      <c r="B320" s="241"/>
      <c r="C320" s="241"/>
      <c r="D320" s="241"/>
      <c r="E320" s="241"/>
      <c r="F320" s="260"/>
      <c r="G320" s="260"/>
      <c r="H320" s="260"/>
      <c r="I320" s="260"/>
      <c r="J320" s="260"/>
      <c r="K320" s="260"/>
      <c r="L320" s="260"/>
      <c r="M320" s="260"/>
      <c r="N320" s="260"/>
      <c r="O320" s="235"/>
      <c r="P320" s="235"/>
      <c r="Q320" s="235"/>
    </row>
    <row r="321" spans="2:17">
      <c r="B321" s="241"/>
      <c r="C321" s="241"/>
      <c r="D321" s="241"/>
      <c r="E321" s="241"/>
      <c r="F321" s="260"/>
      <c r="G321" s="260"/>
      <c r="H321" s="260"/>
      <c r="I321" s="260"/>
      <c r="J321" s="260"/>
      <c r="K321" s="260"/>
      <c r="L321" s="260"/>
      <c r="M321" s="260"/>
      <c r="N321" s="260"/>
      <c r="O321" s="235"/>
      <c r="P321" s="235"/>
      <c r="Q321" s="235"/>
    </row>
    <row r="322" spans="2:17">
      <c r="B322" s="241"/>
      <c r="C322" s="241"/>
      <c r="D322" s="241"/>
      <c r="E322" s="241"/>
      <c r="F322" s="260"/>
      <c r="G322" s="260"/>
      <c r="H322" s="260"/>
      <c r="I322" s="260"/>
      <c r="J322" s="260"/>
      <c r="K322" s="260"/>
      <c r="L322" s="260"/>
      <c r="M322" s="260"/>
      <c r="N322" s="260"/>
      <c r="O322" s="235"/>
      <c r="P322" s="235"/>
      <c r="Q322" s="235"/>
    </row>
    <row r="323" spans="2:17">
      <c r="B323" s="241"/>
      <c r="C323" s="241"/>
      <c r="D323" s="241"/>
      <c r="E323" s="241"/>
      <c r="F323" s="260"/>
      <c r="G323" s="260"/>
      <c r="H323" s="260"/>
      <c r="I323" s="260"/>
      <c r="J323" s="260"/>
      <c r="K323" s="260"/>
      <c r="L323" s="260"/>
      <c r="M323" s="260"/>
      <c r="N323" s="260"/>
      <c r="O323" s="235"/>
      <c r="P323" s="235"/>
      <c r="Q323" s="235"/>
    </row>
    <row r="324" spans="2:17">
      <c r="B324" s="241"/>
      <c r="C324" s="241"/>
      <c r="D324" s="241"/>
      <c r="E324" s="241"/>
      <c r="F324" s="260"/>
      <c r="G324" s="260"/>
      <c r="H324" s="260"/>
      <c r="I324" s="260"/>
      <c r="J324" s="260"/>
      <c r="K324" s="260"/>
      <c r="L324" s="260"/>
      <c r="M324" s="260"/>
      <c r="N324" s="260"/>
      <c r="O324" s="235"/>
      <c r="P324" s="235"/>
      <c r="Q324" s="235"/>
    </row>
    <row r="325" spans="2:17">
      <c r="B325" s="241"/>
      <c r="C325" s="241"/>
      <c r="D325" s="241"/>
      <c r="E325" s="241"/>
      <c r="F325" s="260"/>
      <c r="G325" s="260"/>
      <c r="H325" s="260"/>
      <c r="I325" s="260"/>
      <c r="J325" s="260"/>
      <c r="K325" s="260"/>
      <c r="L325" s="260"/>
      <c r="M325" s="260"/>
      <c r="N325" s="260"/>
      <c r="O325" s="235"/>
      <c r="P325" s="235"/>
      <c r="Q325" s="235"/>
    </row>
    <row r="326" spans="2:17">
      <c r="B326" s="241"/>
      <c r="C326" s="241"/>
      <c r="D326" s="241"/>
      <c r="E326" s="241"/>
      <c r="F326" s="260"/>
      <c r="G326" s="260"/>
      <c r="H326" s="260"/>
      <c r="I326" s="260"/>
      <c r="J326" s="260"/>
      <c r="K326" s="260"/>
      <c r="L326" s="260"/>
      <c r="M326" s="260"/>
      <c r="N326" s="260"/>
      <c r="O326" s="235"/>
      <c r="P326" s="235"/>
      <c r="Q326" s="235"/>
    </row>
    <row r="327" spans="2:17">
      <c r="B327" s="241"/>
      <c r="C327" s="241"/>
      <c r="D327" s="241"/>
      <c r="E327" s="241"/>
      <c r="F327" s="260"/>
      <c r="G327" s="260"/>
      <c r="H327" s="260"/>
      <c r="I327" s="260"/>
      <c r="J327" s="260"/>
      <c r="K327" s="260"/>
      <c r="L327" s="260"/>
      <c r="M327" s="260"/>
      <c r="N327" s="260"/>
      <c r="O327" s="235"/>
      <c r="P327" s="235"/>
      <c r="Q327" s="235"/>
    </row>
    <row r="328" spans="2:17">
      <c r="B328" s="241"/>
      <c r="C328" s="241"/>
      <c r="D328" s="241"/>
      <c r="E328" s="241"/>
      <c r="F328" s="260"/>
      <c r="G328" s="260"/>
      <c r="H328" s="260"/>
      <c r="I328" s="260"/>
      <c r="J328" s="260"/>
      <c r="K328" s="260"/>
      <c r="L328" s="260"/>
      <c r="M328" s="260"/>
      <c r="N328" s="260"/>
      <c r="O328" s="235"/>
      <c r="P328" s="235"/>
      <c r="Q328" s="235"/>
    </row>
    <row r="329" spans="2:17">
      <c r="B329" s="241"/>
      <c r="C329" s="241"/>
      <c r="D329" s="241"/>
      <c r="E329" s="241"/>
      <c r="F329" s="260"/>
      <c r="G329" s="260"/>
      <c r="H329" s="260"/>
      <c r="I329" s="260"/>
      <c r="J329" s="260"/>
      <c r="K329" s="260"/>
      <c r="L329" s="260"/>
      <c r="M329" s="260"/>
      <c r="N329" s="260"/>
      <c r="O329" s="235"/>
      <c r="P329" s="235"/>
      <c r="Q329" s="235"/>
    </row>
    <row r="330" spans="2:17">
      <c r="B330" s="241"/>
      <c r="C330" s="241"/>
      <c r="D330" s="241"/>
      <c r="E330" s="241"/>
      <c r="F330" s="260"/>
      <c r="G330" s="260"/>
      <c r="H330" s="260"/>
      <c r="I330" s="260"/>
      <c r="J330" s="260"/>
      <c r="K330" s="260"/>
      <c r="L330" s="260"/>
      <c r="M330" s="260"/>
      <c r="N330" s="260"/>
      <c r="O330" s="235"/>
      <c r="P330" s="235"/>
      <c r="Q330" s="235"/>
    </row>
    <row r="331" spans="2:17">
      <c r="B331" s="241"/>
      <c r="C331" s="241"/>
      <c r="D331" s="241"/>
      <c r="E331" s="241"/>
      <c r="F331" s="260"/>
      <c r="G331" s="260"/>
      <c r="H331" s="260"/>
      <c r="I331" s="260"/>
      <c r="J331" s="260"/>
      <c r="K331" s="260"/>
      <c r="L331" s="260"/>
      <c r="M331" s="260"/>
      <c r="N331" s="260"/>
      <c r="O331" s="235"/>
      <c r="P331" s="235"/>
      <c r="Q331" s="235"/>
    </row>
    <row r="332" spans="2:17">
      <c r="B332" s="241"/>
      <c r="C332" s="241"/>
      <c r="D332" s="241"/>
      <c r="E332" s="241"/>
      <c r="F332" s="260"/>
      <c r="G332" s="260"/>
      <c r="H332" s="260"/>
      <c r="I332" s="260"/>
      <c r="J332" s="260"/>
      <c r="K332" s="260"/>
      <c r="L332" s="260"/>
      <c r="M332" s="260"/>
      <c r="N332" s="260"/>
      <c r="O332" s="235"/>
      <c r="P332" s="235"/>
      <c r="Q332" s="235"/>
    </row>
    <row r="333" spans="2:17">
      <c r="B333" s="241"/>
      <c r="C333" s="241"/>
      <c r="D333" s="241"/>
      <c r="E333" s="241"/>
      <c r="F333" s="260"/>
      <c r="G333" s="260"/>
      <c r="H333" s="260"/>
      <c r="I333" s="260"/>
      <c r="J333" s="260"/>
      <c r="K333" s="260"/>
      <c r="L333" s="260"/>
      <c r="M333" s="260"/>
      <c r="N333" s="260"/>
      <c r="O333" s="235"/>
      <c r="P333" s="235"/>
      <c r="Q333" s="235"/>
    </row>
    <row r="334" spans="2:17">
      <c r="B334" s="241"/>
      <c r="C334" s="241"/>
      <c r="D334" s="241"/>
      <c r="E334" s="241"/>
      <c r="F334" s="260"/>
      <c r="G334" s="260"/>
      <c r="H334" s="260"/>
      <c r="I334" s="260"/>
      <c r="J334" s="260"/>
      <c r="K334" s="260"/>
      <c r="L334" s="260"/>
      <c r="M334" s="260"/>
      <c r="N334" s="260"/>
      <c r="O334" s="235"/>
      <c r="P334" s="235"/>
      <c r="Q334" s="235"/>
    </row>
    <row r="335" spans="2:17">
      <c r="B335" s="241"/>
      <c r="C335" s="241"/>
      <c r="D335" s="241"/>
      <c r="E335" s="241"/>
      <c r="F335" s="260"/>
      <c r="G335" s="260"/>
      <c r="H335" s="260"/>
      <c r="I335" s="260"/>
      <c r="J335" s="260"/>
      <c r="K335" s="260"/>
      <c r="L335" s="260"/>
      <c r="M335" s="260"/>
      <c r="N335" s="260"/>
      <c r="O335" s="235"/>
      <c r="P335" s="235"/>
      <c r="Q335" s="235"/>
    </row>
    <row r="336" spans="2:17">
      <c r="B336" s="241"/>
      <c r="C336" s="241"/>
      <c r="D336" s="241"/>
      <c r="E336" s="241"/>
      <c r="F336" s="260"/>
      <c r="G336" s="260"/>
      <c r="H336" s="260"/>
      <c r="I336" s="260"/>
      <c r="J336" s="260"/>
      <c r="K336" s="260"/>
      <c r="L336" s="260"/>
      <c r="M336" s="260"/>
      <c r="N336" s="260"/>
      <c r="O336" s="235"/>
      <c r="P336" s="235"/>
      <c r="Q336" s="235"/>
    </row>
    <row r="337" spans="2:17">
      <c r="B337" s="241"/>
      <c r="C337" s="241"/>
      <c r="D337" s="241"/>
      <c r="E337" s="241"/>
      <c r="F337" s="260"/>
      <c r="G337" s="260"/>
      <c r="H337" s="260"/>
      <c r="I337" s="260"/>
      <c r="J337" s="260"/>
      <c r="K337" s="260"/>
      <c r="L337" s="260"/>
      <c r="M337" s="260"/>
      <c r="N337" s="260"/>
      <c r="O337" s="235"/>
      <c r="P337" s="235"/>
      <c r="Q337" s="235"/>
    </row>
    <row r="338" spans="2:17">
      <c r="B338" s="241"/>
      <c r="C338" s="241"/>
      <c r="D338" s="241"/>
      <c r="E338" s="241"/>
      <c r="F338" s="260"/>
      <c r="G338" s="260"/>
      <c r="H338" s="260"/>
      <c r="I338" s="260"/>
      <c r="J338" s="260"/>
      <c r="K338" s="260"/>
      <c r="L338" s="260"/>
      <c r="M338" s="260"/>
      <c r="N338" s="260"/>
      <c r="O338" s="235"/>
      <c r="P338" s="235"/>
      <c r="Q338" s="235"/>
    </row>
    <row r="339" spans="2:17">
      <c r="B339" s="241"/>
      <c r="C339" s="241"/>
      <c r="D339" s="241"/>
      <c r="E339" s="241"/>
      <c r="F339" s="260"/>
      <c r="G339" s="260"/>
      <c r="H339" s="260"/>
      <c r="I339" s="260"/>
      <c r="J339" s="260"/>
      <c r="K339" s="260"/>
      <c r="L339" s="260"/>
      <c r="M339" s="260"/>
      <c r="N339" s="260"/>
      <c r="O339" s="235"/>
      <c r="P339" s="235"/>
      <c r="Q339" s="235"/>
    </row>
    <row r="340" spans="2:17">
      <c r="B340" s="241"/>
      <c r="C340" s="241"/>
      <c r="D340" s="241"/>
      <c r="E340" s="241"/>
      <c r="F340" s="260"/>
      <c r="G340" s="260"/>
      <c r="H340" s="260"/>
      <c r="I340" s="260"/>
      <c r="J340" s="260"/>
      <c r="K340" s="260"/>
      <c r="L340" s="260"/>
      <c r="M340" s="260"/>
      <c r="N340" s="260"/>
      <c r="O340" s="235"/>
      <c r="P340" s="235"/>
      <c r="Q340" s="235"/>
    </row>
    <row r="341" spans="2:17">
      <c r="B341" s="241"/>
      <c r="C341" s="241"/>
      <c r="D341" s="241"/>
      <c r="E341" s="241"/>
      <c r="F341" s="260"/>
      <c r="G341" s="260"/>
      <c r="H341" s="260"/>
      <c r="I341" s="260"/>
      <c r="J341" s="260"/>
      <c r="K341" s="260"/>
      <c r="L341" s="260"/>
      <c r="M341" s="260"/>
      <c r="N341" s="260"/>
      <c r="O341" s="235"/>
      <c r="P341" s="235"/>
      <c r="Q341" s="235"/>
    </row>
    <row r="342" spans="2:17">
      <c r="B342" s="241"/>
      <c r="C342" s="241"/>
      <c r="D342" s="241"/>
      <c r="E342" s="241"/>
      <c r="F342" s="260"/>
      <c r="G342" s="260"/>
      <c r="H342" s="260"/>
      <c r="I342" s="260"/>
      <c r="J342" s="260"/>
      <c r="K342" s="260"/>
      <c r="L342" s="260"/>
      <c r="M342" s="260"/>
      <c r="N342" s="260"/>
      <c r="O342" s="235"/>
      <c r="P342" s="235"/>
      <c r="Q342" s="235"/>
    </row>
    <row r="343" spans="2:17">
      <c r="B343" s="241"/>
      <c r="C343" s="241"/>
      <c r="D343" s="241"/>
      <c r="E343" s="241"/>
      <c r="F343" s="260"/>
      <c r="G343" s="260"/>
      <c r="H343" s="260"/>
      <c r="I343" s="260"/>
      <c r="J343" s="260"/>
      <c r="K343" s="260"/>
      <c r="L343" s="260"/>
      <c r="M343" s="260"/>
      <c r="N343" s="260"/>
      <c r="O343" s="235"/>
      <c r="P343" s="235"/>
      <c r="Q343" s="235"/>
    </row>
    <row r="344" spans="2:17">
      <c r="B344" s="241"/>
      <c r="C344" s="241"/>
      <c r="D344" s="241"/>
      <c r="E344" s="241"/>
      <c r="F344" s="260"/>
      <c r="G344" s="260"/>
      <c r="H344" s="260"/>
      <c r="I344" s="260"/>
      <c r="J344" s="260"/>
      <c r="K344" s="260"/>
      <c r="L344" s="260"/>
      <c r="M344" s="260"/>
      <c r="N344" s="260"/>
      <c r="O344" s="235"/>
      <c r="P344" s="235"/>
      <c r="Q344" s="235"/>
    </row>
    <row r="345" spans="2:17">
      <c r="B345" s="241"/>
      <c r="C345" s="241"/>
      <c r="D345" s="241"/>
      <c r="E345" s="241"/>
      <c r="F345" s="260"/>
      <c r="G345" s="260"/>
      <c r="H345" s="260"/>
      <c r="I345" s="260"/>
      <c r="J345" s="260"/>
      <c r="K345" s="260"/>
      <c r="L345" s="260"/>
      <c r="M345" s="260"/>
      <c r="N345" s="260"/>
      <c r="O345" s="235"/>
      <c r="P345" s="235"/>
      <c r="Q345" s="235"/>
    </row>
    <row r="346" spans="2:17">
      <c r="B346" s="241"/>
      <c r="C346" s="241"/>
      <c r="D346" s="241"/>
      <c r="E346" s="241"/>
      <c r="F346" s="260"/>
      <c r="G346" s="260"/>
      <c r="H346" s="260"/>
      <c r="I346" s="260"/>
      <c r="J346" s="260"/>
      <c r="K346" s="260"/>
      <c r="L346" s="260"/>
      <c r="M346" s="260"/>
      <c r="N346" s="260"/>
      <c r="O346" s="235"/>
      <c r="P346" s="235"/>
      <c r="Q346" s="235"/>
    </row>
    <row r="347" spans="2:17">
      <c r="B347" s="241"/>
      <c r="C347" s="241"/>
      <c r="D347" s="241"/>
      <c r="E347" s="241"/>
      <c r="F347" s="260"/>
      <c r="G347" s="260"/>
      <c r="H347" s="260"/>
      <c r="I347" s="260"/>
      <c r="J347" s="260"/>
      <c r="K347" s="260"/>
      <c r="L347" s="260"/>
      <c r="M347" s="260"/>
      <c r="N347" s="260"/>
      <c r="O347" s="235"/>
      <c r="P347" s="235"/>
      <c r="Q347" s="235"/>
    </row>
    <row r="348" spans="2:17">
      <c r="B348" s="241"/>
      <c r="C348" s="241"/>
      <c r="D348" s="241"/>
      <c r="E348" s="241"/>
      <c r="F348" s="260"/>
      <c r="G348" s="260"/>
      <c r="H348" s="260"/>
      <c r="I348" s="260"/>
      <c r="J348" s="260"/>
      <c r="K348" s="260"/>
      <c r="L348" s="260"/>
      <c r="M348" s="260"/>
      <c r="N348" s="260"/>
      <c r="O348" s="235"/>
      <c r="P348" s="235"/>
      <c r="Q348" s="235"/>
    </row>
    <row r="349" spans="2:17">
      <c r="B349" s="241"/>
      <c r="C349" s="241"/>
      <c r="D349" s="241"/>
      <c r="E349" s="241"/>
      <c r="F349" s="260"/>
      <c r="G349" s="260"/>
      <c r="H349" s="260"/>
      <c r="I349" s="260"/>
      <c r="J349" s="260"/>
      <c r="K349" s="260"/>
      <c r="L349" s="260"/>
      <c r="M349" s="260"/>
      <c r="N349" s="260"/>
      <c r="O349" s="235"/>
      <c r="P349" s="235"/>
      <c r="Q349" s="235"/>
    </row>
    <row r="350" spans="2:17">
      <c r="B350" s="241"/>
      <c r="C350" s="241"/>
      <c r="D350" s="241"/>
      <c r="E350" s="241"/>
      <c r="F350" s="260"/>
      <c r="G350" s="260"/>
      <c r="H350" s="260"/>
      <c r="I350" s="260"/>
      <c r="J350" s="260"/>
      <c r="K350" s="260"/>
      <c r="L350" s="260"/>
      <c r="M350" s="260"/>
      <c r="N350" s="260"/>
      <c r="O350" s="235"/>
      <c r="P350" s="235"/>
      <c r="Q350" s="235"/>
    </row>
    <row r="351" spans="2:17">
      <c r="B351" s="241"/>
      <c r="C351" s="241"/>
      <c r="D351" s="241"/>
      <c r="E351" s="241"/>
      <c r="F351" s="260"/>
      <c r="G351" s="260"/>
      <c r="H351" s="260"/>
      <c r="I351" s="260"/>
      <c r="J351" s="260"/>
      <c r="K351" s="260"/>
      <c r="L351" s="260"/>
      <c r="M351" s="260"/>
      <c r="N351" s="260"/>
      <c r="O351" s="235"/>
      <c r="P351" s="235"/>
      <c r="Q351" s="235"/>
    </row>
    <row r="352" spans="2:17">
      <c r="B352" s="241"/>
      <c r="C352" s="241"/>
      <c r="D352" s="241"/>
      <c r="E352" s="241"/>
      <c r="F352" s="260"/>
      <c r="G352" s="260"/>
      <c r="H352" s="260"/>
      <c r="I352" s="260"/>
      <c r="J352" s="260"/>
      <c r="K352" s="260"/>
      <c r="L352" s="260"/>
      <c r="M352" s="260"/>
      <c r="N352" s="260"/>
      <c r="O352" s="235"/>
      <c r="P352" s="235"/>
      <c r="Q352" s="235"/>
    </row>
    <row r="353" spans="2:17">
      <c r="B353" s="241"/>
      <c r="C353" s="241"/>
      <c r="D353" s="241"/>
      <c r="E353" s="241"/>
      <c r="F353" s="260"/>
      <c r="G353" s="260"/>
      <c r="H353" s="260"/>
      <c r="I353" s="260"/>
      <c r="J353" s="260"/>
      <c r="K353" s="260"/>
      <c r="L353" s="260"/>
      <c r="M353" s="260"/>
      <c r="N353" s="260"/>
      <c r="O353" s="235"/>
      <c r="P353" s="235"/>
      <c r="Q353" s="235"/>
    </row>
    <row r="354" spans="2:17">
      <c r="B354" s="241"/>
      <c r="C354" s="241"/>
      <c r="D354" s="241"/>
      <c r="E354" s="241"/>
      <c r="F354" s="260"/>
      <c r="G354" s="260"/>
      <c r="H354" s="260"/>
      <c r="I354" s="260"/>
      <c r="J354" s="260"/>
      <c r="K354" s="260"/>
      <c r="L354" s="260"/>
      <c r="M354" s="260"/>
      <c r="N354" s="260"/>
      <c r="O354" s="235"/>
      <c r="P354" s="235"/>
      <c r="Q354" s="235"/>
    </row>
    <row r="355" spans="2:17">
      <c r="B355" s="241"/>
      <c r="C355" s="241"/>
      <c r="D355" s="241"/>
      <c r="E355" s="241"/>
      <c r="F355" s="260"/>
      <c r="G355" s="260"/>
      <c r="H355" s="260"/>
      <c r="I355" s="260"/>
      <c r="J355" s="260"/>
      <c r="K355" s="260"/>
      <c r="L355" s="260"/>
      <c r="M355" s="260"/>
      <c r="N355" s="260"/>
      <c r="O355" s="235"/>
      <c r="P355" s="235"/>
      <c r="Q355" s="235"/>
    </row>
    <row r="356" spans="2:17">
      <c r="B356" s="241"/>
      <c r="C356" s="241"/>
      <c r="D356" s="241"/>
      <c r="E356" s="241"/>
      <c r="F356" s="260"/>
      <c r="G356" s="260"/>
      <c r="H356" s="260"/>
      <c r="I356" s="260"/>
      <c r="J356" s="260"/>
      <c r="K356" s="260"/>
      <c r="L356" s="260"/>
      <c r="M356" s="260"/>
      <c r="N356" s="260"/>
      <c r="O356" s="235"/>
      <c r="P356" s="235"/>
      <c r="Q356" s="235"/>
    </row>
    <row r="357" spans="2:17">
      <c r="B357" s="241"/>
      <c r="C357" s="241"/>
      <c r="D357" s="241"/>
      <c r="E357" s="241"/>
      <c r="F357" s="260"/>
      <c r="G357" s="260"/>
      <c r="H357" s="260"/>
      <c r="I357" s="260"/>
      <c r="J357" s="260"/>
      <c r="K357" s="260"/>
      <c r="L357" s="260"/>
      <c r="M357" s="260"/>
      <c r="N357" s="260"/>
      <c r="O357" s="235"/>
      <c r="P357" s="235"/>
      <c r="Q357" s="235"/>
    </row>
    <row r="358" spans="2:17">
      <c r="B358" s="241"/>
      <c r="C358" s="241"/>
      <c r="D358" s="241"/>
      <c r="E358" s="241"/>
      <c r="F358" s="260"/>
      <c r="G358" s="260"/>
      <c r="H358" s="260"/>
      <c r="I358" s="260"/>
      <c r="J358" s="260"/>
      <c r="K358" s="260"/>
      <c r="L358" s="260"/>
      <c r="M358" s="260"/>
      <c r="N358" s="260"/>
      <c r="O358" s="235"/>
      <c r="P358" s="235"/>
      <c r="Q358" s="235"/>
    </row>
    <row r="359" spans="2:17">
      <c r="B359" s="241"/>
      <c r="C359" s="241"/>
      <c r="D359" s="241"/>
      <c r="E359" s="241"/>
      <c r="F359" s="260"/>
      <c r="G359" s="260"/>
      <c r="H359" s="260"/>
      <c r="I359" s="260"/>
      <c r="J359" s="260"/>
      <c r="K359" s="260"/>
      <c r="L359" s="260"/>
      <c r="M359" s="260"/>
      <c r="N359" s="260"/>
      <c r="O359" s="235"/>
      <c r="P359" s="235"/>
      <c r="Q359" s="235"/>
    </row>
    <row r="360" spans="2:17">
      <c r="B360" s="241"/>
      <c r="C360" s="241"/>
      <c r="D360" s="241"/>
      <c r="E360" s="241"/>
      <c r="F360" s="260"/>
      <c r="G360" s="260"/>
      <c r="H360" s="260"/>
      <c r="I360" s="260"/>
      <c r="J360" s="260"/>
      <c r="K360" s="260"/>
      <c r="L360" s="260"/>
      <c r="M360" s="260"/>
      <c r="N360" s="260"/>
      <c r="O360" s="235"/>
      <c r="P360" s="235"/>
      <c r="Q360" s="235"/>
    </row>
    <row r="361" spans="2:17">
      <c r="B361" s="241"/>
      <c r="C361" s="241"/>
      <c r="D361" s="241"/>
      <c r="E361" s="241"/>
      <c r="F361" s="260"/>
      <c r="G361" s="260"/>
      <c r="H361" s="260"/>
      <c r="I361" s="260"/>
      <c r="J361" s="260"/>
      <c r="K361" s="260"/>
      <c r="L361" s="260"/>
      <c r="M361" s="260"/>
      <c r="N361" s="260"/>
      <c r="O361" s="235"/>
      <c r="P361" s="235"/>
      <c r="Q361" s="235"/>
    </row>
    <row r="362" spans="2:17">
      <c r="B362" s="241"/>
      <c r="C362" s="241"/>
      <c r="D362" s="241"/>
      <c r="E362" s="241"/>
      <c r="F362" s="260"/>
      <c r="G362" s="260"/>
      <c r="H362" s="260"/>
      <c r="I362" s="260"/>
      <c r="J362" s="260"/>
      <c r="K362" s="260"/>
      <c r="L362" s="260"/>
      <c r="M362" s="260"/>
      <c r="N362" s="260"/>
      <c r="O362" s="235"/>
      <c r="P362" s="235"/>
      <c r="Q362" s="235"/>
    </row>
    <row r="363" spans="2:17">
      <c r="B363" s="241"/>
      <c r="C363" s="241"/>
      <c r="D363" s="241"/>
      <c r="E363" s="241"/>
      <c r="F363" s="260"/>
      <c r="G363" s="260"/>
      <c r="H363" s="260"/>
      <c r="I363" s="260"/>
      <c r="J363" s="260"/>
      <c r="K363" s="260"/>
      <c r="L363" s="260"/>
      <c r="M363" s="260"/>
      <c r="N363" s="260"/>
      <c r="O363" s="235"/>
      <c r="P363" s="235"/>
      <c r="Q363" s="235"/>
    </row>
    <row r="364" spans="2:17">
      <c r="B364" s="241"/>
      <c r="C364" s="241"/>
      <c r="D364" s="241"/>
      <c r="E364" s="241"/>
      <c r="F364" s="260"/>
      <c r="G364" s="260"/>
      <c r="H364" s="260"/>
      <c r="I364" s="260"/>
      <c r="J364" s="260"/>
      <c r="K364" s="260"/>
      <c r="L364" s="260"/>
      <c r="M364" s="260"/>
      <c r="N364" s="260"/>
      <c r="O364" s="235"/>
      <c r="P364" s="235"/>
      <c r="Q364" s="235"/>
    </row>
    <row r="365" spans="2:17">
      <c r="B365" s="241"/>
      <c r="C365" s="241"/>
      <c r="D365" s="241"/>
      <c r="E365" s="241"/>
      <c r="F365" s="260"/>
      <c r="G365" s="260"/>
      <c r="H365" s="260"/>
      <c r="I365" s="260"/>
      <c r="J365" s="260"/>
      <c r="K365" s="260"/>
      <c r="L365" s="260"/>
      <c r="M365" s="260"/>
      <c r="N365" s="260"/>
      <c r="O365" s="235"/>
      <c r="P365" s="235"/>
      <c r="Q365" s="235"/>
    </row>
    <row r="366" spans="2:17">
      <c r="B366" s="241"/>
      <c r="C366" s="241"/>
      <c r="D366" s="241"/>
      <c r="E366" s="241"/>
      <c r="F366" s="260"/>
      <c r="G366" s="260"/>
      <c r="H366" s="260"/>
      <c r="I366" s="260"/>
      <c r="J366" s="260"/>
      <c r="K366" s="260"/>
      <c r="L366" s="260"/>
      <c r="M366" s="260"/>
      <c r="N366" s="260"/>
      <c r="O366" s="235"/>
      <c r="P366" s="235"/>
      <c r="Q366" s="235"/>
    </row>
    <row r="367" spans="2:17">
      <c r="B367" s="241"/>
      <c r="C367" s="241"/>
      <c r="D367" s="241"/>
      <c r="E367" s="241"/>
      <c r="F367" s="260"/>
      <c r="G367" s="260"/>
      <c r="H367" s="260"/>
      <c r="I367" s="260"/>
      <c r="J367" s="260"/>
      <c r="K367" s="260"/>
      <c r="L367" s="260"/>
      <c r="M367" s="260"/>
      <c r="N367" s="260"/>
      <c r="O367" s="235"/>
      <c r="P367" s="235"/>
      <c r="Q367" s="235"/>
    </row>
    <row r="368" spans="2:17">
      <c r="B368" s="241"/>
      <c r="C368" s="241"/>
      <c r="D368" s="241"/>
      <c r="E368" s="241"/>
      <c r="F368" s="260"/>
      <c r="G368" s="260"/>
      <c r="H368" s="260"/>
      <c r="I368" s="260"/>
      <c r="J368" s="260"/>
      <c r="K368" s="260"/>
      <c r="L368" s="260"/>
      <c r="M368" s="260"/>
      <c r="N368" s="260"/>
      <c r="O368" s="235"/>
      <c r="P368" s="235"/>
      <c r="Q368" s="235"/>
    </row>
    <row r="369" spans="2:17">
      <c r="B369" s="241"/>
      <c r="C369" s="241"/>
      <c r="D369" s="241"/>
      <c r="E369" s="241"/>
      <c r="F369" s="260"/>
      <c r="G369" s="260"/>
      <c r="H369" s="260"/>
      <c r="I369" s="260"/>
      <c r="J369" s="260"/>
      <c r="K369" s="260"/>
      <c r="L369" s="260"/>
      <c r="M369" s="260"/>
      <c r="N369" s="260"/>
      <c r="O369" s="235"/>
      <c r="P369" s="235"/>
      <c r="Q369" s="235"/>
    </row>
    <row r="370" spans="2:17">
      <c r="B370" s="241"/>
      <c r="C370" s="241"/>
      <c r="D370" s="241"/>
      <c r="E370" s="241"/>
      <c r="F370" s="260"/>
      <c r="G370" s="260"/>
      <c r="H370" s="260"/>
      <c r="I370" s="260"/>
      <c r="J370" s="260"/>
      <c r="K370" s="260"/>
      <c r="L370" s="260"/>
      <c r="M370" s="260"/>
      <c r="N370" s="260"/>
      <c r="O370" s="235"/>
      <c r="P370" s="235"/>
      <c r="Q370" s="235"/>
    </row>
    <row r="371" spans="2:17">
      <c r="B371" s="241"/>
      <c r="C371" s="241"/>
      <c r="D371" s="241"/>
      <c r="E371" s="241"/>
      <c r="F371" s="260"/>
      <c r="G371" s="260"/>
      <c r="H371" s="260"/>
      <c r="I371" s="260"/>
      <c r="J371" s="260"/>
      <c r="K371" s="260"/>
      <c r="L371" s="260"/>
      <c r="M371" s="260"/>
      <c r="N371" s="260"/>
      <c r="O371" s="235"/>
      <c r="P371" s="235"/>
      <c r="Q371" s="235"/>
    </row>
    <row r="372" spans="2:17">
      <c r="B372" s="241"/>
      <c r="C372" s="241"/>
      <c r="D372" s="241"/>
      <c r="E372" s="241"/>
      <c r="F372" s="260"/>
      <c r="G372" s="260"/>
      <c r="H372" s="260"/>
      <c r="I372" s="260"/>
      <c r="J372" s="260"/>
      <c r="K372" s="260"/>
      <c r="L372" s="260"/>
      <c r="M372" s="260"/>
      <c r="N372" s="260"/>
      <c r="O372" s="235"/>
      <c r="P372" s="235"/>
      <c r="Q372" s="235"/>
    </row>
    <row r="373" spans="2:17">
      <c r="B373" s="241"/>
      <c r="C373" s="241"/>
      <c r="D373" s="241"/>
      <c r="E373" s="241"/>
      <c r="F373" s="260"/>
      <c r="G373" s="260"/>
      <c r="H373" s="260"/>
      <c r="I373" s="260"/>
      <c r="J373" s="260"/>
      <c r="K373" s="260"/>
      <c r="L373" s="260"/>
      <c r="M373" s="260"/>
      <c r="N373" s="260"/>
      <c r="O373" s="235"/>
      <c r="P373" s="235"/>
      <c r="Q373" s="235"/>
    </row>
    <row r="374" spans="2:17">
      <c r="B374" s="241"/>
      <c r="C374" s="241"/>
      <c r="D374" s="241"/>
      <c r="E374" s="241"/>
      <c r="F374" s="260"/>
      <c r="G374" s="260"/>
      <c r="H374" s="260"/>
      <c r="I374" s="260"/>
      <c r="J374" s="260"/>
      <c r="K374" s="260"/>
      <c r="L374" s="260"/>
      <c r="M374" s="260"/>
      <c r="N374" s="260"/>
      <c r="O374" s="235"/>
      <c r="P374" s="235"/>
      <c r="Q374" s="235"/>
    </row>
    <row r="375" spans="2:17">
      <c r="B375" s="241"/>
      <c r="C375" s="241"/>
      <c r="D375" s="241"/>
      <c r="E375" s="241"/>
      <c r="F375" s="260"/>
      <c r="G375" s="260"/>
      <c r="H375" s="260"/>
      <c r="I375" s="260"/>
      <c r="J375" s="260"/>
      <c r="K375" s="260"/>
      <c r="L375" s="260"/>
      <c r="M375" s="260"/>
      <c r="N375" s="260"/>
      <c r="O375" s="235"/>
      <c r="P375" s="235"/>
      <c r="Q375" s="235"/>
    </row>
    <row r="376" spans="2:17">
      <c r="B376" s="241"/>
      <c r="C376" s="241"/>
      <c r="D376" s="241"/>
      <c r="E376" s="241"/>
      <c r="F376" s="260"/>
      <c r="G376" s="260"/>
      <c r="H376" s="260"/>
      <c r="I376" s="260"/>
      <c r="J376" s="260"/>
      <c r="K376" s="260"/>
      <c r="L376" s="260"/>
      <c r="M376" s="260"/>
      <c r="N376" s="260"/>
      <c r="O376" s="235"/>
      <c r="P376" s="235"/>
      <c r="Q376" s="235"/>
    </row>
    <row r="377" spans="2:17">
      <c r="B377" s="241"/>
      <c r="C377" s="241"/>
      <c r="D377" s="241"/>
      <c r="E377" s="241"/>
      <c r="F377" s="260"/>
      <c r="G377" s="260"/>
      <c r="H377" s="260"/>
      <c r="I377" s="260"/>
      <c r="J377" s="260"/>
      <c r="K377" s="260"/>
      <c r="L377" s="260"/>
      <c r="M377" s="260"/>
      <c r="N377" s="260"/>
      <c r="O377" s="235"/>
      <c r="P377" s="235"/>
      <c r="Q377" s="235"/>
    </row>
    <row r="378" spans="2:17">
      <c r="B378" s="241"/>
      <c r="C378" s="241"/>
      <c r="D378" s="241"/>
      <c r="E378" s="241"/>
      <c r="F378" s="260"/>
      <c r="G378" s="260"/>
      <c r="H378" s="260"/>
      <c r="I378" s="260"/>
      <c r="J378" s="260"/>
      <c r="K378" s="260"/>
      <c r="L378" s="260"/>
      <c r="M378" s="260"/>
      <c r="N378" s="260"/>
      <c r="O378" s="235"/>
      <c r="P378" s="235"/>
      <c r="Q378" s="235"/>
    </row>
    <row r="379" spans="2:17">
      <c r="B379" s="241"/>
      <c r="C379" s="241"/>
      <c r="D379" s="241"/>
      <c r="E379" s="241"/>
      <c r="F379" s="260"/>
      <c r="G379" s="260"/>
      <c r="H379" s="260"/>
      <c r="I379" s="260"/>
      <c r="J379" s="260"/>
      <c r="K379" s="260"/>
      <c r="L379" s="260"/>
      <c r="M379" s="260"/>
      <c r="N379" s="260"/>
      <c r="O379" s="235"/>
      <c r="P379" s="235"/>
      <c r="Q379" s="235"/>
    </row>
    <row r="380" spans="2:17">
      <c r="B380" s="241"/>
      <c r="C380" s="241"/>
      <c r="D380" s="241"/>
      <c r="E380" s="241"/>
      <c r="F380" s="260"/>
      <c r="G380" s="260"/>
      <c r="H380" s="260"/>
      <c r="I380" s="260"/>
      <c r="J380" s="260"/>
      <c r="K380" s="260"/>
      <c r="L380" s="260"/>
      <c r="M380" s="260"/>
      <c r="N380" s="260"/>
      <c r="O380" s="235"/>
      <c r="P380" s="235"/>
      <c r="Q380" s="235"/>
    </row>
    <row r="381" spans="2:17">
      <c r="B381" s="241"/>
      <c r="C381" s="241"/>
      <c r="D381" s="241"/>
      <c r="E381" s="241"/>
      <c r="F381" s="260"/>
      <c r="G381" s="260"/>
      <c r="H381" s="260"/>
      <c r="I381" s="260"/>
      <c r="J381" s="260"/>
      <c r="K381" s="260"/>
      <c r="L381" s="260"/>
      <c r="M381" s="260"/>
      <c r="N381" s="260"/>
      <c r="O381" s="235"/>
      <c r="P381" s="235"/>
      <c r="Q381" s="235"/>
    </row>
    <row r="382" spans="2:17">
      <c r="B382" s="241"/>
      <c r="C382" s="241"/>
      <c r="D382" s="241"/>
      <c r="E382" s="241"/>
      <c r="F382" s="260"/>
      <c r="G382" s="260"/>
      <c r="H382" s="260"/>
      <c r="I382" s="260"/>
      <c r="J382" s="260"/>
      <c r="K382" s="260"/>
      <c r="L382" s="260"/>
      <c r="M382" s="260"/>
      <c r="N382" s="260"/>
      <c r="O382" s="235"/>
      <c r="P382" s="235"/>
      <c r="Q382" s="235"/>
    </row>
    <row r="383" spans="2:17">
      <c r="B383" s="241"/>
      <c r="C383" s="241"/>
      <c r="D383" s="241"/>
      <c r="E383" s="241"/>
      <c r="F383" s="260"/>
      <c r="G383" s="260"/>
      <c r="H383" s="260"/>
      <c r="I383" s="260"/>
      <c r="J383" s="260"/>
      <c r="K383" s="260"/>
      <c r="L383" s="260"/>
      <c r="M383" s="260"/>
      <c r="N383" s="260"/>
      <c r="O383" s="235"/>
      <c r="P383" s="235"/>
      <c r="Q383" s="235"/>
    </row>
    <row r="384" spans="2:17">
      <c r="B384" s="241"/>
      <c r="C384" s="241"/>
      <c r="D384" s="241"/>
      <c r="E384" s="241"/>
      <c r="F384" s="260"/>
      <c r="G384" s="260"/>
      <c r="H384" s="260"/>
      <c r="I384" s="260"/>
      <c r="J384" s="260"/>
      <c r="K384" s="260"/>
      <c r="L384" s="260"/>
      <c r="M384" s="260"/>
      <c r="N384" s="260"/>
      <c r="O384" s="235"/>
      <c r="P384" s="235"/>
      <c r="Q384" s="235"/>
    </row>
    <row r="385" spans="2:17">
      <c r="B385" s="241"/>
      <c r="C385" s="241"/>
      <c r="D385" s="241"/>
      <c r="E385" s="241"/>
      <c r="F385" s="260"/>
      <c r="G385" s="260"/>
      <c r="H385" s="260"/>
      <c r="I385" s="260"/>
      <c r="J385" s="260"/>
      <c r="K385" s="260"/>
      <c r="L385" s="260"/>
      <c r="M385" s="260"/>
      <c r="N385" s="260"/>
      <c r="O385" s="235"/>
      <c r="P385" s="235"/>
      <c r="Q385" s="235"/>
    </row>
    <row r="386" spans="2:17">
      <c r="B386" s="241"/>
      <c r="C386" s="241"/>
      <c r="D386" s="241"/>
      <c r="E386" s="241"/>
      <c r="F386" s="260"/>
      <c r="G386" s="260"/>
      <c r="H386" s="260"/>
      <c r="I386" s="260"/>
      <c r="J386" s="260"/>
      <c r="K386" s="260"/>
      <c r="L386" s="260"/>
      <c r="M386" s="260"/>
      <c r="N386" s="260"/>
      <c r="O386" s="235"/>
      <c r="P386" s="235"/>
      <c r="Q386" s="235"/>
    </row>
    <row r="387" spans="2:17">
      <c r="B387" s="241"/>
      <c r="C387" s="241"/>
      <c r="D387" s="241"/>
      <c r="E387" s="241"/>
      <c r="F387" s="260"/>
      <c r="G387" s="260"/>
      <c r="H387" s="260"/>
      <c r="I387" s="260"/>
      <c r="J387" s="260"/>
      <c r="K387" s="260"/>
      <c r="L387" s="260"/>
      <c r="M387" s="260"/>
      <c r="N387" s="260"/>
      <c r="O387" s="235"/>
      <c r="P387" s="235"/>
      <c r="Q387" s="235"/>
    </row>
    <row r="388" spans="2:17">
      <c r="B388" s="241"/>
      <c r="C388" s="241"/>
      <c r="D388" s="241"/>
      <c r="E388" s="241"/>
      <c r="F388" s="260"/>
      <c r="G388" s="260"/>
      <c r="H388" s="260"/>
      <c r="I388" s="260"/>
      <c r="J388" s="260"/>
      <c r="K388" s="260"/>
      <c r="L388" s="260"/>
      <c r="M388" s="260"/>
      <c r="N388" s="260"/>
      <c r="O388" s="235"/>
      <c r="P388" s="235"/>
      <c r="Q388" s="235"/>
    </row>
    <row r="389" spans="2:17">
      <c r="B389" s="241"/>
      <c r="C389" s="241"/>
      <c r="D389" s="241"/>
      <c r="E389" s="241"/>
      <c r="F389" s="260"/>
      <c r="G389" s="260"/>
      <c r="H389" s="260"/>
      <c r="I389" s="260"/>
      <c r="J389" s="260"/>
      <c r="K389" s="260"/>
      <c r="L389" s="260"/>
      <c r="M389" s="260"/>
      <c r="N389" s="260"/>
      <c r="O389" s="235"/>
      <c r="P389" s="235"/>
      <c r="Q389" s="235"/>
    </row>
    <row r="390" spans="2:17">
      <c r="B390" s="241"/>
      <c r="C390" s="241"/>
      <c r="D390" s="241"/>
      <c r="E390" s="241"/>
      <c r="F390" s="260"/>
      <c r="G390" s="260"/>
      <c r="H390" s="260"/>
      <c r="I390" s="260"/>
      <c r="J390" s="260"/>
      <c r="K390" s="260"/>
      <c r="L390" s="260"/>
      <c r="M390" s="260"/>
      <c r="N390" s="260"/>
      <c r="O390" s="235"/>
      <c r="P390" s="235"/>
      <c r="Q390" s="235"/>
    </row>
    <row r="391" spans="2:17">
      <c r="B391" s="241"/>
      <c r="C391" s="241"/>
      <c r="D391" s="241"/>
      <c r="E391" s="241"/>
      <c r="F391" s="260"/>
      <c r="G391" s="260"/>
      <c r="H391" s="260"/>
      <c r="I391" s="260"/>
      <c r="J391" s="260"/>
      <c r="K391" s="260"/>
      <c r="L391" s="260"/>
      <c r="M391" s="260"/>
      <c r="N391" s="260"/>
      <c r="O391" s="235"/>
      <c r="P391" s="235"/>
      <c r="Q391" s="235"/>
    </row>
    <row r="392" spans="2:17">
      <c r="B392" s="241"/>
      <c r="C392" s="241"/>
      <c r="D392" s="241"/>
      <c r="E392" s="241"/>
      <c r="F392" s="260"/>
      <c r="G392" s="260"/>
      <c r="H392" s="260"/>
      <c r="I392" s="260"/>
      <c r="J392" s="260"/>
      <c r="K392" s="260"/>
      <c r="L392" s="260"/>
      <c r="M392" s="260"/>
      <c r="N392" s="260"/>
      <c r="O392" s="235"/>
      <c r="P392" s="235"/>
      <c r="Q392" s="235"/>
    </row>
    <row r="393" spans="2:17">
      <c r="B393" s="241"/>
      <c r="C393" s="241"/>
      <c r="D393" s="241"/>
      <c r="E393" s="241"/>
      <c r="F393" s="260"/>
      <c r="G393" s="260"/>
      <c r="H393" s="260"/>
      <c r="I393" s="260"/>
      <c r="J393" s="260"/>
      <c r="K393" s="260"/>
      <c r="L393" s="260"/>
      <c r="M393" s="260"/>
      <c r="N393" s="260"/>
      <c r="O393" s="235"/>
      <c r="P393" s="235"/>
      <c r="Q393" s="235"/>
    </row>
    <row r="394" spans="2:17">
      <c r="B394" s="241"/>
      <c r="C394" s="241"/>
      <c r="D394" s="241"/>
      <c r="E394" s="241"/>
      <c r="F394" s="260"/>
      <c r="G394" s="260"/>
      <c r="H394" s="260"/>
      <c r="I394" s="260"/>
      <c r="J394" s="260"/>
      <c r="K394" s="260"/>
      <c r="L394" s="260"/>
      <c r="M394" s="260"/>
      <c r="N394" s="260"/>
      <c r="O394" s="235"/>
      <c r="P394" s="235"/>
      <c r="Q394" s="235"/>
    </row>
    <row r="395" spans="2:17">
      <c r="B395" s="241"/>
      <c r="C395" s="241"/>
      <c r="D395" s="241"/>
      <c r="E395" s="241"/>
      <c r="F395" s="260"/>
      <c r="G395" s="260"/>
      <c r="H395" s="260"/>
      <c r="I395" s="260"/>
      <c r="J395" s="260"/>
      <c r="K395" s="260"/>
      <c r="L395" s="260"/>
      <c r="M395" s="260"/>
      <c r="N395" s="260"/>
      <c r="O395" s="235"/>
      <c r="P395" s="235"/>
      <c r="Q395" s="235"/>
    </row>
    <row r="396" spans="2:17">
      <c r="B396" s="241"/>
      <c r="C396" s="241"/>
      <c r="D396" s="241"/>
      <c r="E396" s="241"/>
      <c r="F396" s="260"/>
      <c r="G396" s="260"/>
      <c r="H396" s="260"/>
      <c r="I396" s="260"/>
      <c r="J396" s="260"/>
      <c r="K396" s="260"/>
      <c r="L396" s="260"/>
      <c r="M396" s="260"/>
      <c r="N396" s="260"/>
      <c r="O396" s="235"/>
      <c r="P396" s="235"/>
      <c r="Q396" s="235"/>
    </row>
    <row r="397" spans="2:17">
      <c r="B397" s="241"/>
      <c r="C397" s="241"/>
      <c r="D397" s="241"/>
      <c r="E397" s="241"/>
      <c r="F397" s="260"/>
      <c r="G397" s="260"/>
      <c r="H397" s="260"/>
      <c r="I397" s="260"/>
      <c r="J397" s="260"/>
      <c r="K397" s="260"/>
      <c r="L397" s="260"/>
      <c r="M397" s="260"/>
      <c r="N397" s="260"/>
      <c r="O397" s="235"/>
      <c r="P397" s="235"/>
      <c r="Q397" s="235"/>
    </row>
    <row r="398" spans="2:17">
      <c r="B398" s="241"/>
      <c r="C398" s="241"/>
      <c r="D398" s="241"/>
      <c r="E398" s="241"/>
      <c r="F398" s="260"/>
      <c r="G398" s="260"/>
      <c r="H398" s="260"/>
      <c r="I398" s="260"/>
      <c r="J398" s="260"/>
      <c r="K398" s="260"/>
      <c r="L398" s="260"/>
      <c r="M398" s="260"/>
      <c r="N398" s="260"/>
      <c r="O398" s="235"/>
      <c r="P398" s="235"/>
      <c r="Q398" s="235"/>
    </row>
    <row r="399" spans="2:17">
      <c r="B399" s="241"/>
      <c r="C399" s="241"/>
      <c r="D399" s="241"/>
      <c r="E399" s="241"/>
      <c r="F399" s="260"/>
      <c r="G399" s="260"/>
      <c r="H399" s="260"/>
      <c r="I399" s="260"/>
      <c r="J399" s="260"/>
      <c r="K399" s="260"/>
      <c r="L399" s="260"/>
      <c r="M399" s="260"/>
      <c r="N399" s="260"/>
      <c r="O399" s="235"/>
      <c r="P399" s="235"/>
      <c r="Q399" s="235"/>
    </row>
    <row r="400" spans="2:17">
      <c r="B400" s="241"/>
      <c r="C400" s="241"/>
      <c r="D400" s="241"/>
      <c r="E400" s="241"/>
      <c r="F400" s="260"/>
      <c r="G400" s="260"/>
      <c r="H400" s="260"/>
      <c r="I400" s="260"/>
      <c r="J400" s="260"/>
      <c r="K400" s="260"/>
      <c r="L400" s="260"/>
      <c r="M400" s="260"/>
      <c r="N400" s="260"/>
      <c r="O400" s="235"/>
      <c r="P400" s="235"/>
      <c r="Q400" s="235"/>
    </row>
    <row r="401" spans="2:17">
      <c r="B401" s="241"/>
      <c r="C401" s="241"/>
      <c r="D401" s="241"/>
      <c r="E401" s="241"/>
      <c r="F401" s="260"/>
      <c r="G401" s="260"/>
      <c r="H401" s="260"/>
      <c r="I401" s="260"/>
      <c r="J401" s="260"/>
      <c r="K401" s="260"/>
      <c r="L401" s="260"/>
      <c r="M401" s="260"/>
      <c r="N401" s="260"/>
      <c r="O401" s="235"/>
      <c r="P401" s="235"/>
      <c r="Q401" s="235"/>
    </row>
    <row r="402" spans="2:17">
      <c r="B402" s="241"/>
      <c r="C402" s="241"/>
      <c r="D402" s="241"/>
      <c r="E402" s="241"/>
      <c r="F402" s="260"/>
      <c r="G402" s="260"/>
      <c r="H402" s="260"/>
      <c r="I402" s="260"/>
      <c r="J402" s="260"/>
      <c r="K402" s="260"/>
      <c r="L402" s="260"/>
      <c r="M402" s="260"/>
      <c r="N402" s="260"/>
      <c r="O402" s="235"/>
      <c r="P402" s="235"/>
      <c r="Q402" s="235"/>
    </row>
    <row r="403" spans="2:17">
      <c r="B403" s="241"/>
      <c r="C403" s="241"/>
      <c r="D403" s="241"/>
      <c r="E403" s="241"/>
      <c r="F403" s="260"/>
      <c r="G403" s="260"/>
      <c r="H403" s="260"/>
      <c r="I403" s="260"/>
      <c r="J403" s="260"/>
      <c r="K403" s="260"/>
      <c r="L403" s="260"/>
      <c r="M403" s="260"/>
      <c r="N403" s="260"/>
      <c r="O403" s="235"/>
      <c r="P403" s="235"/>
      <c r="Q403" s="235"/>
    </row>
    <row r="404" spans="2:17">
      <c r="B404" s="241"/>
      <c r="C404" s="241"/>
      <c r="D404" s="241"/>
      <c r="E404" s="241"/>
      <c r="F404" s="260"/>
      <c r="G404" s="260"/>
      <c r="H404" s="260"/>
      <c r="I404" s="260"/>
      <c r="J404" s="260"/>
      <c r="K404" s="260"/>
      <c r="L404" s="260"/>
      <c r="M404" s="260"/>
      <c r="N404" s="260"/>
      <c r="O404" s="235"/>
      <c r="P404" s="235"/>
      <c r="Q404" s="235"/>
    </row>
    <row r="405" spans="2:17">
      <c r="B405" s="241"/>
      <c r="C405" s="241"/>
      <c r="D405" s="241"/>
      <c r="E405" s="241"/>
      <c r="F405" s="260"/>
      <c r="G405" s="260"/>
      <c r="H405" s="260"/>
      <c r="I405" s="260"/>
      <c r="J405" s="260"/>
      <c r="K405" s="260"/>
      <c r="L405" s="260"/>
      <c r="M405" s="260"/>
      <c r="N405" s="260"/>
      <c r="O405" s="235"/>
      <c r="P405" s="235"/>
      <c r="Q405" s="235"/>
    </row>
    <row r="406" spans="2:17">
      <c r="B406" s="241"/>
      <c r="C406" s="241"/>
      <c r="D406" s="241"/>
      <c r="E406" s="241"/>
      <c r="F406" s="260"/>
      <c r="G406" s="260"/>
      <c r="H406" s="260"/>
      <c r="I406" s="260"/>
      <c r="J406" s="260"/>
      <c r="K406" s="260"/>
      <c r="L406" s="260"/>
      <c r="M406" s="260"/>
      <c r="N406" s="260"/>
      <c r="O406" s="235"/>
      <c r="P406" s="235"/>
      <c r="Q406" s="235"/>
    </row>
    <row r="407" spans="2:17">
      <c r="B407" s="241"/>
      <c r="C407" s="241"/>
      <c r="D407" s="241"/>
      <c r="E407" s="241"/>
      <c r="F407" s="260"/>
      <c r="G407" s="260"/>
      <c r="H407" s="260"/>
      <c r="I407" s="260"/>
      <c r="J407" s="260"/>
      <c r="K407" s="260"/>
      <c r="L407" s="260"/>
      <c r="M407" s="260"/>
      <c r="N407" s="260"/>
      <c r="O407" s="235"/>
      <c r="P407" s="235"/>
      <c r="Q407" s="235"/>
    </row>
    <row r="408" spans="2:17">
      <c r="B408" s="241"/>
      <c r="C408" s="241"/>
      <c r="D408" s="241"/>
      <c r="E408" s="241"/>
      <c r="F408" s="260"/>
      <c r="G408" s="260"/>
      <c r="H408" s="260"/>
      <c r="I408" s="260"/>
      <c r="J408" s="260"/>
      <c r="K408" s="260"/>
      <c r="L408" s="260"/>
      <c r="M408" s="260"/>
      <c r="N408" s="260"/>
      <c r="O408" s="235"/>
      <c r="P408" s="235"/>
      <c r="Q408" s="235"/>
    </row>
    <row r="409" spans="2:17">
      <c r="B409" s="241"/>
      <c r="C409" s="241"/>
      <c r="D409" s="241"/>
      <c r="E409" s="241"/>
      <c r="F409" s="260"/>
      <c r="G409" s="260"/>
      <c r="H409" s="260"/>
      <c r="I409" s="260"/>
      <c r="J409" s="260"/>
      <c r="K409" s="260"/>
      <c r="L409" s="260"/>
      <c r="M409" s="260"/>
      <c r="N409" s="260"/>
      <c r="O409" s="235"/>
      <c r="P409" s="235"/>
      <c r="Q409" s="235"/>
    </row>
    <row r="410" spans="2:17">
      <c r="B410" s="241"/>
      <c r="C410" s="241"/>
      <c r="D410" s="241"/>
      <c r="E410" s="241"/>
      <c r="F410" s="260"/>
      <c r="G410" s="260"/>
      <c r="H410" s="260"/>
      <c r="I410" s="260"/>
      <c r="J410" s="260"/>
      <c r="K410" s="260"/>
      <c r="L410" s="260"/>
      <c r="M410" s="260"/>
      <c r="N410" s="260"/>
      <c r="O410" s="235"/>
      <c r="P410" s="235"/>
      <c r="Q410" s="235"/>
    </row>
    <row r="411" spans="2:17">
      <c r="B411" s="241"/>
      <c r="C411" s="241"/>
      <c r="D411" s="241"/>
      <c r="E411" s="241"/>
      <c r="F411" s="260"/>
      <c r="G411" s="260"/>
      <c r="H411" s="260"/>
      <c r="I411" s="260"/>
      <c r="J411" s="260"/>
      <c r="K411" s="260"/>
      <c r="L411" s="260"/>
      <c r="M411" s="260"/>
      <c r="N411" s="260"/>
      <c r="O411" s="235"/>
      <c r="P411" s="235"/>
      <c r="Q411" s="235"/>
    </row>
    <row r="412" spans="2:17">
      <c r="B412" s="241"/>
      <c r="C412" s="241"/>
      <c r="D412" s="241"/>
      <c r="E412" s="241"/>
      <c r="F412" s="260"/>
      <c r="G412" s="260"/>
      <c r="H412" s="260"/>
      <c r="I412" s="260"/>
      <c r="J412" s="260"/>
      <c r="K412" s="260"/>
      <c r="L412" s="260"/>
      <c r="M412" s="260"/>
      <c r="N412" s="260"/>
      <c r="O412" s="235"/>
      <c r="P412" s="235"/>
      <c r="Q412" s="235"/>
    </row>
    <row r="413" spans="2:17">
      <c r="B413" s="241"/>
      <c r="C413" s="241"/>
      <c r="D413" s="241"/>
      <c r="E413" s="241"/>
      <c r="F413" s="260"/>
      <c r="G413" s="260"/>
      <c r="H413" s="260"/>
      <c r="I413" s="260"/>
      <c r="J413" s="260"/>
      <c r="K413" s="260"/>
      <c r="L413" s="260"/>
      <c r="M413" s="260"/>
      <c r="N413" s="260"/>
      <c r="O413" s="235"/>
      <c r="P413" s="235"/>
      <c r="Q413" s="235"/>
    </row>
    <row r="414" spans="2:17">
      <c r="B414" s="241"/>
      <c r="C414" s="241"/>
      <c r="D414" s="241"/>
      <c r="E414" s="241"/>
      <c r="F414" s="260"/>
      <c r="G414" s="260"/>
      <c r="H414" s="260"/>
      <c r="I414" s="260"/>
      <c r="J414" s="260"/>
      <c r="K414" s="260"/>
      <c r="L414" s="260"/>
      <c r="M414" s="260"/>
      <c r="N414" s="260"/>
      <c r="O414" s="235"/>
      <c r="P414" s="235"/>
      <c r="Q414" s="235"/>
    </row>
    <row r="415" spans="2:17">
      <c r="B415" s="241"/>
      <c r="C415" s="241"/>
      <c r="D415" s="241"/>
      <c r="E415" s="241"/>
      <c r="F415" s="260"/>
      <c r="G415" s="260"/>
      <c r="H415" s="260"/>
      <c r="I415" s="260"/>
      <c r="J415" s="260"/>
      <c r="K415" s="260"/>
      <c r="L415" s="260"/>
      <c r="M415" s="260"/>
      <c r="N415" s="260"/>
      <c r="O415" s="235"/>
      <c r="P415" s="235"/>
      <c r="Q415" s="235"/>
    </row>
    <row r="416" spans="2:17">
      <c r="B416" s="241"/>
      <c r="C416" s="241"/>
      <c r="D416" s="241"/>
      <c r="E416" s="241"/>
      <c r="F416" s="260"/>
      <c r="G416" s="260"/>
      <c r="H416" s="260"/>
      <c r="I416" s="260"/>
      <c r="J416" s="260"/>
      <c r="K416" s="260"/>
      <c r="L416" s="260"/>
      <c r="M416" s="260"/>
      <c r="N416" s="260"/>
      <c r="O416" s="235"/>
      <c r="P416" s="235"/>
      <c r="Q416" s="235"/>
    </row>
    <row r="417" spans="2:17">
      <c r="B417" s="241"/>
      <c r="C417" s="241"/>
      <c r="D417" s="241"/>
      <c r="E417" s="241"/>
      <c r="F417" s="260"/>
      <c r="G417" s="260"/>
      <c r="H417" s="260"/>
      <c r="I417" s="260"/>
      <c r="J417" s="260"/>
      <c r="K417" s="260"/>
      <c r="L417" s="260"/>
      <c r="M417" s="260"/>
      <c r="N417" s="260"/>
      <c r="O417" s="235"/>
      <c r="P417" s="235"/>
      <c r="Q417" s="235"/>
    </row>
    <row r="418" spans="2:17">
      <c r="B418" s="241"/>
      <c r="C418" s="241"/>
      <c r="D418" s="241"/>
      <c r="E418" s="241"/>
      <c r="F418" s="260"/>
      <c r="G418" s="260"/>
      <c r="H418" s="260"/>
      <c r="I418" s="260"/>
      <c r="J418" s="260"/>
      <c r="K418" s="260"/>
      <c r="L418" s="260"/>
      <c r="M418" s="260"/>
      <c r="N418" s="260"/>
      <c r="O418" s="235"/>
      <c r="P418" s="235"/>
      <c r="Q418" s="235"/>
    </row>
    <row r="419" spans="2:17">
      <c r="B419" s="241"/>
      <c r="C419" s="241"/>
      <c r="D419" s="241"/>
      <c r="E419" s="241"/>
      <c r="F419" s="260"/>
      <c r="G419" s="260"/>
      <c r="H419" s="260"/>
      <c r="I419" s="260"/>
      <c r="J419" s="260"/>
      <c r="K419" s="260"/>
      <c r="L419" s="260"/>
      <c r="M419" s="260"/>
      <c r="N419" s="260"/>
      <c r="O419" s="235"/>
      <c r="P419" s="235"/>
      <c r="Q419" s="235"/>
    </row>
    <row r="420" spans="2:17">
      <c r="B420" s="241"/>
      <c r="C420" s="241"/>
      <c r="D420" s="241"/>
      <c r="E420" s="241"/>
      <c r="F420" s="260"/>
      <c r="G420" s="260"/>
      <c r="H420" s="260"/>
      <c r="I420" s="260"/>
      <c r="J420" s="260"/>
      <c r="K420" s="260"/>
      <c r="L420" s="260"/>
      <c r="M420" s="260"/>
      <c r="N420" s="260"/>
      <c r="O420" s="235"/>
      <c r="P420" s="235"/>
      <c r="Q420" s="235"/>
    </row>
    <row r="421" spans="2:17">
      <c r="B421" s="241"/>
      <c r="C421" s="241"/>
      <c r="D421" s="241"/>
      <c r="E421" s="241"/>
      <c r="F421" s="260"/>
      <c r="G421" s="260"/>
      <c r="H421" s="260"/>
      <c r="I421" s="260"/>
      <c r="J421" s="260"/>
      <c r="K421" s="260"/>
      <c r="L421" s="260"/>
      <c r="M421" s="260"/>
      <c r="N421" s="260"/>
      <c r="O421" s="235"/>
      <c r="P421" s="235"/>
      <c r="Q421" s="235"/>
    </row>
    <row r="422" spans="2:17">
      <c r="B422" s="241"/>
      <c r="C422" s="241"/>
      <c r="D422" s="241"/>
      <c r="E422" s="241"/>
      <c r="F422" s="260"/>
      <c r="G422" s="260"/>
      <c r="H422" s="260"/>
      <c r="I422" s="260"/>
      <c r="J422" s="260"/>
      <c r="K422" s="260"/>
      <c r="L422" s="260"/>
      <c r="M422" s="260"/>
      <c r="N422" s="260"/>
      <c r="O422" s="235"/>
      <c r="P422" s="235"/>
      <c r="Q422" s="235"/>
    </row>
    <row r="423" spans="2:17">
      <c r="B423" s="241"/>
      <c r="C423" s="241"/>
      <c r="D423" s="241"/>
      <c r="E423" s="241"/>
      <c r="F423" s="260"/>
      <c r="G423" s="260"/>
      <c r="H423" s="260"/>
      <c r="I423" s="260"/>
      <c r="J423" s="260"/>
      <c r="K423" s="260"/>
      <c r="L423" s="260"/>
      <c r="M423" s="260"/>
      <c r="N423" s="260"/>
      <c r="O423" s="235"/>
      <c r="P423" s="235"/>
      <c r="Q423" s="235"/>
    </row>
    <row r="424" spans="2:17">
      <c r="B424" s="241"/>
      <c r="C424" s="241"/>
      <c r="D424" s="241"/>
      <c r="E424" s="241"/>
      <c r="F424" s="260"/>
      <c r="G424" s="260"/>
      <c r="H424" s="260"/>
      <c r="I424" s="260"/>
      <c r="J424" s="260"/>
      <c r="K424" s="260"/>
      <c r="L424" s="260"/>
      <c r="M424" s="260"/>
      <c r="N424" s="260"/>
      <c r="O424" s="235"/>
      <c r="P424" s="235"/>
      <c r="Q424" s="235"/>
    </row>
    <row r="425" spans="2:17">
      <c r="B425" s="241"/>
      <c r="C425" s="241"/>
      <c r="D425" s="241"/>
      <c r="E425" s="241"/>
      <c r="F425" s="260"/>
      <c r="G425" s="260"/>
      <c r="H425" s="260"/>
      <c r="I425" s="260"/>
      <c r="J425" s="260"/>
      <c r="K425" s="260"/>
      <c r="L425" s="260"/>
      <c r="M425" s="260"/>
      <c r="N425" s="260"/>
      <c r="O425" s="235"/>
      <c r="P425" s="235"/>
      <c r="Q425" s="235"/>
    </row>
    <row r="426" spans="2:17">
      <c r="B426" s="241"/>
      <c r="C426" s="241"/>
      <c r="D426" s="241"/>
      <c r="E426" s="241"/>
      <c r="F426" s="260"/>
      <c r="G426" s="260"/>
      <c r="H426" s="260"/>
      <c r="I426" s="260"/>
      <c r="J426" s="260"/>
      <c r="K426" s="260"/>
      <c r="L426" s="260"/>
      <c r="M426" s="260"/>
      <c r="N426" s="260"/>
      <c r="O426" s="235"/>
      <c r="P426" s="235"/>
      <c r="Q426" s="235"/>
    </row>
    <row r="427" spans="2:17">
      <c r="B427" s="241"/>
      <c r="C427" s="241"/>
      <c r="D427" s="241"/>
      <c r="E427" s="241"/>
      <c r="F427" s="260"/>
      <c r="G427" s="260"/>
      <c r="H427" s="260"/>
      <c r="I427" s="260"/>
      <c r="J427" s="260"/>
      <c r="K427" s="260"/>
      <c r="L427" s="260"/>
      <c r="M427" s="260"/>
      <c r="N427" s="260"/>
      <c r="O427" s="235"/>
      <c r="P427" s="235"/>
      <c r="Q427" s="235"/>
    </row>
    <row r="428" spans="2:17">
      <c r="B428" s="241"/>
      <c r="C428" s="241"/>
      <c r="D428" s="241"/>
      <c r="E428" s="241"/>
      <c r="F428" s="260"/>
      <c r="G428" s="260"/>
      <c r="H428" s="260"/>
      <c r="I428" s="260"/>
      <c r="J428" s="260"/>
      <c r="K428" s="260"/>
      <c r="L428" s="260"/>
      <c r="M428" s="260"/>
      <c r="N428" s="260"/>
      <c r="O428" s="235"/>
      <c r="P428" s="235"/>
      <c r="Q428" s="235"/>
    </row>
    <row r="429" spans="2:17">
      <c r="B429" s="241"/>
      <c r="C429" s="241"/>
      <c r="D429" s="241"/>
      <c r="E429" s="241"/>
      <c r="F429" s="260"/>
      <c r="G429" s="260"/>
      <c r="H429" s="260"/>
      <c r="I429" s="260"/>
      <c r="J429" s="260"/>
      <c r="K429" s="260"/>
      <c r="L429" s="260"/>
      <c r="M429" s="260"/>
      <c r="N429" s="260"/>
      <c r="O429" s="235"/>
      <c r="P429" s="235"/>
      <c r="Q429" s="235"/>
    </row>
    <row r="430" spans="2:17">
      <c r="B430" s="241"/>
      <c r="C430" s="241"/>
      <c r="D430" s="241"/>
      <c r="E430" s="241"/>
      <c r="F430" s="260"/>
      <c r="G430" s="260"/>
      <c r="H430" s="260"/>
      <c r="I430" s="260"/>
      <c r="J430" s="260"/>
      <c r="K430" s="260"/>
      <c r="L430" s="260"/>
      <c r="M430" s="260"/>
      <c r="N430" s="260"/>
      <c r="O430" s="235"/>
      <c r="P430" s="235"/>
      <c r="Q430" s="235"/>
    </row>
    <row r="431" spans="2:17">
      <c r="B431" s="241"/>
      <c r="C431" s="241"/>
      <c r="D431" s="241"/>
      <c r="E431" s="241"/>
      <c r="F431" s="260"/>
      <c r="G431" s="260"/>
      <c r="H431" s="260"/>
      <c r="I431" s="260"/>
      <c r="J431" s="260"/>
      <c r="K431" s="260"/>
      <c r="L431" s="260"/>
      <c r="M431" s="260"/>
      <c r="N431" s="260"/>
      <c r="O431" s="235"/>
      <c r="P431" s="235"/>
      <c r="Q431" s="235"/>
    </row>
    <row r="432" spans="2:17">
      <c r="B432" s="241"/>
      <c r="C432" s="241"/>
      <c r="D432" s="241"/>
      <c r="E432" s="241"/>
      <c r="F432" s="260"/>
      <c r="G432" s="260"/>
      <c r="H432" s="260"/>
      <c r="I432" s="260"/>
      <c r="J432" s="260"/>
      <c r="K432" s="260"/>
      <c r="L432" s="260"/>
      <c r="M432" s="260"/>
      <c r="N432" s="260"/>
      <c r="O432" s="235"/>
      <c r="P432" s="235"/>
      <c r="Q432" s="235"/>
    </row>
    <row r="433" spans="2:17">
      <c r="B433" s="241"/>
      <c r="C433" s="241"/>
      <c r="D433" s="241"/>
      <c r="E433" s="241"/>
      <c r="F433" s="260"/>
      <c r="G433" s="260"/>
      <c r="H433" s="260"/>
      <c r="I433" s="260"/>
      <c r="J433" s="260"/>
      <c r="K433" s="260"/>
      <c r="L433" s="260"/>
      <c r="M433" s="260"/>
      <c r="N433" s="260"/>
      <c r="O433" s="235"/>
      <c r="P433" s="235"/>
      <c r="Q433" s="235"/>
    </row>
    <row r="434" spans="2:17">
      <c r="B434" s="241"/>
      <c r="C434" s="241"/>
      <c r="D434" s="241"/>
      <c r="E434" s="241"/>
      <c r="F434" s="260"/>
      <c r="G434" s="260"/>
      <c r="H434" s="260"/>
      <c r="I434" s="260"/>
      <c r="J434" s="260"/>
      <c r="K434" s="260"/>
      <c r="L434" s="260"/>
      <c r="M434" s="260"/>
      <c r="N434" s="260"/>
      <c r="O434" s="235"/>
      <c r="P434" s="235"/>
      <c r="Q434" s="235"/>
    </row>
    <row r="435" spans="2:17">
      <c r="B435" s="241"/>
      <c r="C435" s="241"/>
      <c r="D435" s="241"/>
      <c r="E435" s="241"/>
      <c r="F435" s="260"/>
      <c r="G435" s="260"/>
      <c r="H435" s="260"/>
      <c r="I435" s="260"/>
      <c r="J435" s="260"/>
      <c r="K435" s="260"/>
      <c r="L435" s="260"/>
      <c r="M435" s="260"/>
      <c r="N435" s="260"/>
      <c r="O435" s="235"/>
      <c r="P435" s="235"/>
      <c r="Q435" s="235"/>
    </row>
    <row r="436" spans="2:17">
      <c r="B436" s="241"/>
      <c r="C436" s="241"/>
      <c r="D436" s="241"/>
      <c r="E436" s="241"/>
      <c r="F436" s="260"/>
      <c r="G436" s="260"/>
      <c r="H436" s="260"/>
      <c r="I436" s="260"/>
      <c r="J436" s="260"/>
      <c r="K436" s="260"/>
      <c r="L436" s="260"/>
      <c r="M436" s="260"/>
      <c r="N436" s="260"/>
      <c r="O436" s="235"/>
      <c r="P436" s="235"/>
      <c r="Q436" s="235"/>
    </row>
    <row r="437" spans="2:17">
      <c r="B437" s="241"/>
      <c r="C437" s="241"/>
      <c r="D437" s="241"/>
      <c r="E437" s="241"/>
      <c r="F437" s="260"/>
      <c r="G437" s="260"/>
      <c r="H437" s="260"/>
      <c r="I437" s="260"/>
      <c r="J437" s="260"/>
      <c r="K437" s="260"/>
      <c r="L437" s="260"/>
      <c r="M437" s="260"/>
      <c r="N437" s="260"/>
      <c r="O437" s="235"/>
      <c r="P437" s="235"/>
      <c r="Q437" s="235"/>
    </row>
    <row r="438" spans="2:17">
      <c r="B438" s="241"/>
      <c r="C438" s="241"/>
      <c r="D438" s="241"/>
      <c r="E438" s="241"/>
      <c r="F438" s="260"/>
      <c r="G438" s="260"/>
      <c r="H438" s="260"/>
      <c r="I438" s="260"/>
      <c r="J438" s="260"/>
      <c r="K438" s="260"/>
      <c r="L438" s="260"/>
      <c r="M438" s="260"/>
      <c r="N438" s="260"/>
      <c r="O438" s="235"/>
      <c r="P438" s="235"/>
      <c r="Q438" s="235"/>
    </row>
    <row r="439" spans="2:17">
      <c r="B439" s="241"/>
      <c r="C439" s="241"/>
      <c r="D439" s="241"/>
      <c r="E439" s="241"/>
      <c r="F439" s="260"/>
      <c r="G439" s="260"/>
      <c r="H439" s="260"/>
      <c r="I439" s="260"/>
      <c r="J439" s="260"/>
      <c r="K439" s="260"/>
      <c r="L439" s="260"/>
      <c r="M439" s="260"/>
      <c r="N439" s="260"/>
      <c r="O439" s="235"/>
      <c r="P439" s="235"/>
      <c r="Q439" s="235"/>
    </row>
    <row r="440" spans="2:17">
      <c r="B440" s="241"/>
      <c r="C440" s="241"/>
      <c r="D440" s="241"/>
      <c r="E440" s="241"/>
      <c r="F440" s="260"/>
      <c r="G440" s="260"/>
      <c r="H440" s="260"/>
      <c r="I440" s="260"/>
      <c r="J440" s="260"/>
      <c r="K440" s="260"/>
      <c r="L440" s="260"/>
      <c r="M440" s="260"/>
      <c r="N440" s="260"/>
      <c r="O440" s="235"/>
      <c r="P440" s="235"/>
      <c r="Q440" s="235"/>
    </row>
    <row r="441" spans="2:17">
      <c r="B441" s="241"/>
      <c r="C441" s="241"/>
      <c r="D441" s="241"/>
      <c r="E441" s="241"/>
      <c r="F441" s="260"/>
      <c r="G441" s="260"/>
      <c r="H441" s="260"/>
      <c r="I441" s="260"/>
      <c r="J441" s="260"/>
      <c r="K441" s="260"/>
      <c r="L441" s="260"/>
      <c r="M441" s="260"/>
      <c r="N441" s="260"/>
      <c r="O441" s="235"/>
      <c r="P441" s="235"/>
      <c r="Q441" s="235"/>
    </row>
    <row r="442" spans="2:17">
      <c r="B442" s="241"/>
      <c r="C442" s="241"/>
      <c r="D442" s="241"/>
      <c r="E442" s="241"/>
      <c r="F442" s="260"/>
      <c r="G442" s="260"/>
      <c r="H442" s="260"/>
      <c r="I442" s="260"/>
      <c r="J442" s="260"/>
      <c r="K442" s="260"/>
      <c r="L442" s="260"/>
      <c r="M442" s="260"/>
      <c r="N442" s="260"/>
      <c r="O442" s="235"/>
      <c r="P442" s="235"/>
      <c r="Q442" s="235"/>
    </row>
    <row r="443" spans="2:17">
      <c r="B443" s="241"/>
      <c r="C443" s="241"/>
      <c r="D443" s="241"/>
      <c r="E443" s="241"/>
      <c r="F443" s="260"/>
      <c r="G443" s="260"/>
      <c r="H443" s="260"/>
      <c r="I443" s="260"/>
      <c r="J443" s="260"/>
      <c r="K443" s="260"/>
      <c r="L443" s="260"/>
      <c r="M443" s="260"/>
      <c r="N443" s="260"/>
      <c r="O443" s="235"/>
      <c r="P443" s="235"/>
      <c r="Q443" s="235"/>
    </row>
    <row r="444" spans="2:17">
      <c r="B444" s="241"/>
      <c r="C444" s="241"/>
      <c r="D444" s="241"/>
      <c r="E444" s="241"/>
      <c r="F444" s="260"/>
      <c r="G444" s="260"/>
      <c r="H444" s="260"/>
      <c r="I444" s="260"/>
      <c r="J444" s="260"/>
      <c r="K444" s="260"/>
      <c r="L444" s="260"/>
      <c r="M444" s="260"/>
      <c r="N444" s="260"/>
      <c r="O444" s="235"/>
      <c r="P444" s="235"/>
      <c r="Q444" s="235"/>
    </row>
    <row r="445" spans="2:17">
      <c r="B445" s="241"/>
      <c r="C445" s="241"/>
      <c r="D445" s="241"/>
      <c r="E445" s="241"/>
      <c r="F445" s="260"/>
      <c r="G445" s="260"/>
      <c r="H445" s="260"/>
      <c r="I445" s="260"/>
      <c r="J445" s="260"/>
      <c r="K445" s="260"/>
      <c r="L445" s="260"/>
      <c r="M445" s="260"/>
      <c r="N445" s="260"/>
      <c r="O445" s="235"/>
      <c r="P445" s="235"/>
      <c r="Q445" s="235"/>
    </row>
    <row r="446" spans="2:17">
      <c r="B446" s="241"/>
      <c r="C446" s="241"/>
      <c r="D446" s="241"/>
      <c r="E446" s="241"/>
      <c r="F446" s="260"/>
      <c r="G446" s="260"/>
      <c r="H446" s="260"/>
      <c r="I446" s="260"/>
      <c r="J446" s="260"/>
      <c r="K446" s="260"/>
      <c r="L446" s="260"/>
      <c r="M446" s="260"/>
      <c r="N446" s="260"/>
      <c r="O446" s="235"/>
      <c r="P446" s="235"/>
      <c r="Q446" s="235"/>
    </row>
    <row r="447" spans="2:17">
      <c r="B447" s="241"/>
      <c r="C447" s="241"/>
      <c r="D447" s="241"/>
      <c r="E447" s="241"/>
      <c r="F447" s="260"/>
      <c r="G447" s="260"/>
      <c r="H447" s="260"/>
      <c r="I447" s="260"/>
      <c r="J447" s="260"/>
      <c r="K447" s="260"/>
      <c r="L447" s="260"/>
      <c r="M447" s="260"/>
      <c r="N447" s="260"/>
      <c r="O447" s="235"/>
      <c r="P447" s="235"/>
      <c r="Q447" s="235"/>
    </row>
    <row r="448" spans="2:17">
      <c r="B448" s="241"/>
      <c r="C448" s="241"/>
      <c r="D448" s="241"/>
      <c r="E448" s="241"/>
      <c r="F448" s="260"/>
      <c r="G448" s="260"/>
      <c r="H448" s="260"/>
      <c r="I448" s="260"/>
      <c r="J448" s="260"/>
      <c r="K448" s="260"/>
      <c r="L448" s="260"/>
      <c r="M448" s="260"/>
      <c r="N448" s="260"/>
      <c r="O448" s="235"/>
      <c r="P448" s="235"/>
      <c r="Q448" s="235"/>
    </row>
    <row r="449" spans="2:17">
      <c r="B449" s="241"/>
      <c r="C449" s="241"/>
      <c r="D449" s="241"/>
      <c r="E449" s="241"/>
      <c r="F449" s="260"/>
      <c r="G449" s="260"/>
      <c r="H449" s="260"/>
      <c r="I449" s="260"/>
      <c r="J449" s="260"/>
      <c r="K449" s="260"/>
      <c r="L449" s="260"/>
      <c r="M449" s="260"/>
      <c r="N449" s="260"/>
      <c r="O449" s="235"/>
      <c r="P449" s="235"/>
      <c r="Q449" s="235"/>
    </row>
    <row r="450" spans="2:17">
      <c r="B450" s="241"/>
      <c r="C450" s="241"/>
      <c r="D450" s="241"/>
      <c r="E450" s="241"/>
      <c r="F450" s="260"/>
      <c r="G450" s="260"/>
      <c r="H450" s="260"/>
      <c r="I450" s="260"/>
      <c r="J450" s="260"/>
      <c r="K450" s="260"/>
      <c r="L450" s="260"/>
      <c r="M450" s="260"/>
      <c r="N450" s="260"/>
      <c r="O450" s="235"/>
      <c r="P450" s="235"/>
      <c r="Q450" s="235"/>
    </row>
    <row r="451" spans="2:17">
      <c r="B451" s="241"/>
      <c r="C451" s="241"/>
      <c r="D451" s="241"/>
      <c r="E451" s="241"/>
      <c r="F451" s="260"/>
      <c r="G451" s="260"/>
      <c r="H451" s="260"/>
      <c r="I451" s="260"/>
      <c r="J451" s="260"/>
      <c r="K451" s="260"/>
      <c r="L451" s="260"/>
      <c r="M451" s="260"/>
      <c r="N451" s="260"/>
      <c r="O451" s="235"/>
      <c r="P451" s="235"/>
      <c r="Q451" s="235"/>
    </row>
    <row r="452" spans="2:17">
      <c r="B452" s="241"/>
      <c r="C452" s="241"/>
      <c r="D452" s="241"/>
      <c r="E452" s="241"/>
      <c r="F452" s="260"/>
      <c r="G452" s="260"/>
      <c r="H452" s="260"/>
      <c r="I452" s="260"/>
      <c r="J452" s="260"/>
      <c r="K452" s="260"/>
      <c r="L452" s="260"/>
      <c r="M452" s="260"/>
      <c r="N452" s="260"/>
      <c r="O452" s="235"/>
      <c r="P452" s="235"/>
      <c r="Q452" s="235"/>
    </row>
    <row r="453" spans="2:17">
      <c r="B453" s="241"/>
      <c r="C453" s="241"/>
      <c r="D453" s="241"/>
      <c r="E453" s="241"/>
      <c r="F453" s="260"/>
      <c r="G453" s="260"/>
      <c r="H453" s="260"/>
      <c r="I453" s="260"/>
      <c r="J453" s="260"/>
      <c r="K453" s="260"/>
      <c r="L453" s="260"/>
      <c r="M453" s="260"/>
      <c r="N453" s="260"/>
      <c r="O453" s="235"/>
      <c r="P453" s="235"/>
      <c r="Q453" s="235"/>
    </row>
    <row r="454" spans="2:17">
      <c r="B454" s="241"/>
      <c r="C454" s="241"/>
      <c r="D454" s="241"/>
      <c r="E454" s="241"/>
      <c r="F454" s="260"/>
      <c r="G454" s="260"/>
      <c r="H454" s="260"/>
      <c r="I454" s="260"/>
      <c r="J454" s="260"/>
      <c r="K454" s="260"/>
      <c r="L454" s="260"/>
      <c r="M454" s="260"/>
      <c r="N454" s="260"/>
      <c r="O454" s="235"/>
      <c r="P454" s="235"/>
      <c r="Q454" s="235"/>
    </row>
    <row r="455" spans="2:17">
      <c r="B455" s="241"/>
      <c r="C455" s="241"/>
      <c r="D455" s="241"/>
      <c r="E455" s="241"/>
      <c r="F455" s="260"/>
      <c r="G455" s="260"/>
      <c r="H455" s="260"/>
      <c r="I455" s="260"/>
      <c r="J455" s="260"/>
      <c r="K455" s="260"/>
      <c r="L455" s="260"/>
      <c r="M455" s="260"/>
      <c r="N455" s="260"/>
      <c r="O455" s="235"/>
      <c r="P455" s="235"/>
      <c r="Q455" s="235"/>
    </row>
    <row r="456" spans="2:17">
      <c r="B456" s="241"/>
      <c r="C456" s="241"/>
      <c r="D456" s="241"/>
      <c r="E456" s="241"/>
      <c r="F456" s="260"/>
      <c r="G456" s="260"/>
      <c r="H456" s="260"/>
      <c r="I456" s="260"/>
      <c r="J456" s="260"/>
      <c r="K456" s="260"/>
      <c r="L456" s="260"/>
      <c r="M456" s="260"/>
      <c r="N456" s="260"/>
      <c r="O456" s="235"/>
      <c r="P456" s="235"/>
      <c r="Q456" s="235"/>
    </row>
    <row r="457" spans="2:17">
      <c r="B457" s="241"/>
      <c r="C457" s="241"/>
      <c r="D457" s="241"/>
      <c r="E457" s="241"/>
      <c r="F457" s="260"/>
      <c r="G457" s="260"/>
      <c r="H457" s="260"/>
      <c r="I457" s="260"/>
      <c r="J457" s="260"/>
      <c r="K457" s="260"/>
      <c r="L457" s="260"/>
      <c r="M457" s="260"/>
      <c r="N457" s="260"/>
      <c r="O457" s="235"/>
      <c r="P457" s="235"/>
      <c r="Q457" s="235"/>
    </row>
    <row r="458" spans="2:17">
      <c r="B458" s="241"/>
      <c r="C458" s="241"/>
      <c r="D458" s="241"/>
      <c r="E458" s="241"/>
      <c r="F458" s="260"/>
      <c r="G458" s="260"/>
      <c r="H458" s="260"/>
      <c r="I458" s="260"/>
      <c r="J458" s="260"/>
      <c r="K458" s="260"/>
      <c r="L458" s="260"/>
      <c r="M458" s="260"/>
      <c r="N458" s="260"/>
      <c r="O458" s="235"/>
      <c r="P458" s="235"/>
      <c r="Q458" s="235"/>
    </row>
    <row r="459" spans="2:17">
      <c r="B459" s="241"/>
      <c r="C459" s="241"/>
      <c r="D459" s="241"/>
      <c r="E459" s="241"/>
      <c r="F459" s="260"/>
      <c r="G459" s="260"/>
      <c r="H459" s="260"/>
      <c r="I459" s="260"/>
      <c r="J459" s="260"/>
      <c r="K459" s="260"/>
      <c r="L459" s="260"/>
      <c r="M459" s="260"/>
      <c r="N459" s="260"/>
      <c r="O459" s="235"/>
      <c r="P459" s="235"/>
      <c r="Q459" s="235"/>
    </row>
    <row r="460" spans="2:17">
      <c r="B460" s="241"/>
      <c r="C460" s="241"/>
      <c r="D460" s="241"/>
      <c r="E460" s="241"/>
      <c r="F460" s="260"/>
      <c r="G460" s="260"/>
      <c r="H460" s="260"/>
      <c r="I460" s="260"/>
      <c r="J460" s="260"/>
      <c r="K460" s="260"/>
      <c r="L460" s="260"/>
      <c r="M460" s="260"/>
      <c r="N460" s="260"/>
      <c r="O460" s="235"/>
      <c r="P460" s="235"/>
      <c r="Q460" s="235"/>
    </row>
    <row r="461" spans="2:17">
      <c r="B461" s="241"/>
      <c r="C461" s="241"/>
      <c r="D461" s="241"/>
      <c r="E461" s="241"/>
      <c r="F461" s="260"/>
      <c r="G461" s="260"/>
      <c r="H461" s="260"/>
      <c r="I461" s="260"/>
      <c r="J461" s="260"/>
      <c r="K461" s="260"/>
      <c r="L461" s="260"/>
      <c r="M461" s="260"/>
      <c r="N461" s="260"/>
      <c r="O461" s="235"/>
      <c r="P461" s="235"/>
      <c r="Q461" s="235"/>
    </row>
    <row r="462" spans="2:17">
      <c r="B462" s="241"/>
      <c r="C462" s="241"/>
      <c r="D462" s="241"/>
      <c r="E462" s="241"/>
      <c r="F462" s="260"/>
      <c r="G462" s="260"/>
      <c r="H462" s="260"/>
      <c r="I462" s="260"/>
      <c r="J462" s="260"/>
      <c r="K462" s="260"/>
      <c r="L462" s="260"/>
      <c r="M462" s="260"/>
      <c r="N462" s="260"/>
      <c r="O462" s="235"/>
      <c r="P462" s="235"/>
      <c r="Q462" s="235"/>
    </row>
    <row r="463" spans="2:17">
      <c r="B463" s="241"/>
      <c r="C463" s="241"/>
      <c r="D463" s="241"/>
      <c r="E463" s="241"/>
      <c r="F463" s="260"/>
      <c r="G463" s="260"/>
      <c r="H463" s="260"/>
      <c r="I463" s="260"/>
      <c r="J463" s="260"/>
      <c r="K463" s="260"/>
      <c r="L463" s="260"/>
      <c r="M463" s="260"/>
      <c r="N463" s="260"/>
      <c r="O463" s="235"/>
      <c r="P463" s="235"/>
      <c r="Q463" s="235"/>
    </row>
    <row r="464" spans="2:17">
      <c r="B464" s="241"/>
      <c r="C464" s="241"/>
      <c r="D464" s="241"/>
      <c r="E464" s="241"/>
      <c r="F464" s="260"/>
      <c r="G464" s="260"/>
      <c r="H464" s="260"/>
      <c r="I464" s="260"/>
      <c r="J464" s="260"/>
      <c r="K464" s="260"/>
      <c r="L464" s="260"/>
      <c r="M464" s="260"/>
      <c r="N464" s="260"/>
      <c r="O464" s="235"/>
      <c r="P464" s="235"/>
      <c r="Q464" s="235"/>
    </row>
    <row r="465" spans="2:17">
      <c r="B465" s="241"/>
      <c r="C465" s="241"/>
      <c r="D465" s="241"/>
      <c r="E465" s="241"/>
      <c r="F465" s="260"/>
      <c r="G465" s="260"/>
      <c r="H465" s="260"/>
      <c r="I465" s="260"/>
      <c r="J465" s="260"/>
      <c r="K465" s="260"/>
      <c r="L465" s="260"/>
      <c r="M465" s="260"/>
      <c r="N465" s="260"/>
      <c r="O465" s="235"/>
      <c r="P465" s="235"/>
      <c r="Q465" s="235"/>
    </row>
    <row r="466" spans="2:17">
      <c r="B466" s="241"/>
      <c r="C466" s="241"/>
      <c r="D466" s="241"/>
      <c r="E466" s="241"/>
      <c r="F466" s="260"/>
      <c r="G466" s="260"/>
      <c r="H466" s="260"/>
      <c r="I466" s="260"/>
      <c r="J466" s="260"/>
      <c r="K466" s="260"/>
      <c r="L466" s="260"/>
      <c r="M466" s="260"/>
      <c r="N466" s="260"/>
      <c r="O466" s="235"/>
      <c r="P466" s="235"/>
      <c r="Q466" s="235"/>
    </row>
    <row r="467" spans="2:17">
      <c r="B467" s="241"/>
      <c r="C467" s="241"/>
      <c r="D467" s="241"/>
      <c r="E467" s="241"/>
      <c r="F467" s="260"/>
      <c r="G467" s="260"/>
      <c r="H467" s="260"/>
      <c r="I467" s="260"/>
      <c r="J467" s="260"/>
      <c r="K467" s="260"/>
      <c r="L467" s="260"/>
      <c r="M467" s="260"/>
      <c r="N467" s="260"/>
      <c r="O467" s="235"/>
      <c r="P467" s="235"/>
      <c r="Q467" s="235"/>
    </row>
    <row r="468" spans="2:17">
      <c r="B468" s="241"/>
      <c r="C468" s="241"/>
      <c r="D468" s="241"/>
      <c r="E468" s="241"/>
      <c r="F468" s="260"/>
      <c r="G468" s="260"/>
      <c r="H468" s="260"/>
      <c r="I468" s="260"/>
      <c r="J468" s="260"/>
      <c r="K468" s="260"/>
      <c r="L468" s="260"/>
      <c r="M468" s="260"/>
      <c r="N468" s="260"/>
      <c r="O468" s="235"/>
      <c r="P468" s="235"/>
      <c r="Q468" s="235"/>
    </row>
    <row r="469" spans="2:17">
      <c r="B469" s="241"/>
      <c r="C469" s="241"/>
      <c r="D469" s="241"/>
      <c r="E469" s="241"/>
      <c r="F469" s="260"/>
      <c r="G469" s="260"/>
      <c r="H469" s="260"/>
      <c r="I469" s="260"/>
      <c r="J469" s="260"/>
      <c r="K469" s="260"/>
      <c r="L469" s="260"/>
      <c r="M469" s="260"/>
      <c r="N469" s="260"/>
      <c r="O469" s="235"/>
      <c r="P469" s="235"/>
      <c r="Q469" s="235"/>
    </row>
    <row r="470" spans="2:17">
      <c r="B470" s="241"/>
      <c r="C470" s="241"/>
      <c r="D470" s="241"/>
      <c r="E470" s="241"/>
      <c r="F470" s="260"/>
      <c r="G470" s="260"/>
      <c r="H470" s="260"/>
      <c r="I470" s="260"/>
      <c r="J470" s="260"/>
      <c r="K470" s="260"/>
      <c r="L470" s="260"/>
      <c r="M470" s="260"/>
      <c r="N470" s="260"/>
      <c r="O470" s="235"/>
      <c r="P470" s="235"/>
      <c r="Q470" s="235"/>
    </row>
    <row r="471" spans="2:17">
      <c r="B471" s="241"/>
      <c r="C471" s="241"/>
      <c r="D471" s="241"/>
      <c r="E471" s="241"/>
      <c r="F471" s="260"/>
      <c r="G471" s="260"/>
      <c r="H471" s="260"/>
      <c r="I471" s="260"/>
      <c r="J471" s="260"/>
      <c r="K471" s="260"/>
      <c r="L471" s="260"/>
      <c r="M471" s="260"/>
      <c r="N471" s="260"/>
      <c r="O471" s="235"/>
      <c r="P471" s="235"/>
      <c r="Q471" s="235"/>
    </row>
    <row r="472" spans="2:17">
      <c r="B472" s="241"/>
      <c r="C472" s="241"/>
      <c r="D472" s="241"/>
      <c r="E472" s="241"/>
      <c r="F472" s="260"/>
      <c r="G472" s="260"/>
      <c r="H472" s="260"/>
      <c r="I472" s="260"/>
      <c r="J472" s="260"/>
      <c r="K472" s="260"/>
      <c r="L472" s="260"/>
      <c r="M472" s="260"/>
      <c r="N472" s="260"/>
      <c r="O472" s="235"/>
      <c r="P472" s="235"/>
      <c r="Q472" s="235"/>
    </row>
    <row r="473" spans="2:17">
      <c r="B473" s="241"/>
      <c r="C473" s="241"/>
      <c r="D473" s="241"/>
      <c r="E473" s="241"/>
      <c r="F473" s="260"/>
      <c r="G473" s="260"/>
      <c r="H473" s="260"/>
      <c r="I473" s="260"/>
      <c r="J473" s="260"/>
      <c r="K473" s="260"/>
      <c r="L473" s="260"/>
      <c r="M473" s="260"/>
      <c r="N473" s="260"/>
      <c r="O473" s="235"/>
      <c r="P473" s="235"/>
      <c r="Q473" s="235"/>
    </row>
    <row r="474" spans="2:17">
      <c r="B474" s="241"/>
      <c r="C474" s="241"/>
      <c r="D474" s="241"/>
      <c r="E474" s="241"/>
      <c r="F474" s="260"/>
      <c r="G474" s="260"/>
      <c r="H474" s="260"/>
      <c r="I474" s="260"/>
      <c r="J474" s="260"/>
      <c r="K474" s="260"/>
      <c r="L474" s="260"/>
      <c r="M474" s="260"/>
      <c r="N474" s="260"/>
      <c r="O474" s="235"/>
      <c r="P474" s="235"/>
      <c r="Q474" s="235"/>
    </row>
    <row r="475" spans="2:17">
      <c r="B475" s="241"/>
      <c r="C475" s="241"/>
      <c r="D475" s="241"/>
      <c r="E475" s="241"/>
      <c r="F475" s="260"/>
      <c r="G475" s="260"/>
      <c r="H475" s="260"/>
      <c r="I475" s="260"/>
      <c r="J475" s="260"/>
      <c r="K475" s="260"/>
      <c r="L475" s="260"/>
      <c r="M475" s="260"/>
      <c r="N475" s="260"/>
      <c r="O475" s="235"/>
      <c r="P475" s="235"/>
      <c r="Q475" s="235"/>
    </row>
    <row r="476" spans="2:17">
      <c r="B476" s="241"/>
      <c r="C476" s="241"/>
      <c r="D476" s="241"/>
      <c r="E476" s="241"/>
      <c r="F476" s="260"/>
      <c r="G476" s="260"/>
      <c r="H476" s="260"/>
      <c r="I476" s="260"/>
      <c r="J476" s="260"/>
      <c r="K476" s="260"/>
      <c r="L476" s="260"/>
      <c r="M476" s="260"/>
      <c r="N476" s="260"/>
      <c r="O476" s="235"/>
      <c r="P476" s="235"/>
      <c r="Q476" s="235"/>
    </row>
    <row r="477" spans="2:17">
      <c r="B477" s="241"/>
      <c r="C477" s="241"/>
      <c r="D477" s="241"/>
      <c r="E477" s="241"/>
      <c r="F477" s="260"/>
      <c r="G477" s="260"/>
      <c r="H477" s="260"/>
      <c r="I477" s="260"/>
      <c r="J477" s="260"/>
      <c r="K477" s="260"/>
      <c r="L477" s="260"/>
      <c r="M477" s="260"/>
      <c r="N477" s="260"/>
      <c r="O477" s="235"/>
      <c r="P477" s="235"/>
      <c r="Q477" s="235"/>
    </row>
    <row r="478" spans="2:17">
      <c r="B478" s="241"/>
      <c r="C478" s="241"/>
      <c r="D478" s="241"/>
      <c r="E478" s="241"/>
      <c r="F478" s="260"/>
      <c r="G478" s="260"/>
      <c r="H478" s="260"/>
      <c r="I478" s="260"/>
      <c r="J478" s="260"/>
      <c r="K478" s="260"/>
      <c r="L478" s="260"/>
      <c r="M478" s="260"/>
      <c r="N478" s="260"/>
      <c r="O478" s="235"/>
      <c r="P478" s="235"/>
      <c r="Q478" s="235"/>
    </row>
    <row r="479" spans="2:17">
      <c r="B479" s="241"/>
      <c r="C479" s="241"/>
      <c r="D479" s="241"/>
      <c r="E479" s="241"/>
      <c r="F479" s="260"/>
      <c r="G479" s="260"/>
      <c r="H479" s="260"/>
      <c r="I479" s="260"/>
      <c r="J479" s="260"/>
      <c r="K479" s="260"/>
      <c r="L479" s="260"/>
      <c r="M479" s="260"/>
      <c r="N479" s="260"/>
      <c r="O479" s="235"/>
      <c r="P479" s="235"/>
      <c r="Q479" s="235"/>
    </row>
    <row r="480" spans="2:17">
      <c r="B480" s="241"/>
      <c r="C480" s="241"/>
      <c r="D480" s="241"/>
      <c r="E480" s="241"/>
      <c r="F480" s="260"/>
      <c r="G480" s="260"/>
      <c r="H480" s="260"/>
      <c r="I480" s="260"/>
      <c r="J480" s="260"/>
      <c r="K480" s="260"/>
      <c r="L480" s="260"/>
      <c r="M480" s="260"/>
      <c r="N480" s="260"/>
      <c r="O480" s="235"/>
      <c r="P480" s="235"/>
      <c r="Q480" s="235"/>
    </row>
    <row r="481" spans="2:17">
      <c r="B481" s="241"/>
      <c r="C481" s="241"/>
      <c r="D481" s="241"/>
      <c r="E481" s="241"/>
      <c r="F481" s="260"/>
      <c r="G481" s="260"/>
      <c r="H481" s="260"/>
      <c r="I481" s="260"/>
      <c r="J481" s="260"/>
      <c r="K481" s="260"/>
      <c r="L481" s="260"/>
      <c r="M481" s="260"/>
      <c r="N481" s="260"/>
      <c r="O481" s="235"/>
      <c r="P481" s="235"/>
      <c r="Q481" s="235"/>
    </row>
    <row r="482" spans="2:17">
      <c r="B482" s="241"/>
      <c r="C482" s="241"/>
      <c r="D482" s="241"/>
      <c r="E482" s="241"/>
      <c r="F482" s="260"/>
      <c r="G482" s="260"/>
      <c r="H482" s="260"/>
      <c r="I482" s="260"/>
      <c r="J482" s="260"/>
      <c r="K482" s="260"/>
      <c r="L482" s="260"/>
      <c r="M482" s="260"/>
      <c r="N482" s="260"/>
      <c r="O482" s="235"/>
      <c r="P482" s="235"/>
      <c r="Q482" s="235"/>
    </row>
    <row r="483" spans="2:17">
      <c r="B483" s="241"/>
      <c r="C483" s="241"/>
      <c r="D483" s="241"/>
      <c r="E483" s="241"/>
      <c r="F483" s="260"/>
      <c r="G483" s="260"/>
      <c r="H483" s="260"/>
      <c r="I483" s="260"/>
      <c r="J483" s="260"/>
      <c r="K483" s="260"/>
      <c r="L483" s="260"/>
      <c r="M483" s="260"/>
      <c r="N483" s="260"/>
      <c r="O483" s="235"/>
      <c r="P483" s="235"/>
      <c r="Q483" s="235"/>
    </row>
    <row r="484" spans="2:17">
      <c r="B484" s="241"/>
      <c r="C484" s="241"/>
      <c r="D484" s="241"/>
      <c r="E484" s="241"/>
      <c r="F484" s="260"/>
      <c r="G484" s="260"/>
      <c r="H484" s="260"/>
      <c r="I484" s="260"/>
      <c r="J484" s="260"/>
      <c r="K484" s="260"/>
      <c r="L484" s="260"/>
      <c r="M484" s="260"/>
      <c r="N484" s="260"/>
      <c r="O484" s="235"/>
      <c r="P484" s="235"/>
      <c r="Q484" s="235"/>
    </row>
    <row r="485" spans="2:17">
      <c r="B485" s="241"/>
      <c r="C485" s="241"/>
      <c r="D485" s="241"/>
      <c r="E485" s="241"/>
      <c r="F485" s="260"/>
      <c r="G485" s="260"/>
      <c r="H485" s="260"/>
      <c r="I485" s="260"/>
      <c r="J485" s="260"/>
      <c r="K485" s="260"/>
      <c r="L485" s="260"/>
      <c r="M485" s="260"/>
      <c r="N485" s="260"/>
      <c r="O485" s="235"/>
      <c r="P485" s="235"/>
      <c r="Q485" s="235"/>
    </row>
    <row r="486" spans="2:17">
      <c r="B486" s="241"/>
      <c r="C486" s="241"/>
      <c r="D486" s="241"/>
      <c r="E486" s="241"/>
      <c r="F486" s="260"/>
      <c r="G486" s="260"/>
      <c r="H486" s="260"/>
      <c r="I486" s="260"/>
      <c r="J486" s="260"/>
      <c r="K486" s="260"/>
      <c r="L486" s="260"/>
      <c r="M486" s="260"/>
      <c r="N486" s="260"/>
      <c r="O486" s="235"/>
      <c r="P486" s="235"/>
      <c r="Q486" s="235"/>
    </row>
    <row r="487" spans="2:17">
      <c r="B487" s="241"/>
      <c r="C487" s="241"/>
      <c r="D487" s="241"/>
      <c r="E487" s="241"/>
      <c r="F487" s="260"/>
      <c r="G487" s="260"/>
      <c r="H487" s="260"/>
      <c r="I487" s="260"/>
      <c r="J487" s="260"/>
      <c r="K487" s="260"/>
      <c r="L487" s="260"/>
      <c r="M487" s="260"/>
      <c r="N487" s="260"/>
      <c r="O487" s="235"/>
      <c r="P487" s="235"/>
      <c r="Q487" s="235"/>
    </row>
    <row r="488" spans="2:17">
      <c r="B488" s="241"/>
      <c r="C488" s="241"/>
      <c r="D488" s="241"/>
      <c r="E488" s="241"/>
      <c r="F488" s="260"/>
      <c r="G488" s="260"/>
      <c r="H488" s="260"/>
      <c r="I488" s="260"/>
      <c r="J488" s="260"/>
      <c r="K488" s="260"/>
      <c r="L488" s="260"/>
      <c r="M488" s="260"/>
      <c r="N488" s="260"/>
      <c r="O488" s="235"/>
      <c r="P488" s="235"/>
      <c r="Q488" s="235"/>
    </row>
    <row r="489" spans="2:17">
      <c r="B489" s="241"/>
      <c r="C489" s="241"/>
      <c r="D489" s="241"/>
      <c r="E489" s="241"/>
      <c r="F489" s="260"/>
      <c r="G489" s="260"/>
      <c r="H489" s="260"/>
      <c r="I489" s="260"/>
      <c r="J489" s="260"/>
      <c r="K489" s="260"/>
      <c r="L489" s="260"/>
      <c r="M489" s="260"/>
      <c r="N489" s="260"/>
      <c r="O489" s="235"/>
      <c r="P489" s="235"/>
      <c r="Q489" s="235"/>
    </row>
    <row r="490" spans="2:17">
      <c r="B490" s="241"/>
      <c r="C490" s="241"/>
      <c r="D490" s="241"/>
      <c r="E490" s="241"/>
      <c r="F490" s="260"/>
      <c r="G490" s="260"/>
      <c r="H490" s="260"/>
      <c r="I490" s="260"/>
      <c r="J490" s="260"/>
      <c r="K490" s="260"/>
      <c r="L490" s="260"/>
      <c r="M490" s="260"/>
      <c r="N490" s="260"/>
      <c r="O490" s="235"/>
      <c r="P490" s="235"/>
      <c r="Q490" s="235"/>
    </row>
    <row r="491" spans="2:17">
      <c r="B491" s="241"/>
      <c r="C491" s="241"/>
      <c r="D491" s="241"/>
      <c r="E491" s="241"/>
      <c r="F491" s="260"/>
      <c r="G491" s="260"/>
      <c r="H491" s="260"/>
      <c r="I491" s="260"/>
      <c r="J491" s="260"/>
      <c r="K491" s="260"/>
      <c r="L491" s="260"/>
      <c r="M491" s="260"/>
      <c r="N491" s="260"/>
      <c r="O491" s="235"/>
      <c r="P491" s="235"/>
      <c r="Q491" s="235"/>
    </row>
    <row r="492" spans="2:17">
      <c r="B492" s="241"/>
      <c r="C492" s="241"/>
      <c r="D492" s="241"/>
      <c r="E492" s="241"/>
      <c r="F492" s="260"/>
      <c r="G492" s="260"/>
      <c r="H492" s="260"/>
      <c r="I492" s="260"/>
      <c r="J492" s="260"/>
      <c r="K492" s="260"/>
      <c r="L492" s="260"/>
      <c r="M492" s="260"/>
      <c r="N492" s="260"/>
      <c r="O492" s="235"/>
      <c r="P492" s="235"/>
      <c r="Q492" s="235"/>
    </row>
    <row r="493" spans="2:17">
      <c r="B493" s="241"/>
      <c r="C493" s="241"/>
      <c r="D493" s="241"/>
      <c r="E493" s="241"/>
      <c r="F493" s="260"/>
      <c r="G493" s="260"/>
      <c r="H493" s="260"/>
      <c r="I493" s="260"/>
      <c r="J493" s="260"/>
      <c r="K493" s="260"/>
      <c r="L493" s="260"/>
      <c r="M493" s="260"/>
      <c r="N493" s="260"/>
      <c r="O493" s="235"/>
      <c r="P493" s="235"/>
      <c r="Q493" s="235"/>
    </row>
    <row r="494" spans="2:17">
      <c r="B494" s="241"/>
      <c r="C494" s="241"/>
      <c r="D494" s="241"/>
      <c r="E494" s="241"/>
      <c r="F494" s="260"/>
      <c r="G494" s="260"/>
      <c r="H494" s="260"/>
      <c r="I494" s="260"/>
      <c r="J494" s="260"/>
      <c r="K494" s="260"/>
      <c r="L494" s="260"/>
      <c r="M494" s="260"/>
      <c r="N494" s="260"/>
      <c r="O494" s="235"/>
      <c r="P494" s="235"/>
      <c r="Q494" s="235"/>
    </row>
    <row r="495" spans="2:17">
      <c r="B495" s="241"/>
      <c r="C495" s="241"/>
      <c r="D495" s="241"/>
      <c r="E495" s="241"/>
      <c r="F495" s="260"/>
      <c r="G495" s="260"/>
      <c r="H495" s="260"/>
      <c r="I495" s="260"/>
      <c r="J495" s="260"/>
      <c r="K495" s="260"/>
      <c r="L495" s="260"/>
      <c r="M495" s="260"/>
      <c r="N495" s="260"/>
      <c r="O495" s="235"/>
      <c r="P495" s="235"/>
      <c r="Q495" s="235"/>
    </row>
    <row r="496" spans="2:17">
      <c r="B496" s="241"/>
      <c r="C496" s="241"/>
      <c r="D496" s="241"/>
      <c r="E496" s="241"/>
      <c r="F496" s="260"/>
      <c r="G496" s="260"/>
      <c r="H496" s="260"/>
      <c r="I496" s="260"/>
      <c r="J496" s="260"/>
      <c r="K496" s="260"/>
      <c r="L496" s="260"/>
      <c r="M496" s="260"/>
      <c r="N496" s="260"/>
      <c r="O496" s="235"/>
      <c r="P496" s="235"/>
      <c r="Q496" s="235"/>
    </row>
    <row r="497" spans="2:17">
      <c r="B497" s="241"/>
      <c r="C497" s="241"/>
      <c r="D497" s="241"/>
      <c r="E497" s="241"/>
      <c r="F497" s="260"/>
      <c r="G497" s="260"/>
      <c r="H497" s="260"/>
      <c r="I497" s="260"/>
      <c r="J497" s="260"/>
      <c r="K497" s="260"/>
      <c r="L497" s="260"/>
      <c r="M497" s="260"/>
      <c r="N497" s="260"/>
      <c r="O497" s="235"/>
      <c r="P497" s="235"/>
      <c r="Q497" s="235"/>
    </row>
    <row r="498" spans="2:17">
      <c r="B498" s="241"/>
      <c r="C498" s="241"/>
      <c r="D498" s="241"/>
      <c r="E498" s="241"/>
      <c r="F498" s="260"/>
      <c r="G498" s="260"/>
      <c r="H498" s="260"/>
      <c r="I498" s="260"/>
      <c r="J498" s="260"/>
      <c r="K498" s="260"/>
      <c r="L498" s="260"/>
      <c r="M498" s="260"/>
      <c r="N498" s="260"/>
      <c r="O498" s="235"/>
      <c r="P498" s="235"/>
      <c r="Q498" s="235"/>
    </row>
    <row r="499" spans="2:17">
      <c r="B499" s="241"/>
      <c r="C499" s="241"/>
      <c r="D499" s="241"/>
      <c r="E499" s="241"/>
      <c r="F499" s="260"/>
      <c r="G499" s="260"/>
      <c r="H499" s="260"/>
      <c r="I499" s="260"/>
      <c r="J499" s="260"/>
      <c r="K499" s="260"/>
      <c r="L499" s="260"/>
      <c r="M499" s="260"/>
      <c r="N499" s="260"/>
      <c r="O499" s="235"/>
      <c r="P499" s="235"/>
      <c r="Q499" s="235"/>
    </row>
    <row r="500" spans="2:17">
      <c r="B500" s="241"/>
      <c r="C500" s="241"/>
      <c r="D500" s="241"/>
      <c r="E500" s="241"/>
      <c r="F500" s="260"/>
      <c r="G500" s="260"/>
      <c r="H500" s="260"/>
      <c r="I500" s="260"/>
      <c r="J500" s="260"/>
      <c r="K500" s="260"/>
      <c r="L500" s="260"/>
      <c r="M500" s="260"/>
      <c r="N500" s="260"/>
      <c r="O500" s="235"/>
      <c r="P500" s="235"/>
      <c r="Q500" s="235"/>
    </row>
    <row r="501" spans="2:17">
      <c r="B501" s="241"/>
      <c r="C501" s="241"/>
      <c r="D501" s="241"/>
      <c r="E501" s="241"/>
      <c r="F501" s="260"/>
      <c r="G501" s="260"/>
      <c r="H501" s="260"/>
      <c r="I501" s="260"/>
      <c r="J501" s="260"/>
      <c r="K501" s="260"/>
      <c r="L501" s="260"/>
      <c r="M501" s="260"/>
      <c r="N501" s="260"/>
      <c r="O501" s="235"/>
      <c r="P501" s="235"/>
      <c r="Q501" s="235"/>
    </row>
    <row r="502" spans="2:17">
      <c r="B502" s="241"/>
      <c r="C502" s="241"/>
      <c r="D502" s="241"/>
      <c r="E502" s="241"/>
      <c r="F502" s="260"/>
      <c r="G502" s="260"/>
      <c r="H502" s="260"/>
      <c r="I502" s="260"/>
      <c r="J502" s="260"/>
      <c r="K502" s="260"/>
      <c r="L502" s="260"/>
      <c r="M502" s="260"/>
      <c r="N502" s="260"/>
      <c r="O502" s="235"/>
      <c r="P502" s="235"/>
      <c r="Q502" s="235"/>
    </row>
    <row r="503" spans="2:17">
      <c r="B503" s="241"/>
      <c r="C503" s="241"/>
      <c r="D503" s="241"/>
      <c r="E503" s="241"/>
      <c r="F503" s="260"/>
      <c r="G503" s="260"/>
      <c r="H503" s="260"/>
      <c r="I503" s="260"/>
      <c r="J503" s="260"/>
      <c r="K503" s="260"/>
      <c r="L503" s="260"/>
      <c r="M503" s="260"/>
      <c r="N503" s="260"/>
      <c r="O503" s="235"/>
      <c r="P503" s="235"/>
      <c r="Q503" s="235"/>
    </row>
    <row r="504" spans="2:17">
      <c r="B504" s="241"/>
      <c r="C504" s="241"/>
      <c r="D504" s="241"/>
      <c r="E504" s="241"/>
      <c r="F504" s="260"/>
      <c r="G504" s="260"/>
      <c r="H504" s="260"/>
      <c r="I504" s="260"/>
      <c r="J504" s="260"/>
      <c r="K504" s="260"/>
      <c r="L504" s="260"/>
      <c r="M504" s="260"/>
      <c r="N504" s="260"/>
      <c r="O504" s="235"/>
      <c r="P504" s="235"/>
      <c r="Q504" s="235"/>
    </row>
    <row r="505" spans="2:17">
      <c r="B505" s="241"/>
      <c r="C505" s="241"/>
      <c r="D505" s="241"/>
      <c r="E505" s="241"/>
      <c r="F505" s="260"/>
      <c r="G505" s="260"/>
      <c r="H505" s="260"/>
      <c r="I505" s="260"/>
      <c r="J505" s="260"/>
      <c r="K505" s="260"/>
      <c r="L505" s="260"/>
      <c r="M505" s="260"/>
      <c r="N505" s="260"/>
      <c r="O505" s="235"/>
      <c r="P505" s="235"/>
      <c r="Q505" s="235"/>
    </row>
    <row r="506" spans="2:17">
      <c r="B506" s="241"/>
      <c r="C506" s="241"/>
      <c r="D506" s="241"/>
      <c r="E506" s="241"/>
      <c r="F506" s="260"/>
      <c r="G506" s="260"/>
      <c r="H506" s="260"/>
      <c r="I506" s="260"/>
      <c r="J506" s="260"/>
      <c r="K506" s="260"/>
      <c r="L506" s="260"/>
      <c r="M506" s="260"/>
      <c r="N506" s="260"/>
      <c r="O506" s="235"/>
      <c r="P506" s="235"/>
      <c r="Q506" s="235"/>
    </row>
    <row r="507" spans="2:17">
      <c r="B507" s="241"/>
      <c r="C507" s="241"/>
      <c r="D507" s="241"/>
      <c r="E507" s="241"/>
      <c r="F507" s="260"/>
      <c r="G507" s="260"/>
      <c r="H507" s="260"/>
      <c r="I507" s="260"/>
      <c r="J507" s="260"/>
      <c r="K507" s="260"/>
      <c r="L507" s="260"/>
      <c r="M507" s="260"/>
      <c r="N507" s="260"/>
      <c r="O507" s="235"/>
      <c r="P507" s="235"/>
      <c r="Q507" s="235"/>
    </row>
    <row r="508" spans="2:17">
      <c r="B508" s="241"/>
      <c r="C508" s="241"/>
      <c r="D508" s="241"/>
      <c r="E508" s="241"/>
      <c r="F508" s="260"/>
      <c r="G508" s="260"/>
      <c r="H508" s="260"/>
      <c r="I508" s="260"/>
      <c r="J508" s="260"/>
      <c r="K508" s="260"/>
      <c r="L508" s="260"/>
      <c r="M508" s="260"/>
      <c r="N508" s="260"/>
      <c r="O508" s="235"/>
      <c r="P508" s="235"/>
      <c r="Q508" s="235"/>
    </row>
    <row r="509" spans="2:17">
      <c r="B509" s="241"/>
      <c r="C509" s="241"/>
      <c r="D509" s="241"/>
      <c r="E509" s="241"/>
      <c r="F509" s="260"/>
      <c r="G509" s="260"/>
      <c r="H509" s="260"/>
      <c r="I509" s="260"/>
      <c r="J509" s="260"/>
      <c r="K509" s="260"/>
      <c r="L509" s="260"/>
      <c r="M509" s="260"/>
      <c r="N509" s="260"/>
      <c r="O509" s="235"/>
      <c r="P509" s="235"/>
      <c r="Q509" s="235"/>
    </row>
    <row r="510" spans="2:17">
      <c r="B510" s="241"/>
      <c r="C510" s="241"/>
      <c r="D510" s="241"/>
      <c r="E510" s="241"/>
      <c r="F510" s="260"/>
      <c r="G510" s="260"/>
      <c r="H510" s="260"/>
      <c r="I510" s="260"/>
      <c r="J510" s="260"/>
      <c r="K510" s="260"/>
      <c r="L510" s="260"/>
      <c r="M510" s="260"/>
      <c r="N510" s="260"/>
      <c r="O510" s="235"/>
      <c r="P510" s="235"/>
      <c r="Q510" s="235"/>
    </row>
    <row r="511" spans="2:17">
      <c r="B511" s="241"/>
      <c r="C511" s="241"/>
      <c r="D511" s="241"/>
      <c r="E511" s="241"/>
      <c r="F511" s="260"/>
      <c r="G511" s="260"/>
      <c r="H511" s="260"/>
      <c r="I511" s="260"/>
      <c r="J511" s="260"/>
      <c r="K511" s="260"/>
      <c r="L511" s="260"/>
      <c r="M511" s="260"/>
      <c r="N511" s="260"/>
      <c r="O511" s="235"/>
      <c r="P511" s="235"/>
      <c r="Q511" s="235"/>
    </row>
    <row r="512" spans="2:17">
      <c r="B512" s="241"/>
      <c r="C512" s="241"/>
      <c r="D512" s="241"/>
      <c r="E512" s="241"/>
      <c r="F512" s="260"/>
      <c r="G512" s="260"/>
      <c r="H512" s="260"/>
      <c r="I512" s="260"/>
      <c r="J512" s="260"/>
      <c r="K512" s="260"/>
      <c r="L512" s="260"/>
      <c r="M512" s="260"/>
      <c r="N512" s="260"/>
      <c r="O512" s="235"/>
      <c r="P512" s="235"/>
      <c r="Q512" s="235"/>
    </row>
    <row r="513" spans="2:17">
      <c r="B513" s="241"/>
      <c r="C513" s="241"/>
      <c r="D513" s="241"/>
      <c r="E513" s="241"/>
      <c r="F513" s="260"/>
      <c r="G513" s="260"/>
      <c r="H513" s="260"/>
      <c r="I513" s="260"/>
      <c r="J513" s="260"/>
      <c r="K513" s="260"/>
      <c r="L513" s="260"/>
      <c r="M513" s="260"/>
      <c r="N513" s="260"/>
      <c r="O513" s="235"/>
      <c r="P513" s="235"/>
      <c r="Q513" s="235"/>
    </row>
    <row r="514" spans="2:17">
      <c r="B514" s="241"/>
      <c r="C514" s="241"/>
      <c r="D514" s="241"/>
      <c r="E514" s="241"/>
      <c r="F514" s="260"/>
      <c r="G514" s="260"/>
      <c r="H514" s="260"/>
      <c r="I514" s="260"/>
      <c r="J514" s="260"/>
      <c r="K514" s="260"/>
      <c r="L514" s="260"/>
      <c r="M514" s="260"/>
      <c r="N514" s="260"/>
      <c r="O514" s="235"/>
      <c r="P514" s="235"/>
      <c r="Q514" s="235"/>
    </row>
    <row r="515" spans="2:17">
      <c r="B515" s="241"/>
      <c r="C515" s="241"/>
      <c r="D515" s="241"/>
      <c r="E515" s="241"/>
      <c r="F515" s="260"/>
      <c r="G515" s="260"/>
      <c r="H515" s="260"/>
      <c r="I515" s="260"/>
      <c r="J515" s="260"/>
      <c r="K515" s="260"/>
      <c r="L515" s="260"/>
      <c r="M515" s="260"/>
      <c r="N515" s="260"/>
      <c r="O515" s="235"/>
      <c r="P515" s="235"/>
      <c r="Q515" s="235"/>
    </row>
    <row r="516" spans="2:17">
      <c r="B516" s="241"/>
      <c r="C516" s="241"/>
      <c r="D516" s="241"/>
      <c r="E516" s="241"/>
      <c r="F516" s="260"/>
      <c r="G516" s="260"/>
      <c r="H516" s="260"/>
      <c r="I516" s="260"/>
      <c r="J516" s="260"/>
      <c r="K516" s="260"/>
      <c r="L516" s="260"/>
      <c r="M516" s="260"/>
      <c r="N516" s="260"/>
      <c r="O516" s="235"/>
      <c r="P516" s="235"/>
      <c r="Q516" s="235"/>
    </row>
    <row r="517" spans="2:17">
      <c r="B517" s="241"/>
      <c r="C517" s="241"/>
      <c r="D517" s="241"/>
      <c r="E517" s="241"/>
      <c r="F517" s="260"/>
      <c r="G517" s="260"/>
      <c r="H517" s="260"/>
      <c r="I517" s="260"/>
      <c r="J517" s="260"/>
      <c r="K517" s="260"/>
      <c r="L517" s="260"/>
      <c r="M517" s="260"/>
      <c r="N517" s="260"/>
      <c r="O517" s="235"/>
      <c r="P517" s="235"/>
      <c r="Q517" s="235"/>
    </row>
    <row r="518" spans="2:17">
      <c r="B518" s="241"/>
      <c r="C518" s="241"/>
      <c r="D518" s="241"/>
      <c r="E518" s="241"/>
      <c r="F518" s="260"/>
      <c r="G518" s="260"/>
      <c r="H518" s="260"/>
      <c r="I518" s="260"/>
      <c r="J518" s="260"/>
      <c r="K518" s="260"/>
      <c r="L518" s="260"/>
      <c r="M518" s="260"/>
      <c r="N518" s="260"/>
      <c r="O518" s="235"/>
      <c r="P518" s="235"/>
      <c r="Q518" s="235"/>
    </row>
    <row r="519" spans="2:17">
      <c r="B519" s="241"/>
      <c r="C519" s="241"/>
      <c r="D519" s="241"/>
      <c r="E519" s="241"/>
      <c r="F519" s="260"/>
      <c r="G519" s="260"/>
      <c r="H519" s="260"/>
      <c r="I519" s="260"/>
      <c r="J519" s="260"/>
      <c r="K519" s="260"/>
      <c r="L519" s="260"/>
      <c r="M519" s="260"/>
      <c r="N519" s="260"/>
      <c r="O519" s="235"/>
      <c r="P519" s="235"/>
      <c r="Q519" s="235"/>
    </row>
    <row r="520" spans="2:17">
      <c r="B520" s="241"/>
      <c r="C520" s="241"/>
      <c r="D520" s="241"/>
      <c r="E520" s="241"/>
      <c r="F520" s="260"/>
      <c r="G520" s="260"/>
      <c r="H520" s="260"/>
      <c r="I520" s="260"/>
      <c r="J520" s="260"/>
      <c r="K520" s="260"/>
      <c r="L520" s="260"/>
      <c r="M520" s="260"/>
      <c r="N520" s="260"/>
      <c r="O520" s="235"/>
      <c r="P520" s="235"/>
      <c r="Q520" s="235"/>
    </row>
    <row r="521" spans="2:17">
      <c r="B521" s="241"/>
      <c r="C521" s="241"/>
      <c r="D521" s="241"/>
      <c r="E521" s="241"/>
      <c r="F521" s="260"/>
      <c r="G521" s="260"/>
      <c r="H521" s="260"/>
      <c r="I521" s="260"/>
      <c r="J521" s="260"/>
      <c r="K521" s="260"/>
      <c r="L521" s="260"/>
      <c r="M521" s="260"/>
      <c r="N521" s="260"/>
      <c r="O521" s="235"/>
      <c r="P521" s="235"/>
      <c r="Q521" s="235"/>
    </row>
    <row r="522" spans="2:17">
      <c r="B522" s="241"/>
      <c r="C522" s="241"/>
      <c r="D522" s="241"/>
      <c r="E522" s="241"/>
      <c r="F522" s="260"/>
      <c r="G522" s="260"/>
      <c r="H522" s="260"/>
      <c r="I522" s="260"/>
      <c r="J522" s="260"/>
      <c r="K522" s="260"/>
      <c r="L522" s="260"/>
      <c r="M522" s="260"/>
      <c r="N522" s="260"/>
      <c r="O522" s="235"/>
      <c r="P522" s="235"/>
      <c r="Q522" s="235"/>
    </row>
    <row r="523" spans="2:17">
      <c r="B523" s="241"/>
      <c r="C523" s="241"/>
      <c r="D523" s="241"/>
      <c r="E523" s="241"/>
      <c r="F523" s="260"/>
      <c r="G523" s="260"/>
      <c r="H523" s="260"/>
      <c r="I523" s="260"/>
      <c r="J523" s="260"/>
      <c r="K523" s="260"/>
      <c r="L523" s="260"/>
      <c r="M523" s="260"/>
      <c r="N523" s="260"/>
      <c r="O523" s="235"/>
      <c r="P523" s="235"/>
      <c r="Q523" s="235"/>
    </row>
    <row r="524" spans="2:17">
      <c r="B524" s="241"/>
      <c r="C524" s="241"/>
      <c r="D524" s="241"/>
      <c r="E524" s="241"/>
      <c r="F524" s="260"/>
      <c r="G524" s="260"/>
      <c r="H524" s="260"/>
      <c r="I524" s="260"/>
      <c r="J524" s="260"/>
      <c r="K524" s="260"/>
      <c r="L524" s="260"/>
      <c r="M524" s="260"/>
      <c r="N524" s="260"/>
      <c r="O524" s="235"/>
      <c r="P524" s="235"/>
      <c r="Q524" s="235"/>
    </row>
    <row r="525" spans="2:17">
      <c r="B525" s="241"/>
      <c r="C525" s="241"/>
      <c r="D525" s="241"/>
      <c r="E525" s="241"/>
      <c r="F525" s="260"/>
      <c r="G525" s="260"/>
      <c r="H525" s="260"/>
      <c r="I525" s="260"/>
      <c r="J525" s="260"/>
      <c r="K525" s="260"/>
      <c r="L525" s="260"/>
      <c r="M525" s="260"/>
      <c r="N525" s="260"/>
      <c r="O525" s="235"/>
      <c r="P525" s="235"/>
      <c r="Q525" s="235"/>
    </row>
    <row r="526" spans="2:17">
      <c r="B526" s="241"/>
      <c r="C526" s="241"/>
      <c r="D526" s="241"/>
      <c r="E526" s="241"/>
      <c r="F526" s="260"/>
      <c r="G526" s="260"/>
      <c r="H526" s="260"/>
      <c r="I526" s="260"/>
      <c r="J526" s="260"/>
      <c r="K526" s="260"/>
      <c r="L526" s="260"/>
      <c r="M526" s="260"/>
      <c r="N526" s="260"/>
      <c r="O526" s="235"/>
      <c r="P526" s="235"/>
      <c r="Q526" s="235"/>
    </row>
    <row r="527" spans="2:17">
      <c r="B527" s="241"/>
      <c r="C527" s="241"/>
      <c r="D527" s="241"/>
      <c r="E527" s="241"/>
      <c r="F527" s="260"/>
      <c r="G527" s="260"/>
      <c r="H527" s="260"/>
      <c r="I527" s="260"/>
      <c r="J527" s="260"/>
      <c r="K527" s="260"/>
      <c r="L527" s="260"/>
      <c r="M527" s="260"/>
      <c r="N527" s="260"/>
      <c r="O527" s="235"/>
      <c r="P527" s="235"/>
      <c r="Q527" s="235"/>
    </row>
    <row r="528" spans="2:17">
      <c r="B528" s="241"/>
      <c r="C528" s="241"/>
      <c r="D528" s="241"/>
      <c r="E528" s="241"/>
      <c r="F528" s="260"/>
      <c r="G528" s="260"/>
      <c r="H528" s="260"/>
      <c r="I528" s="260"/>
      <c r="J528" s="260"/>
      <c r="K528" s="260"/>
      <c r="L528" s="260"/>
      <c r="M528" s="260"/>
      <c r="N528" s="260"/>
      <c r="O528" s="235"/>
      <c r="P528" s="235"/>
      <c r="Q528" s="235"/>
    </row>
    <row r="529" spans="2:17">
      <c r="B529" s="241"/>
      <c r="C529" s="241"/>
      <c r="D529" s="241"/>
      <c r="E529" s="241"/>
      <c r="F529" s="260"/>
      <c r="G529" s="260"/>
      <c r="H529" s="260"/>
      <c r="I529" s="260"/>
      <c r="J529" s="260"/>
      <c r="K529" s="260"/>
      <c r="L529" s="260"/>
      <c r="M529" s="260"/>
      <c r="N529" s="260"/>
      <c r="O529" s="235"/>
      <c r="P529" s="235"/>
      <c r="Q529" s="235"/>
    </row>
    <row r="530" spans="2:17">
      <c r="B530" s="241"/>
      <c r="C530" s="241"/>
      <c r="D530" s="241"/>
      <c r="E530" s="241"/>
      <c r="F530" s="260"/>
      <c r="G530" s="260"/>
      <c r="H530" s="260"/>
      <c r="I530" s="260"/>
      <c r="J530" s="260"/>
      <c r="K530" s="260"/>
      <c r="L530" s="260"/>
      <c r="M530" s="260"/>
      <c r="N530" s="260"/>
      <c r="O530" s="235"/>
      <c r="P530" s="235"/>
      <c r="Q530" s="235"/>
    </row>
    <row r="531" spans="2:17">
      <c r="B531" s="241"/>
      <c r="C531" s="241"/>
      <c r="D531" s="241"/>
      <c r="E531" s="241"/>
      <c r="F531" s="260"/>
      <c r="G531" s="260"/>
      <c r="H531" s="260"/>
      <c r="I531" s="260"/>
      <c r="J531" s="260"/>
      <c r="K531" s="260"/>
      <c r="L531" s="260"/>
      <c r="M531" s="260"/>
      <c r="N531" s="260"/>
      <c r="O531" s="235"/>
      <c r="P531" s="235"/>
      <c r="Q531" s="235"/>
    </row>
    <row r="532" spans="2:17">
      <c r="B532" s="241"/>
      <c r="C532" s="241"/>
      <c r="D532" s="241"/>
      <c r="E532" s="241"/>
      <c r="F532" s="260"/>
      <c r="G532" s="260"/>
      <c r="H532" s="260"/>
      <c r="I532" s="260"/>
      <c r="J532" s="260"/>
      <c r="K532" s="260"/>
      <c r="L532" s="260"/>
      <c r="M532" s="260"/>
      <c r="N532" s="260"/>
      <c r="O532" s="235"/>
      <c r="P532" s="235"/>
      <c r="Q532" s="235"/>
    </row>
    <row r="533" spans="2:17">
      <c r="B533" s="241"/>
      <c r="C533" s="241"/>
      <c r="D533" s="241"/>
      <c r="E533" s="241"/>
      <c r="F533" s="260"/>
      <c r="G533" s="260"/>
      <c r="H533" s="260"/>
      <c r="I533" s="260"/>
      <c r="J533" s="260"/>
      <c r="K533" s="260"/>
      <c r="L533" s="260"/>
      <c r="M533" s="260"/>
      <c r="N533" s="260"/>
      <c r="O533" s="235"/>
      <c r="P533" s="235"/>
      <c r="Q533" s="235"/>
    </row>
    <row r="534" spans="2:17">
      <c r="B534" s="241"/>
      <c r="C534" s="241"/>
      <c r="D534" s="241"/>
      <c r="E534" s="241"/>
      <c r="F534" s="260"/>
      <c r="G534" s="260"/>
      <c r="H534" s="260"/>
      <c r="I534" s="260"/>
      <c r="J534" s="260"/>
      <c r="K534" s="260"/>
      <c r="L534" s="260"/>
      <c r="M534" s="260"/>
      <c r="N534" s="260"/>
      <c r="O534" s="235"/>
      <c r="P534" s="235"/>
      <c r="Q534" s="235"/>
    </row>
    <row r="535" spans="2:17">
      <c r="B535" s="241"/>
      <c r="C535" s="241"/>
      <c r="D535" s="241"/>
      <c r="E535" s="241"/>
      <c r="F535" s="260"/>
      <c r="G535" s="260"/>
      <c r="H535" s="260"/>
      <c r="I535" s="260"/>
      <c r="J535" s="260"/>
      <c r="K535" s="260"/>
      <c r="L535" s="260"/>
      <c r="M535" s="260"/>
      <c r="N535" s="260"/>
      <c r="O535" s="235"/>
      <c r="P535" s="235"/>
      <c r="Q535" s="235"/>
    </row>
    <row r="536" spans="2:17">
      <c r="B536" s="241"/>
      <c r="C536" s="241"/>
      <c r="D536" s="241"/>
      <c r="E536" s="241"/>
      <c r="F536" s="260"/>
      <c r="G536" s="260"/>
      <c r="H536" s="260"/>
      <c r="I536" s="260"/>
      <c r="J536" s="260"/>
      <c r="K536" s="260"/>
      <c r="L536" s="260"/>
      <c r="M536" s="260"/>
      <c r="N536" s="260"/>
      <c r="O536" s="235"/>
      <c r="P536" s="235"/>
      <c r="Q536" s="235"/>
    </row>
    <row r="537" spans="2:17">
      <c r="B537" s="241"/>
      <c r="C537" s="241"/>
      <c r="D537" s="241"/>
      <c r="E537" s="241"/>
      <c r="F537" s="260"/>
      <c r="G537" s="260"/>
      <c r="H537" s="260"/>
      <c r="I537" s="260"/>
      <c r="J537" s="260"/>
      <c r="K537" s="260"/>
      <c r="L537" s="260"/>
      <c r="M537" s="260"/>
      <c r="N537" s="260"/>
      <c r="O537" s="235"/>
      <c r="P537" s="235"/>
      <c r="Q537" s="235"/>
    </row>
    <row r="538" spans="2:17">
      <c r="B538" s="241"/>
      <c r="C538" s="241"/>
      <c r="D538" s="241"/>
      <c r="E538" s="241"/>
      <c r="F538" s="260"/>
      <c r="G538" s="260"/>
      <c r="H538" s="260"/>
      <c r="I538" s="260"/>
      <c r="J538" s="260"/>
      <c r="K538" s="260"/>
      <c r="L538" s="260"/>
      <c r="M538" s="260"/>
      <c r="N538" s="260"/>
      <c r="O538" s="235"/>
      <c r="P538" s="235"/>
      <c r="Q538" s="235"/>
    </row>
    <row r="539" spans="2:17">
      <c r="B539" s="241"/>
      <c r="C539" s="241"/>
      <c r="D539" s="241"/>
      <c r="E539" s="241"/>
      <c r="F539" s="260"/>
      <c r="G539" s="260"/>
      <c r="H539" s="260"/>
      <c r="I539" s="260"/>
      <c r="J539" s="260"/>
      <c r="K539" s="260"/>
      <c r="L539" s="260"/>
      <c r="M539" s="260"/>
      <c r="N539" s="260"/>
      <c r="O539" s="235"/>
      <c r="P539" s="235"/>
      <c r="Q539" s="235"/>
    </row>
    <row r="540" spans="2:17">
      <c r="B540" s="241"/>
      <c r="C540" s="241"/>
      <c r="D540" s="241"/>
      <c r="E540" s="241"/>
      <c r="F540" s="260"/>
      <c r="G540" s="260"/>
      <c r="H540" s="260"/>
      <c r="I540" s="260"/>
      <c r="J540" s="260"/>
      <c r="K540" s="260"/>
      <c r="L540" s="260"/>
      <c r="M540" s="260"/>
      <c r="N540" s="260"/>
      <c r="O540" s="235"/>
      <c r="P540" s="235"/>
      <c r="Q540" s="235"/>
    </row>
    <row r="541" spans="2:17">
      <c r="B541" s="241"/>
      <c r="C541" s="241"/>
      <c r="D541" s="241"/>
      <c r="E541" s="241"/>
      <c r="F541" s="260"/>
      <c r="G541" s="260"/>
      <c r="H541" s="260"/>
      <c r="I541" s="260"/>
      <c r="J541" s="260"/>
      <c r="K541" s="260"/>
      <c r="L541" s="260"/>
      <c r="M541" s="260"/>
      <c r="N541" s="260"/>
      <c r="O541" s="235"/>
      <c r="P541" s="235"/>
      <c r="Q541" s="235"/>
    </row>
    <row r="542" spans="2:17">
      <c r="B542" s="241"/>
      <c r="C542" s="241"/>
      <c r="D542" s="241"/>
      <c r="E542" s="241"/>
      <c r="F542" s="260"/>
      <c r="G542" s="260"/>
      <c r="H542" s="260"/>
      <c r="I542" s="260"/>
      <c r="J542" s="260"/>
      <c r="K542" s="260"/>
      <c r="L542" s="260"/>
      <c r="M542" s="260"/>
      <c r="N542" s="260"/>
      <c r="O542" s="235"/>
      <c r="P542" s="235"/>
      <c r="Q542" s="235"/>
    </row>
    <row r="543" spans="2:17">
      <c r="B543" s="241"/>
      <c r="C543" s="241"/>
      <c r="D543" s="241"/>
      <c r="E543" s="241"/>
      <c r="F543" s="260"/>
      <c r="G543" s="260"/>
      <c r="H543" s="260"/>
      <c r="I543" s="260"/>
      <c r="J543" s="260"/>
      <c r="K543" s="260"/>
      <c r="L543" s="260"/>
      <c r="M543" s="260"/>
      <c r="N543" s="260"/>
      <c r="O543" s="235"/>
      <c r="P543" s="235"/>
      <c r="Q543" s="235"/>
    </row>
    <row r="544" spans="2:17">
      <c r="B544" s="241"/>
      <c r="C544" s="241"/>
      <c r="D544" s="241"/>
      <c r="E544" s="241"/>
      <c r="F544" s="260"/>
      <c r="G544" s="260"/>
      <c r="H544" s="260"/>
      <c r="I544" s="260"/>
      <c r="J544" s="260"/>
      <c r="K544" s="260"/>
      <c r="L544" s="260"/>
      <c r="M544" s="260"/>
      <c r="N544" s="260"/>
      <c r="O544" s="235"/>
      <c r="P544" s="235"/>
      <c r="Q544" s="235"/>
    </row>
    <row r="545" spans="2:17">
      <c r="B545" s="241"/>
      <c r="C545" s="241"/>
      <c r="D545" s="241"/>
      <c r="E545" s="241"/>
      <c r="F545" s="260"/>
      <c r="G545" s="260"/>
      <c r="H545" s="260"/>
      <c r="I545" s="260"/>
      <c r="J545" s="260"/>
      <c r="K545" s="260"/>
      <c r="L545" s="260"/>
      <c r="M545" s="260"/>
      <c r="N545" s="260"/>
      <c r="O545" s="235"/>
      <c r="P545" s="235"/>
      <c r="Q545" s="235"/>
    </row>
    <row r="546" spans="2:17">
      <c r="B546" s="241"/>
      <c r="C546" s="241"/>
      <c r="D546" s="241"/>
      <c r="E546" s="241"/>
      <c r="F546" s="260"/>
      <c r="G546" s="260"/>
      <c r="H546" s="260"/>
      <c r="I546" s="260"/>
      <c r="J546" s="260"/>
      <c r="K546" s="260"/>
      <c r="L546" s="260"/>
      <c r="M546" s="260"/>
      <c r="N546" s="260"/>
      <c r="O546" s="235"/>
      <c r="P546" s="235"/>
      <c r="Q546" s="235"/>
    </row>
    <row r="547" spans="2:17">
      <c r="B547" s="241"/>
      <c r="C547" s="241"/>
      <c r="D547" s="241"/>
      <c r="E547" s="241"/>
      <c r="F547" s="260"/>
      <c r="G547" s="260"/>
      <c r="H547" s="260"/>
      <c r="I547" s="260"/>
      <c r="J547" s="260"/>
      <c r="K547" s="260"/>
      <c r="L547" s="260"/>
      <c r="M547" s="260"/>
      <c r="N547" s="260"/>
      <c r="O547" s="235"/>
      <c r="P547" s="235"/>
      <c r="Q547" s="235"/>
    </row>
    <row r="548" spans="2:17">
      <c r="B548" s="241"/>
      <c r="C548" s="241"/>
      <c r="D548" s="241"/>
      <c r="E548" s="241"/>
      <c r="F548" s="260"/>
      <c r="G548" s="260"/>
      <c r="H548" s="260"/>
      <c r="I548" s="260"/>
      <c r="J548" s="260"/>
      <c r="K548" s="260"/>
      <c r="L548" s="260"/>
      <c r="M548" s="260"/>
      <c r="N548" s="260"/>
      <c r="O548" s="235"/>
      <c r="P548" s="235"/>
      <c r="Q548" s="235"/>
    </row>
    <row r="549" spans="2:17">
      <c r="B549" s="241"/>
      <c r="C549" s="241"/>
      <c r="D549" s="241"/>
      <c r="E549" s="241"/>
      <c r="F549" s="260"/>
      <c r="G549" s="260"/>
      <c r="H549" s="260"/>
      <c r="I549" s="260"/>
      <c r="J549" s="260"/>
      <c r="K549" s="260"/>
      <c r="L549" s="260"/>
      <c r="M549" s="260"/>
      <c r="N549" s="260"/>
      <c r="O549" s="235"/>
      <c r="P549" s="235"/>
      <c r="Q549" s="235"/>
    </row>
    <row r="550" spans="2:17">
      <c r="B550" s="241"/>
      <c r="C550" s="241"/>
      <c r="D550" s="241"/>
      <c r="E550" s="241"/>
      <c r="F550" s="260"/>
      <c r="G550" s="260"/>
      <c r="H550" s="260"/>
      <c r="I550" s="260"/>
      <c r="J550" s="260"/>
      <c r="K550" s="260"/>
      <c r="L550" s="260"/>
      <c r="M550" s="260"/>
      <c r="N550" s="260"/>
      <c r="O550" s="235"/>
      <c r="P550" s="235"/>
      <c r="Q550" s="235"/>
    </row>
    <row r="551" spans="2:17">
      <c r="B551" s="241"/>
      <c r="C551" s="241"/>
      <c r="D551" s="241"/>
      <c r="E551" s="241"/>
      <c r="F551" s="260"/>
      <c r="G551" s="260"/>
      <c r="H551" s="260"/>
      <c r="I551" s="260"/>
      <c r="J551" s="260"/>
      <c r="K551" s="260"/>
      <c r="L551" s="260"/>
      <c r="M551" s="260"/>
      <c r="N551" s="260"/>
      <c r="O551" s="235"/>
      <c r="P551" s="235"/>
      <c r="Q551" s="235"/>
    </row>
    <row r="552" spans="2:17">
      <c r="B552" s="241"/>
      <c r="C552" s="241"/>
      <c r="D552" s="241"/>
      <c r="E552" s="241"/>
      <c r="F552" s="260"/>
      <c r="G552" s="260"/>
      <c r="H552" s="260"/>
      <c r="I552" s="260"/>
      <c r="J552" s="260"/>
      <c r="K552" s="260"/>
      <c r="L552" s="260"/>
      <c r="M552" s="260"/>
      <c r="N552" s="260"/>
      <c r="O552" s="235"/>
      <c r="P552" s="235"/>
      <c r="Q552" s="235"/>
    </row>
    <row r="553" spans="2:17">
      <c r="B553" s="241"/>
      <c r="C553" s="241"/>
      <c r="D553" s="241"/>
      <c r="E553" s="241"/>
      <c r="F553" s="260"/>
      <c r="G553" s="260"/>
      <c r="H553" s="260"/>
      <c r="I553" s="260"/>
      <c r="J553" s="260"/>
      <c r="K553" s="260"/>
      <c r="L553" s="260"/>
      <c r="M553" s="260"/>
      <c r="N553" s="260"/>
      <c r="O553" s="235"/>
      <c r="P553" s="235"/>
      <c r="Q553" s="235"/>
    </row>
    <row r="554" spans="2:17">
      <c r="B554" s="241"/>
      <c r="C554" s="241"/>
      <c r="D554" s="241"/>
      <c r="E554" s="241"/>
      <c r="F554" s="260"/>
      <c r="G554" s="260"/>
      <c r="H554" s="260"/>
      <c r="I554" s="260"/>
      <c r="J554" s="260"/>
      <c r="K554" s="260"/>
      <c r="L554" s="260"/>
      <c r="M554" s="260"/>
      <c r="N554" s="260"/>
      <c r="O554" s="235"/>
      <c r="P554" s="235"/>
      <c r="Q554" s="235"/>
    </row>
    <row r="555" spans="2:17">
      <c r="B555" s="241"/>
      <c r="C555" s="241"/>
      <c r="D555" s="241"/>
      <c r="E555" s="241"/>
      <c r="F555" s="260"/>
      <c r="G555" s="260"/>
      <c r="H555" s="260"/>
      <c r="I555" s="260"/>
      <c r="J555" s="260"/>
      <c r="K555" s="260"/>
      <c r="L555" s="260"/>
      <c r="M555" s="260"/>
      <c r="N555" s="260"/>
      <c r="O555" s="235"/>
      <c r="P555" s="235"/>
      <c r="Q555" s="235"/>
    </row>
    <row r="556" spans="2:17">
      <c r="B556" s="241"/>
      <c r="C556" s="241"/>
      <c r="D556" s="241"/>
      <c r="E556" s="241"/>
      <c r="F556" s="260"/>
      <c r="G556" s="260"/>
      <c r="H556" s="260"/>
      <c r="I556" s="260"/>
      <c r="J556" s="260"/>
      <c r="K556" s="260"/>
      <c r="L556" s="260"/>
      <c r="M556" s="260"/>
      <c r="N556" s="260"/>
      <c r="O556" s="235"/>
      <c r="P556" s="235"/>
      <c r="Q556" s="235"/>
    </row>
    <row r="557" spans="2:17">
      <c r="B557" s="241"/>
      <c r="C557" s="241"/>
      <c r="D557" s="241"/>
      <c r="E557" s="241"/>
      <c r="F557" s="260"/>
      <c r="G557" s="260"/>
      <c r="H557" s="260"/>
      <c r="I557" s="260"/>
      <c r="J557" s="260"/>
      <c r="K557" s="260"/>
      <c r="L557" s="260"/>
      <c r="M557" s="260"/>
      <c r="N557" s="260"/>
      <c r="O557" s="235"/>
      <c r="P557" s="235"/>
      <c r="Q557" s="235"/>
    </row>
    <row r="558" spans="2:17">
      <c r="B558" s="241"/>
      <c r="C558" s="241"/>
      <c r="D558" s="241"/>
      <c r="E558" s="241"/>
      <c r="F558" s="260"/>
      <c r="G558" s="260"/>
      <c r="H558" s="260"/>
      <c r="I558" s="260"/>
      <c r="J558" s="260"/>
      <c r="K558" s="260"/>
      <c r="L558" s="260"/>
      <c r="M558" s="260"/>
      <c r="N558" s="260"/>
      <c r="O558" s="235"/>
      <c r="P558" s="235"/>
      <c r="Q558" s="235"/>
    </row>
    <row r="559" spans="2:17">
      <c r="B559" s="241"/>
      <c r="C559" s="241"/>
      <c r="D559" s="241"/>
      <c r="E559" s="241"/>
      <c r="F559" s="260"/>
      <c r="G559" s="260"/>
      <c r="H559" s="260"/>
      <c r="I559" s="260"/>
      <c r="J559" s="260"/>
      <c r="K559" s="260"/>
      <c r="L559" s="260"/>
      <c r="M559" s="260"/>
      <c r="N559" s="260"/>
      <c r="O559" s="235"/>
      <c r="P559" s="235"/>
      <c r="Q559" s="235"/>
    </row>
    <row r="560" spans="2:17">
      <c r="B560" s="241"/>
      <c r="C560" s="241"/>
      <c r="D560" s="241"/>
      <c r="E560" s="241"/>
      <c r="F560" s="260"/>
      <c r="G560" s="260"/>
      <c r="H560" s="260"/>
      <c r="I560" s="260"/>
      <c r="J560" s="260"/>
      <c r="K560" s="260"/>
      <c r="L560" s="260"/>
      <c r="M560" s="260"/>
      <c r="N560" s="260"/>
      <c r="O560" s="235"/>
      <c r="P560" s="235"/>
      <c r="Q560" s="235"/>
    </row>
    <row r="561" spans="2:17">
      <c r="B561" s="241"/>
      <c r="C561" s="241"/>
      <c r="D561" s="241"/>
      <c r="E561" s="241"/>
      <c r="F561" s="260"/>
      <c r="G561" s="260"/>
      <c r="H561" s="260"/>
      <c r="I561" s="260"/>
      <c r="J561" s="260"/>
      <c r="K561" s="260"/>
      <c r="L561" s="260"/>
      <c r="M561" s="260"/>
      <c r="N561" s="260"/>
      <c r="O561" s="235"/>
      <c r="P561" s="235"/>
      <c r="Q561" s="235"/>
    </row>
    <row r="562" spans="2:17">
      <c r="B562" s="241"/>
      <c r="C562" s="241"/>
      <c r="D562" s="241"/>
      <c r="E562" s="241"/>
      <c r="F562" s="260"/>
      <c r="G562" s="260"/>
      <c r="H562" s="260"/>
      <c r="I562" s="260"/>
      <c r="J562" s="260"/>
      <c r="K562" s="260"/>
      <c r="L562" s="260"/>
      <c r="M562" s="260"/>
      <c r="N562" s="260"/>
      <c r="O562" s="235"/>
      <c r="P562" s="235"/>
      <c r="Q562" s="235"/>
    </row>
    <row r="563" spans="2:17">
      <c r="B563" s="241"/>
      <c r="C563" s="241"/>
      <c r="D563" s="241"/>
      <c r="E563" s="241"/>
      <c r="F563" s="260"/>
      <c r="G563" s="260"/>
      <c r="H563" s="260"/>
      <c r="I563" s="260"/>
      <c r="J563" s="260"/>
      <c r="K563" s="260"/>
      <c r="L563" s="260"/>
      <c r="M563" s="260"/>
      <c r="N563" s="260"/>
      <c r="O563" s="235"/>
      <c r="P563" s="235"/>
      <c r="Q563" s="235"/>
    </row>
    <row r="564" spans="2:17">
      <c r="B564" s="241"/>
      <c r="C564" s="241"/>
      <c r="D564" s="241"/>
      <c r="E564" s="241"/>
      <c r="F564" s="260"/>
      <c r="G564" s="260"/>
      <c r="H564" s="260"/>
      <c r="I564" s="260"/>
      <c r="J564" s="260"/>
      <c r="K564" s="260"/>
      <c r="L564" s="260"/>
      <c r="M564" s="260"/>
      <c r="N564" s="260"/>
      <c r="O564" s="235"/>
      <c r="P564" s="235"/>
      <c r="Q564" s="235"/>
    </row>
    <row r="565" spans="2:17">
      <c r="B565" s="241"/>
      <c r="C565" s="241"/>
      <c r="D565" s="241"/>
      <c r="E565" s="241"/>
      <c r="F565" s="260"/>
      <c r="G565" s="260"/>
      <c r="H565" s="260"/>
      <c r="I565" s="260"/>
      <c r="J565" s="260"/>
      <c r="K565" s="260"/>
      <c r="L565" s="260"/>
      <c r="M565" s="260"/>
      <c r="N565" s="260"/>
      <c r="O565" s="235"/>
      <c r="P565" s="235"/>
      <c r="Q565" s="235"/>
    </row>
    <row r="566" spans="2:17">
      <c r="B566" s="241"/>
      <c r="C566" s="241"/>
      <c r="D566" s="241"/>
      <c r="E566" s="241"/>
      <c r="F566" s="260"/>
      <c r="G566" s="260"/>
      <c r="H566" s="260"/>
      <c r="I566" s="260"/>
      <c r="J566" s="260"/>
      <c r="K566" s="260"/>
      <c r="L566" s="260"/>
      <c r="M566" s="260"/>
      <c r="N566" s="260"/>
      <c r="O566" s="235"/>
      <c r="P566" s="235"/>
      <c r="Q566" s="235"/>
    </row>
    <row r="567" spans="2:17">
      <c r="B567" s="241"/>
      <c r="C567" s="241"/>
      <c r="D567" s="241"/>
      <c r="E567" s="241"/>
      <c r="F567" s="260"/>
      <c r="G567" s="260"/>
      <c r="H567" s="260"/>
      <c r="I567" s="260"/>
      <c r="J567" s="260"/>
      <c r="K567" s="260"/>
      <c r="L567" s="260"/>
      <c r="M567" s="260"/>
      <c r="N567" s="260"/>
      <c r="O567" s="235"/>
      <c r="P567" s="235"/>
      <c r="Q567" s="235"/>
    </row>
    <row r="568" spans="2:17">
      <c r="B568" s="241"/>
      <c r="C568" s="241"/>
      <c r="D568" s="241"/>
      <c r="E568" s="241"/>
      <c r="F568" s="260"/>
      <c r="G568" s="260"/>
      <c r="H568" s="260"/>
      <c r="I568" s="260"/>
      <c r="J568" s="260"/>
      <c r="K568" s="260"/>
      <c r="L568" s="260"/>
      <c r="M568" s="260"/>
      <c r="N568" s="260"/>
      <c r="O568" s="235"/>
      <c r="P568" s="235"/>
      <c r="Q568" s="235"/>
    </row>
    <row r="569" spans="2:17">
      <c r="B569" s="241"/>
      <c r="C569" s="241"/>
      <c r="D569" s="241"/>
      <c r="E569" s="241"/>
      <c r="F569" s="260"/>
      <c r="G569" s="260"/>
      <c r="H569" s="260"/>
      <c r="I569" s="260"/>
      <c r="J569" s="260"/>
      <c r="K569" s="260"/>
      <c r="L569" s="260"/>
      <c r="M569" s="260"/>
      <c r="N569" s="260"/>
      <c r="O569" s="235"/>
      <c r="P569" s="235"/>
      <c r="Q569" s="235"/>
    </row>
    <row r="570" spans="2:17">
      <c r="B570" s="241"/>
      <c r="C570" s="241"/>
      <c r="D570" s="241"/>
      <c r="E570" s="241"/>
      <c r="F570" s="260"/>
      <c r="G570" s="260"/>
      <c r="H570" s="260"/>
      <c r="I570" s="260"/>
      <c r="J570" s="260"/>
      <c r="K570" s="260"/>
      <c r="L570" s="260"/>
      <c r="M570" s="260"/>
      <c r="N570" s="260"/>
      <c r="O570" s="235"/>
      <c r="P570" s="235"/>
      <c r="Q570" s="235"/>
    </row>
    <row r="571" spans="2:17">
      <c r="B571" s="241"/>
      <c r="C571" s="241"/>
      <c r="D571" s="241"/>
      <c r="E571" s="241"/>
      <c r="F571" s="260"/>
      <c r="G571" s="260"/>
      <c r="H571" s="260"/>
      <c r="I571" s="260"/>
      <c r="J571" s="260"/>
      <c r="K571" s="260"/>
      <c r="L571" s="260"/>
      <c r="M571" s="260"/>
      <c r="N571" s="260"/>
      <c r="O571" s="235"/>
      <c r="P571" s="235"/>
      <c r="Q571" s="235"/>
    </row>
    <row r="572" spans="2:17">
      <c r="B572" s="241"/>
      <c r="C572" s="241"/>
      <c r="D572" s="241"/>
      <c r="E572" s="241"/>
      <c r="F572" s="260"/>
      <c r="G572" s="260"/>
      <c r="H572" s="260"/>
      <c r="I572" s="260"/>
      <c r="J572" s="260"/>
      <c r="K572" s="260"/>
      <c r="L572" s="260"/>
      <c r="M572" s="260"/>
      <c r="N572" s="260"/>
      <c r="O572" s="235"/>
      <c r="P572" s="235"/>
      <c r="Q572" s="235"/>
    </row>
    <row r="573" spans="2:17">
      <c r="B573" s="241"/>
      <c r="C573" s="241"/>
      <c r="D573" s="241"/>
      <c r="E573" s="241"/>
      <c r="F573" s="260"/>
      <c r="G573" s="260"/>
      <c r="H573" s="260"/>
      <c r="I573" s="260"/>
      <c r="J573" s="260"/>
      <c r="K573" s="260"/>
      <c r="L573" s="260"/>
      <c r="M573" s="260"/>
      <c r="N573" s="260"/>
      <c r="O573" s="235"/>
      <c r="P573" s="235"/>
      <c r="Q573" s="235"/>
    </row>
    <row r="574" spans="2:17">
      <c r="B574" s="241"/>
      <c r="C574" s="241"/>
      <c r="D574" s="241"/>
      <c r="E574" s="241"/>
      <c r="F574" s="260"/>
      <c r="G574" s="260"/>
      <c r="H574" s="260"/>
      <c r="I574" s="260"/>
      <c r="J574" s="260"/>
      <c r="K574" s="260"/>
      <c r="L574" s="260"/>
      <c r="M574" s="260"/>
      <c r="N574" s="260"/>
      <c r="O574" s="235"/>
      <c r="P574" s="235"/>
      <c r="Q574" s="235"/>
    </row>
    <row r="575" spans="2:17">
      <c r="B575" s="241"/>
      <c r="C575" s="241"/>
      <c r="D575" s="241"/>
      <c r="E575" s="241"/>
      <c r="F575" s="260"/>
      <c r="G575" s="260"/>
      <c r="H575" s="260"/>
      <c r="I575" s="260"/>
      <c r="J575" s="260"/>
      <c r="K575" s="260"/>
      <c r="L575" s="260"/>
      <c r="M575" s="260"/>
      <c r="N575" s="260"/>
      <c r="O575" s="235"/>
      <c r="P575" s="235"/>
      <c r="Q575" s="235"/>
    </row>
    <row r="576" spans="2:17">
      <c r="B576" s="241"/>
      <c r="C576" s="241"/>
      <c r="D576" s="241"/>
      <c r="E576" s="241"/>
      <c r="F576" s="260"/>
      <c r="G576" s="260"/>
      <c r="H576" s="260"/>
      <c r="I576" s="260"/>
      <c r="J576" s="260"/>
      <c r="K576" s="260"/>
      <c r="L576" s="260"/>
      <c r="M576" s="260"/>
      <c r="N576" s="260"/>
      <c r="O576" s="235"/>
      <c r="P576" s="235"/>
      <c r="Q576" s="235"/>
    </row>
    <row r="577" spans="2:17">
      <c r="B577" s="241"/>
      <c r="C577" s="241"/>
      <c r="D577" s="241"/>
      <c r="E577" s="241"/>
      <c r="F577" s="260"/>
      <c r="G577" s="260"/>
      <c r="H577" s="260"/>
      <c r="I577" s="260"/>
      <c r="J577" s="260"/>
      <c r="K577" s="260"/>
      <c r="L577" s="260"/>
      <c r="M577" s="260"/>
      <c r="N577" s="260"/>
      <c r="O577" s="235"/>
      <c r="P577" s="235"/>
      <c r="Q577" s="235"/>
    </row>
    <row r="578" spans="2:17">
      <c r="B578" s="241"/>
      <c r="C578" s="241"/>
      <c r="D578" s="241"/>
      <c r="E578" s="241"/>
      <c r="F578" s="260"/>
      <c r="G578" s="260"/>
      <c r="H578" s="260"/>
      <c r="I578" s="260"/>
      <c r="J578" s="260"/>
      <c r="K578" s="260"/>
      <c r="L578" s="260"/>
      <c r="M578" s="260"/>
      <c r="N578" s="260"/>
      <c r="O578" s="235"/>
      <c r="P578" s="235"/>
      <c r="Q578" s="235"/>
    </row>
    <row r="579" spans="2:17">
      <c r="B579" s="241"/>
      <c r="C579" s="241"/>
      <c r="D579" s="241"/>
      <c r="E579" s="241"/>
      <c r="F579" s="260"/>
      <c r="G579" s="260"/>
      <c r="H579" s="260"/>
      <c r="I579" s="260"/>
      <c r="J579" s="260"/>
      <c r="K579" s="260"/>
      <c r="L579" s="260"/>
      <c r="M579" s="260"/>
      <c r="N579" s="260"/>
      <c r="O579" s="235"/>
      <c r="P579" s="235"/>
      <c r="Q579" s="235"/>
    </row>
    <row r="580" spans="2:17">
      <c r="B580" s="241"/>
      <c r="C580" s="241"/>
      <c r="D580" s="241"/>
      <c r="E580" s="241"/>
      <c r="F580" s="260"/>
      <c r="G580" s="260"/>
      <c r="H580" s="260"/>
      <c r="I580" s="260"/>
      <c r="J580" s="260"/>
      <c r="K580" s="260"/>
      <c r="L580" s="260"/>
      <c r="M580" s="260"/>
      <c r="N580" s="260"/>
      <c r="O580" s="235"/>
      <c r="P580" s="235"/>
      <c r="Q580" s="235"/>
    </row>
    <row r="581" spans="2:17">
      <c r="B581" s="241"/>
      <c r="C581" s="241"/>
      <c r="D581" s="241"/>
      <c r="E581" s="241"/>
      <c r="F581" s="260"/>
      <c r="G581" s="260"/>
      <c r="H581" s="260"/>
      <c r="I581" s="260"/>
      <c r="J581" s="260"/>
      <c r="K581" s="260"/>
      <c r="L581" s="260"/>
      <c r="M581" s="260"/>
      <c r="N581" s="260"/>
      <c r="O581" s="235"/>
      <c r="P581" s="235"/>
      <c r="Q581" s="235"/>
    </row>
    <row r="582" spans="2:17">
      <c r="B582" s="241"/>
      <c r="C582" s="241"/>
      <c r="D582" s="241"/>
      <c r="E582" s="241"/>
      <c r="F582" s="260"/>
      <c r="G582" s="260"/>
      <c r="H582" s="260"/>
      <c r="I582" s="260"/>
      <c r="J582" s="260"/>
      <c r="K582" s="260"/>
      <c r="L582" s="260"/>
      <c r="M582" s="260"/>
      <c r="N582" s="260"/>
      <c r="O582" s="235"/>
      <c r="P582" s="235"/>
      <c r="Q582" s="235"/>
    </row>
    <row r="583" spans="2:17">
      <c r="B583" s="241"/>
      <c r="C583" s="241"/>
      <c r="D583" s="241"/>
      <c r="E583" s="241"/>
      <c r="F583" s="260"/>
      <c r="G583" s="260"/>
      <c r="H583" s="260"/>
      <c r="I583" s="260"/>
      <c r="J583" s="260"/>
      <c r="K583" s="260"/>
      <c r="L583" s="260"/>
      <c r="M583" s="260"/>
      <c r="N583" s="260"/>
      <c r="O583" s="235"/>
      <c r="P583" s="235"/>
      <c r="Q583" s="235"/>
    </row>
    <row r="584" spans="2:17">
      <c r="B584" s="241"/>
      <c r="C584" s="241"/>
      <c r="D584" s="241"/>
      <c r="E584" s="241"/>
      <c r="F584" s="260"/>
      <c r="G584" s="260"/>
      <c r="H584" s="260"/>
      <c r="I584" s="260"/>
      <c r="J584" s="260"/>
      <c r="K584" s="260"/>
      <c r="L584" s="260"/>
      <c r="M584" s="260"/>
      <c r="N584" s="260"/>
      <c r="O584" s="235"/>
      <c r="P584" s="235"/>
      <c r="Q584" s="235"/>
    </row>
    <row r="585" spans="2:17">
      <c r="B585" s="241"/>
      <c r="C585" s="241"/>
      <c r="D585" s="241"/>
      <c r="E585" s="241"/>
      <c r="F585" s="260"/>
      <c r="G585" s="260"/>
      <c r="H585" s="260"/>
      <c r="I585" s="260"/>
      <c r="J585" s="260"/>
      <c r="K585" s="260"/>
      <c r="L585" s="260"/>
      <c r="M585" s="260"/>
      <c r="N585" s="260"/>
      <c r="O585" s="235"/>
      <c r="P585" s="235"/>
      <c r="Q585" s="235"/>
    </row>
    <row r="586" spans="2:17">
      <c r="B586" s="241"/>
      <c r="C586" s="241"/>
      <c r="D586" s="241"/>
      <c r="E586" s="241"/>
      <c r="F586" s="260"/>
      <c r="G586" s="260"/>
      <c r="H586" s="260"/>
      <c r="I586" s="260"/>
      <c r="J586" s="260"/>
      <c r="K586" s="260"/>
      <c r="L586" s="260"/>
      <c r="M586" s="260"/>
      <c r="N586" s="260"/>
      <c r="O586" s="235"/>
      <c r="P586" s="235"/>
      <c r="Q586" s="235"/>
    </row>
    <row r="587" spans="2:17">
      <c r="B587" s="241"/>
      <c r="C587" s="241"/>
      <c r="D587" s="241"/>
      <c r="E587" s="241"/>
      <c r="F587" s="260"/>
      <c r="G587" s="260"/>
      <c r="H587" s="260"/>
      <c r="I587" s="260"/>
      <c r="J587" s="260"/>
      <c r="K587" s="260"/>
      <c r="L587" s="260"/>
      <c r="M587" s="260"/>
      <c r="N587" s="260"/>
      <c r="O587" s="235"/>
      <c r="P587" s="235"/>
      <c r="Q587" s="235"/>
    </row>
    <row r="588" spans="2:17">
      <c r="B588" s="241"/>
      <c r="C588" s="241"/>
      <c r="D588" s="241"/>
      <c r="E588" s="241"/>
      <c r="F588" s="260"/>
      <c r="G588" s="260"/>
      <c r="H588" s="260"/>
      <c r="I588" s="260"/>
      <c r="J588" s="260"/>
      <c r="K588" s="260"/>
      <c r="L588" s="260"/>
      <c r="M588" s="260"/>
      <c r="N588" s="260"/>
      <c r="O588" s="235"/>
      <c r="P588" s="235"/>
      <c r="Q588" s="235"/>
    </row>
    <row r="589" spans="2:17">
      <c r="B589" s="241"/>
      <c r="C589" s="241"/>
      <c r="D589" s="241"/>
      <c r="E589" s="241"/>
      <c r="F589" s="260"/>
      <c r="G589" s="260"/>
      <c r="H589" s="260"/>
      <c r="I589" s="260"/>
      <c r="J589" s="260"/>
      <c r="K589" s="260"/>
      <c r="L589" s="260"/>
      <c r="M589" s="260"/>
      <c r="N589" s="260"/>
      <c r="O589" s="235"/>
      <c r="P589" s="235"/>
      <c r="Q589" s="235"/>
    </row>
    <row r="590" spans="2:17">
      <c r="B590" s="241"/>
      <c r="C590" s="241"/>
      <c r="D590" s="241"/>
      <c r="E590" s="241"/>
      <c r="F590" s="260"/>
      <c r="G590" s="260"/>
      <c r="H590" s="260"/>
      <c r="I590" s="260"/>
      <c r="J590" s="260"/>
      <c r="K590" s="260"/>
      <c r="L590" s="260"/>
      <c r="M590" s="260"/>
      <c r="N590" s="260"/>
      <c r="O590" s="235"/>
      <c r="P590" s="235"/>
      <c r="Q590" s="235"/>
    </row>
    <row r="591" spans="2:17">
      <c r="B591" s="241"/>
      <c r="C591" s="241"/>
      <c r="D591" s="241"/>
      <c r="E591" s="241"/>
      <c r="F591" s="260"/>
      <c r="G591" s="260"/>
      <c r="H591" s="260"/>
      <c r="I591" s="260"/>
      <c r="J591" s="260"/>
      <c r="K591" s="260"/>
      <c r="L591" s="260"/>
      <c r="M591" s="260"/>
      <c r="N591" s="260"/>
      <c r="O591" s="235"/>
      <c r="P591" s="235"/>
      <c r="Q591" s="235"/>
    </row>
    <row r="592" spans="2:17">
      <c r="B592" s="241"/>
      <c r="C592" s="241"/>
      <c r="D592" s="241"/>
      <c r="E592" s="241"/>
      <c r="F592" s="260"/>
      <c r="G592" s="260"/>
      <c r="H592" s="260"/>
      <c r="I592" s="260"/>
      <c r="J592" s="260"/>
      <c r="K592" s="260"/>
      <c r="L592" s="260"/>
      <c r="M592" s="260"/>
      <c r="N592" s="260"/>
      <c r="O592" s="235"/>
      <c r="P592" s="235"/>
      <c r="Q592" s="235"/>
    </row>
    <row r="593" spans="2:17">
      <c r="B593" s="241"/>
      <c r="C593" s="241"/>
      <c r="D593" s="241"/>
      <c r="E593" s="241"/>
      <c r="F593" s="260"/>
      <c r="G593" s="260"/>
      <c r="H593" s="260"/>
      <c r="I593" s="260"/>
      <c r="J593" s="260"/>
      <c r="K593" s="260"/>
      <c r="L593" s="260"/>
      <c r="M593" s="260"/>
      <c r="N593" s="260"/>
      <c r="O593" s="235"/>
      <c r="P593" s="235"/>
      <c r="Q593" s="235"/>
    </row>
    <row r="594" spans="2:17">
      <c r="B594" s="241"/>
      <c r="C594" s="241"/>
      <c r="D594" s="241"/>
      <c r="E594" s="241"/>
      <c r="F594" s="260"/>
      <c r="G594" s="260"/>
      <c r="H594" s="260"/>
      <c r="I594" s="260"/>
      <c r="J594" s="260"/>
      <c r="K594" s="260"/>
      <c r="L594" s="260"/>
      <c r="M594" s="260"/>
      <c r="N594" s="260"/>
      <c r="O594" s="235"/>
      <c r="P594" s="235"/>
      <c r="Q594" s="235"/>
    </row>
    <row r="595" spans="2:17">
      <c r="B595" s="241"/>
      <c r="C595" s="241"/>
      <c r="D595" s="241"/>
      <c r="E595" s="241"/>
      <c r="F595" s="260"/>
      <c r="G595" s="260"/>
      <c r="H595" s="260"/>
      <c r="I595" s="260"/>
      <c r="J595" s="260"/>
      <c r="K595" s="260"/>
      <c r="L595" s="260"/>
      <c r="M595" s="260"/>
      <c r="N595" s="260"/>
      <c r="O595" s="235"/>
      <c r="P595" s="235"/>
      <c r="Q595" s="235"/>
    </row>
    <row r="596" spans="2:17">
      <c r="B596" s="241"/>
      <c r="C596" s="241"/>
      <c r="D596" s="241"/>
      <c r="E596" s="241"/>
      <c r="F596" s="260"/>
      <c r="G596" s="260"/>
      <c r="H596" s="260"/>
      <c r="I596" s="260"/>
      <c r="J596" s="260"/>
      <c r="K596" s="260"/>
      <c r="L596" s="260"/>
      <c r="M596" s="260"/>
      <c r="N596" s="260"/>
      <c r="O596" s="235"/>
      <c r="P596" s="235"/>
      <c r="Q596" s="235"/>
    </row>
    <row r="597" spans="2:17">
      <c r="B597" s="241"/>
      <c r="C597" s="241"/>
      <c r="D597" s="241"/>
      <c r="E597" s="241"/>
      <c r="F597" s="260"/>
      <c r="G597" s="260"/>
      <c r="H597" s="260"/>
      <c r="I597" s="260"/>
      <c r="J597" s="260"/>
      <c r="K597" s="260"/>
      <c r="L597" s="260"/>
      <c r="M597" s="260"/>
      <c r="N597" s="260"/>
      <c r="O597" s="235"/>
      <c r="P597" s="235"/>
      <c r="Q597" s="235"/>
    </row>
    <row r="598" spans="2:17">
      <c r="B598" s="241"/>
      <c r="C598" s="241"/>
      <c r="D598" s="241"/>
      <c r="E598" s="241"/>
      <c r="F598" s="260"/>
      <c r="G598" s="260"/>
      <c r="H598" s="260"/>
      <c r="I598" s="260"/>
      <c r="J598" s="260"/>
      <c r="K598" s="260"/>
      <c r="L598" s="260"/>
      <c r="M598" s="260"/>
      <c r="N598" s="260"/>
      <c r="O598" s="235"/>
      <c r="P598" s="235"/>
      <c r="Q598" s="235"/>
    </row>
    <row r="599" spans="2:17">
      <c r="B599" s="241"/>
      <c r="C599" s="241"/>
      <c r="D599" s="241"/>
      <c r="E599" s="241"/>
      <c r="F599" s="260"/>
      <c r="G599" s="260"/>
      <c r="H599" s="260"/>
      <c r="I599" s="260"/>
      <c r="J599" s="260"/>
      <c r="K599" s="260"/>
      <c r="L599" s="260"/>
      <c r="M599" s="260"/>
      <c r="N599" s="260"/>
      <c r="O599" s="235"/>
      <c r="P599" s="235"/>
      <c r="Q599" s="235"/>
    </row>
    <row r="600" spans="2:17">
      <c r="B600" s="241"/>
      <c r="C600" s="241"/>
      <c r="D600" s="241"/>
      <c r="E600" s="241"/>
      <c r="F600" s="260"/>
      <c r="G600" s="260"/>
      <c r="H600" s="260"/>
      <c r="I600" s="260"/>
      <c r="J600" s="260"/>
      <c r="K600" s="260"/>
      <c r="L600" s="260"/>
      <c r="M600" s="260"/>
      <c r="N600" s="260"/>
      <c r="O600" s="235"/>
      <c r="P600" s="235"/>
      <c r="Q600" s="235"/>
    </row>
    <row r="601" spans="2:17">
      <c r="B601" s="241"/>
      <c r="C601" s="241"/>
      <c r="D601" s="241"/>
      <c r="E601" s="241"/>
      <c r="F601" s="260"/>
      <c r="G601" s="260"/>
      <c r="H601" s="260"/>
      <c r="I601" s="260"/>
      <c r="J601" s="260"/>
      <c r="K601" s="260"/>
      <c r="L601" s="260"/>
      <c r="M601" s="260"/>
      <c r="N601" s="260"/>
      <c r="O601" s="235"/>
      <c r="P601" s="235"/>
      <c r="Q601" s="235"/>
    </row>
    <row r="602" spans="2:17">
      <c r="B602" s="241"/>
      <c r="C602" s="241"/>
      <c r="D602" s="241"/>
      <c r="E602" s="241"/>
      <c r="F602" s="260"/>
      <c r="G602" s="260"/>
      <c r="H602" s="260"/>
      <c r="I602" s="260"/>
      <c r="J602" s="260"/>
      <c r="K602" s="260"/>
      <c r="L602" s="260"/>
      <c r="M602" s="260"/>
      <c r="N602" s="260"/>
      <c r="O602" s="235"/>
      <c r="P602" s="235"/>
      <c r="Q602" s="235"/>
    </row>
    <row r="603" spans="2:17">
      <c r="B603" s="241"/>
      <c r="C603" s="241"/>
      <c r="D603" s="241"/>
      <c r="E603" s="241"/>
      <c r="F603" s="260"/>
      <c r="G603" s="260"/>
      <c r="H603" s="260"/>
      <c r="I603" s="260"/>
      <c r="J603" s="260"/>
      <c r="K603" s="260"/>
      <c r="L603" s="260"/>
      <c r="M603" s="260"/>
      <c r="N603" s="260"/>
      <c r="O603" s="235"/>
      <c r="P603" s="235"/>
      <c r="Q603" s="235"/>
    </row>
    <row r="604" spans="2:17">
      <c r="B604" s="241"/>
      <c r="C604" s="241"/>
      <c r="D604" s="241"/>
      <c r="E604" s="241"/>
      <c r="F604" s="260"/>
      <c r="G604" s="260"/>
      <c r="H604" s="260"/>
      <c r="I604" s="260"/>
      <c r="J604" s="260"/>
      <c r="K604" s="260"/>
      <c r="L604" s="260"/>
      <c r="M604" s="260"/>
      <c r="N604" s="260"/>
      <c r="O604" s="235"/>
      <c r="P604" s="235"/>
      <c r="Q604" s="235"/>
    </row>
    <row r="605" spans="2:17">
      <c r="B605" s="241"/>
      <c r="C605" s="241"/>
      <c r="D605" s="241"/>
      <c r="E605" s="241"/>
      <c r="F605" s="260"/>
      <c r="G605" s="260"/>
      <c r="H605" s="260"/>
      <c r="I605" s="260"/>
      <c r="J605" s="260"/>
      <c r="K605" s="260"/>
      <c r="L605" s="260"/>
      <c r="M605" s="260"/>
      <c r="N605" s="260"/>
      <c r="O605" s="235"/>
      <c r="P605" s="235"/>
      <c r="Q605" s="235"/>
    </row>
    <row r="606" spans="2:17">
      <c r="B606" s="241"/>
      <c r="C606" s="241"/>
      <c r="D606" s="241"/>
      <c r="E606" s="241"/>
      <c r="F606" s="260"/>
      <c r="G606" s="260"/>
      <c r="H606" s="260"/>
      <c r="I606" s="260"/>
      <c r="J606" s="260"/>
      <c r="K606" s="260"/>
      <c r="L606" s="260"/>
      <c r="M606" s="260"/>
      <c r="N606" s="260"/>
      <c r="O606" s="235"/>
      <c r="P606" s="235"/>
      <c r="Q606" s="235"/>
    </row>
    <row r="607" spans="2:17">
      <c r="B607" s="241"/>
      <c r="C607" s="241"/>
      <c r="D607" s="241"/>
      <c r="E607" s="241"/>
      <c r="F607" s="260"/>
      <c r="G607" s="260"/>
      <c r="H607" s="260"/>
      <c r="I607" s="260"/>
      <c r="J607" s="260"/>
      <c r="K607" s="260"/>
      <c r="L607" s="260"/>
      <c r="M607" s="260"/>
      <c r="N607" s="260"/>
      <c r="O607" s="235"/>
      <c r="P607" s="235"/>
      <c r="Q607" s="235"/>
    </row>
    <row r="608" spans="2:17">
      <c r="B608" s="241"/>
      <c r="C608" s="241"/>
      <c r="D608" s="241"/>
      <c r="E608" s="241"/>
      <c r="F608" s="260"/>
      <c r="G608" s="260"/>
      <c r="H608" s="260"/>
      <c r="I608" s="260"/>
      <c r="J608" s="260"/>
      <c r="K608" s="260"/>
      <c r="L608" s="260"/>
      <c r="M608" s="260"/>
      <c r="N608" s="260"/>
      <c r="O608" s="235"/>
      <c r="P608" s="235"/>
      <c r="Q608" s="235"/>
    </row>
    <row r="609" spans="2:17">
      <c r="B609" s="241"/>
      <c r="C609" s="241"/>
      <c r="D609" s="241"/>
      <c r="E609" s="241"/>
      <c r="F609" s="260"/>
      <c r="G609" s="260"/>
      <c r="H609" s="260"/>
      <c r="I609" s="260"/>
      <c r="J609" s="260"/>
      <c r="K609" s="260"/>
      <c r="L609" s="260"/>
      <c r="M609" s="260"/>
      <c r="N609" s="260"/>
      <c r="O609" s="235"/>
      <c r="P609" s="235"/>
      <c r="Q609" s="235"/>
    </row>
    <row r="610" spans="2:17">
      <c r="B610" s="241"/>
      <c r="C610" s="241"/>
      <c r="D610" s="241"/>
      <c r="E610" s="241"/>
      <c r="F610" s="260"/>
      <c r="G610" s="260"/>
      <c r="H610" s="260"/>
      <c r="I610" s="260"/>
      <c r="J610" s="260"/>
      <c r="K610" s="260"/>
      <c r="L610" s="260"/>
      <c r="M610" s="260"/>
      <c r="N610" s="260"/>
      <c r="O610" s="235"/>
      <c r="P610" s="235"/>
      <c r="Q610" s="235"/>
    </row>
    <row r="611" spans="2:17">
      <c r="B611" s="241"/>
      <c r="C611" s="241"/>
      <c r="D611" s="241"/>
      <c r="E611" s="241"/>
      <c r="F611" s="260"/>
      <c r="G611" s="260"/>
      <c r="H611" s="260"/>
      <c r="I611" s="260"/>
      <c r="J611" s="260"/>
      <c r="K611" s="260"/>
      <c r="L611" s="260"/>
      <c r="M611" s="260"/>
      <c r="N611" s="260"/>
      <c r="O611" s="235"/>
      <c r="P611" s="235"/>
      <c r="Q611" s="235"/>
    </row>
    <row r="612" spans="2:17">
      <c r="B612" s="241"/>
      <c r="C612" s="241"/>
      <c r="D612" s="241"/>
      <c r="E612" s="241"/>
      <c r="F612" s="260"/>
      <c r="G612" s="260"/>
      <c r="H612" s="260"/>
      <c r="I612" s="260"/>
      <c r="J612" s="260"/>
      <c r="K612" s="260"/>
      <c r="L612" s="260"/>
      <c r="M612" s="260"/>
      <c r="N612" s="260"/>
      <c r="O612" s="235"/>
      <c r="P612" s="235"/>
      <c r="Q612" s="235"/>
    </row>
    <row r="613" spans="2:17">
      <c r="B613" s="241"/>
      <c r="C613" s="241"/>
      <c r="D613" s="241"/>
      <c r="E613" s="241"/>
      <c r="F613" s="260"/>
      <c r="G613" s="260"/>
      <c r="H613" s="260"/>
      <c r="I613" s="260"/>
      <c r="J613" s="260"/>
      <c r="K613" s="260"/>
      <c r="L613" s="260"/>
      <c r="M613" s="260"/>
      <c r="N613" s="260"/>
      <c r="O613" s="235"/>
      <c r="P613" s="235"/>
      <c r="Q613" s="235"/>
    </row>
    <row r="614" spans="2:17">
      <c r="B614" s="241"/>
      <c r="C614" s="241"/>
      <c r="D614" s="241"/>
      <c r="E614" s="241"/>
      <c r="F614" s="260"/>
      <c r="G614" s="260"/>
      <c r="H614" s="260"/>
      <c r="I614" s="260"/>
      <c r="J614" s="260"/>
      <c r="K614" s="260"/>
      <c r="L614" s="260"/>
      <c r="M614" s="260"/>
      <c r="N614" s="260"/>
      <c r="O614" s="235"/>
      <c r="P614" s="235"/>
      <c r="Q614" s="235"/>
    </row>
    <row r="615" spans="2:17">
      <c r="B615" s="241"/>
      <c r="C615" s="241"/>
      <c r="D615" s="241"/>
      <c r="E615" s="241"/>
      <c r="F615" s="260"/>
      <c r="G615" s="260"/>
      <c r="H615" s="260"/>
      <c r="I615" s="260"/>
      <c r="J615" s="260"/>
      <c r="K615" s="260"/>
      <c r="L615" s="260"/>
      <c r="M615" s="260"/>
      <c r="N615" s="260"/>
      <c r="O615" s="235"/>
      <c r="P615" s="235"/>
      <c r="Q615" s="235"/>
    </row>
    <row r="616" spans="2:17">
      <c r="B616" s="241"/>
      <c r="C616" s="241"/>
      <c r="D616" s="241"/>
      <c r="E616" s="241"/>
      <c r="F616" s="260"/>
      <c r="G616" s="260"/>
      <c r="H616" s="260"/>
      <c r="I616" s="260"/>
      <c r="J616" s="260"/>
      <c r="K616" s="260"/>
      <c r="L616" s="260"/>
      <c r="M616" s="260"/>
      <c r="N616" s="260"/>
      <c r="O616" s="235"/>
      <c r="P616" s="235"/>
      <c r="Q616" s="235"/>
    </row>
    <row r="617" spans="2:17">
      <c r="B617" s="241"/>
      <c r="C617" s="241"/>
      <c r="D617" s="241"/>
      <c r="E617" s="241"/>
      <c r="F617" s="260"/>
      <c r="G617" s="260"/>
      <c r="H617" s="260"/>
      <c r="I617" s="260"/>
      <c r="J617" s="260"/>
      <c r="K617" s="260"/>
      <c r="L617" s="260"/>
      <c r="M617" s="260"/>
      <c r="N617" s="260"/>
      <c r="O617" s="235"/>
      <c r="P617" s="235"/>
      <c r="Q617" s="235"/>
    </row>
    <row r="618" spans="2:17">
      <c r="B618" s="241"/>
      <c r="C618" s="241"/>
      <c r="D618" s="241"/>
      <c r="E618" s="241"/>
      <c r="F618" s="260"/>
      <c r="G618" s="260"/>
      <c r="H618" s="260"/>
      <c r="I618" s="260"/>
      <c r="J618" s="260"/>
      <c r="K618" s="260"/>
      <c r="L618" s="260"/>
      <c r="M618" s="260"/>
      <c r="N618" s="260"/>
      <c r="O618" s="235"/>
      <c r="P618" s="235"/>
      <c r="Q618" s="235"/>
    </row>
    <row r="619" spans="2:17">
      <c r="B619" s="241"/>
      <c r="C619" s="241"/>
      <c r="D619" s="241"/>
      <c r="E619" s="241"/>
      <c r="F619" s="260"/>
      <c r="G619" s="260"/>
      <c r="H619" s="260"/>
      <c r="I619" s="260"/>
      <c r="J619" s="260"/>
      <c r="K619" s="260"/>
      <c r="L619" s="260"/>
      <c r="M619" s="260"/>
      <c r="N619" s="260"/>
      <c r="O619" s="235"/>
      <c r="P619" s="235"/>
      <c r="Q619" s="235"/>
    </row>
    <row r="620" spans="2:17">
      <c r="B620" s="241"/>
      <c r="C620" s="241"/>
      <c r="D620" s="241"/>
      <c r="E620" s="241"/>
      <c r="F620" s="260"/>
      <c r="G620" s="260"/>
      <c r="H620" s="260"/>
      <c r="I620" s="260"/>
      <c r="J620" s="260"/>
      <c r="K620" s="260"/>
      <c r="L620" s="260"/>
      <c r="M620" s="260"/>
      <c r="N620" s="260"/>
      <c r="O620" s="235"/>
      <c r="P620" s="235"/>
      <c r="Q620" s="235"/>
    </row>
    <row r="621" spans="2:17">
      <c r="B621" s="241"/>
      <c r="C621" s="241"/>
      <c r="D621" s="241"/>
      <c r="E621" s="241"/>
      <c r="F621" s="260"/>
      <c r="G621" s="260"/>
      <c r="H621" s="260"/>
      <c r="I621" s="260"/>
      <c r="J621" s="260"/>
      <c r="K621" s="260"/>
      <c r="L621" s="260"/>
      <c r="M621" s="260"/>
      <c r="N621" s="260"/>
      <c r="O621" s="235"/>
      <c r="P621" s="235"/>
      <c r="Q621" s="235"/>
    </row>
    <row r="622" spans="2:17">
      <c r="B622" s="241"/>
      <c r="C622" s="241"/>
      <c r="D622" s="241"/>
      <c r="E622" s="241"/>
      <c r="F622" s="260"/>
      <c r="G622" s="260"/>
      <c r="H622" s="260"/>
      <c r="I622" s="260"/>
      <c r="J622" s="260"/>
      <c r="K622" s="260"/>
      <c r="L622" s="260"/>
      <c r="M622" s="260"/>
      <c r="N622" s="260"/>
      <c r="O622" s="235"/>
      <c r="P622" s="235"/>
      <c r="Q622" s="235"/>
    </row>
    <row r="623" spans="2:17">
      <c r="B623" s="241"/>
      <c r="C623" s="241"/>
      <c r="D623" s="241"/>
      <c r="E623" s="241"/>
      <c r="F623" s="260"/>
      <c r="G623" s="260"/>
      <c r="H623" s="260"/>
      <c r="I623" s="260"/>
      <c r="J623" s="260"/>
      <c r="K623" s="260"/>
      <c r="L623" s="260"/>
      <c r="M623" s="260"/>
      <c r="N623" s="260"/>
      <c r="O623" s="235"/>
      <c r="P623" s="235"/>
      <c r="Q623" s="235"/>
    </row>
    <row r="624" spans="2:17">
      <c r="B624" s="241"/>
      <c r="C624" s="241"/>
      <c r="D624" s="241"/>
      <c r="E624" s="241"/>
      <c r="F624" s="260"/>
      <c r="G624" s="260"/>
      <c r="H624" s="260"/>
      <c r="I624" s="260"/>
      <c r="J624" s="260"/>
      <c r="K624" s="260"/>
      <c r="L624" s="260"/>
      <c r="M624" s="260"/>
      <c r="N624" s="260"/>
      <c r="O624" s="235"/>
      <c r="P624" s="235"/>
      <c r="Q624" s="235"/>
    </row>
    <row r="625" spans="2:17">
      <c r="B625" s="241"/>
      <c r="C625" s="241"/>
      <c r="D625" s="241"/>
      <c r="E625" s="241"/>
      <c r="F625" s="260"/>
      <c r="G625" s="260"/>
      <c r="H625" s="260"/>
      <c r="I625" s="260"/>
      <c r="J625" s="260"/>
      <c r="K625" s="260"/>
      <c r="L625" s="260"/>
      <c r="M625" s="260"/>
      <c r="N625" s="260"/>
      <c r="O625" s="235"/>
      <c r="P625" s="235"/>
      <c r="Q625" s="235"/>
    </row>
    <row r="626" spans="2:17">
      <c r="B626" s="241"/>
      <c r="C626" s="241"/>
      <c r="D626" s="241"/>
      <c r="E626" s="241"/>
      <c r="F626" s="260"/>
      <c r="G626" s="260"/>
      <c r="H626" s="260"/>
      <c r="I626" s="260"/>
      <c r="J626" s="260"/>
      <c r="K626" s="260"/>
      <c r="L626" s="260"/>
      <c r="M626" s="260"/>
      <c r="N626" s="260"/>
      <c r="O626" s="235"/>
      <c r="P626" s="235"/>
      <c r="Q626" s="235"/>
    </row>
    <row r="627" spans="2:17">
      <c r="B627" s="241"/>
      <c r="C627" s="241"/>
      <c r="D627" s="241"/>
      <c r="E627" s="241"/>
      <c r="F627" s="260"/>
      <c r="G627" s="260"/>
      <c r="H627" s="260"/>
      <c r="I627" s="260"/>
      <c r="J627" s="260"/>
      <c r="K627" s="260"/>
      <c r="L627" s="260"/>
      <c r="M627" s="260"/>
      <c r="N627" s="260"/>
      <c r="O627" s="235"/>
      <c r="P627" s="235"/>
      <c r="Q627" s="235"/>
    </row>
    <row r="628" spans="2:17">
      <c r="B628" s="241"/>
      <c r="C628" s="241"/>
      <c r="D628" s="241"/>
      <c r="E628" s="241"/>
      <c r="F628" s="260"/>
      <c r="G628" s="260"/>
      <c r="H628" s="260"/>
      <c r="I628" s="260"/>
      <c r="J628" s="260"/>
      <c r="K628" s="260"/>
      <c r="L628" s="260"/>
      <c r="M628" s="260"/>
      <c r="N628" s="260"/>
      <c r="O628" s="235"/>
      <c r="P628" s="235"/>
      <c r="Q628" s="235"/>
    </row>
    <row r="629" spans="2:17">
      <c r="B629" s="241"/>
      <c r="C629" s="241"/>
      <c r="D629" s="241"/>
      <c r="E629" s="241"/>
      <c r="F629" s="260"/>
      <c r="G629" s="260"/>
      <c r="H629" s="260"/>
      <c r="I629" s="260"/>
      <c r="J629" s="260"/>
      <c r="K629" s="260"/>
      <c r="L629" s="260"/>
      <c r="M629" s="260"/>
      <c r="N629" s="260"/>
      <c r="O629" s="235"/>
      <c r="P629" s="235"/>
      <c r="Q629" s="235"/>
    </row>
    <row r="630" spans="2:17">
      <c r="B630" s="241"/>
      <c r="C630" s="241"/>
      <c r="D630" s="241"/>
      <c r="E630" s="241"/>
      <c r="F630" s="260"/>
      <c r="G630" s="260"/>
      <c r="H630" s="260"/>
      <c r="I630" s="260"/>
      <c r="J630" s="260"/>
      <c r="K630" s="260"/>
      <c r="L630" s="260"/>
      <c r="M630" s="260"/>
      <c r="N630" s="260"/>
      <c r="O630" s="235"/>
      <c r="P630" s="235"/>
      <c r="Q630" s="235"/>
    </row>
    <row r="631" spans="2:17">
      <c r="B631" s="241"/>
      <c r="C631" s="241"/>
      <c r="D631" s="241"/>
      <c r="E631" s="241"/>
      <c r="F631" s="260"/>
      <c r="G631" s="260"/>
      <c r="H631" s="260"/>
      <c r="I631" s="260"/>
      <c r="J631" s="260"/>
      <c r="K631" s="260"/>
      <c r="L631" s="260"/>
      <c r="M631" s="260"/>
      <c r="N631" s="260"/>
      <c r="O631" s="235"/>
      <c r="P631" s="235"/>
      <c r="Q631" s="235"/>
    </row>
    <row r="632" spans="2:17">
      <c r="B632" s="241"/>
      <c r="C632" s="241"/>
      <c r="D632" s="241"/>
      <c r="E632" s="241"/>
      <c r="F632" s="260"/>
      <c r="G632" s="260"/>
      <c r="H632" s="260"/>
      <c r="I632" s="260"/>
      <c r="J632" s="260"/>
      <c r="K632" s="260"/>
      <c r="L632" s="260"/>
      <c r="M632" s="260"/>
      <c r="N632" s="260"/>
      <c r="O632" s="235"/>
      <c r="P632" s="235"/>
      <c r="Q632" s="235"/>
    </row>
    <row r="633" spans="2:17">
      <c r="B633" s="241"/>
      <c r="C633" s="241"/>
      <c r="D633" s="241"/>
      <c r="E633" s="241"/>
      <c r="F633" s="260"/>
      <c r="G633" s="260"/>
      <c r="H633" s="260"/>
      <c r="I633" s="260"/>
      <c r="J633" s="260"/>
      <c r="K633" s="260"/>
      <c r="L633" s="260"/>
      <c r="M633" s="260"/>
      <c r="N633" s="260"/>
      <c r="O633" s="235"/>
      <c r="P633" s="235"/>
      <c r="Q633" s="235"/>
    </row>
    <row r="634" spans="2:17">
      <c r="B634" s="241"/>
      <c r="C634" s="241"/>
      <c r="D634" s="241"/>
      <c r="E634" s="241"/>
      <c r="F634" s="260"/>
      <c r="G634" s="260"/>
      <c r="H634" s="260"/>
      <c r="I634" s="260"/>
      <c r="J634" s="260"/>
      <c r="K634" s="260"/>
      <c r="L634" s="260"/>
      <c r="M634" s="260"/>
      <c r="N634" s="260"/>
      <c r="O634" s="235"/>
      <c r="P634" s="235"/>
      <c r="Q634" s="235"/>
    </row>
    <row r="635" spans="2:17">
      <c r="B635" s="241"/>
      <c r="C635" s="241"/>
      <c r="D635" s="241"/>
      <c r="E635" s="241"/>
      <c r="F635" s="260"/>
      <c r="G635" s="260"/>
      <c r="H635" s="260"/>
      <c r="I635" s="260"/>
      <c r="J635" s="260"/>
      <c r="K635" s="260"/>
      <c r="L635" s="260"/>
      <c r="M635" s="260"/>
      <c r="N635" s="260"/>
      <c r="O635" s="235"/>
      <c r="P635" s="235"/>
      <c r="Q635" s="235"/>
    </row>
    <row r="636" spans="2:17">
      <c r="B636" s="241"/>
      <c r="C636" s="241"/>
      <c r="D636" s="241"/>
      <c r="E636" s="241"/>
      <c r="F636" s="260"/>
      <c r="G636" s="260"/>
      <c r="H636" s="260"/>
      <c r="I636" s="260"/>
      <c r="J636" s="260"/>
      <c r="K636" s="260"/>
      <c r="L636" s="260"/>
      <c r="M636" s="260"/>
      <c r="N636" s="260"/>
      <c r="O636" s="235"/>
      <c r="P636" s="235"/>
      <c r="Q636" s="235"/>
    </row>
    <row r="637" spans="2:17">
      <c r="B637" s="241"/>
      <c r="C637" s="241"/>
      <c r="D637" s="241"/>
      <c r="E637" s="241"/>
      <c r="F637" s="260"/>
      <c r="G637" s="260"/>
      <c r="H637" s="260"/>
      <c r="I637" s="260"/>
      <c r="J637" s="260"/>
      <c r="K637" s="260"/>
      <c r="L637" s="260"/>
      <c r="M637" s="260"/>
      <c r="N637" s="260"/>
      <c r="O637" s="235"/>
      <c r="P637" s="235"/>
      <c r="Q637" s="235"/>
    </row>
    <row r="638" spans="2:17">
      <c r="B638" s="241"/>
      <c r="C638" s="241"/>
      <c r="D638" s="241"/>
      <c r="E638" s="241"/>
      <c r="F638" s="260"/>
      <c r="G638" s="260"/>
      <c r="H638" s="260"/>
      <c r="I638" s="260"/>
      <c r="J638" s="260"/>
      <c r="K638" s="260"/>
      <c r="L638" s="260"/>
      <c r="M638" s="260"/>
      <c r="N638" s="260"/>
      <c r="O638" s="235"/>
      <c r="P638" s="235"/>
      <c r="Q638" s="235"/>
    </row>
    <row r="639" spans="2:17">
      <c r="B639" s="241"/>
      <c r="C639" s="241"/>
      <c r="D639" s="241"/>
      <c r="E639" s="241"/>
      <c r="F639" s="260"/>
      <c r="G639" s="260"/>
      <c r="H639" s="260"/>
      <c r="I639" s="260"/>
      <c r="J639" s="260"/>
      <c r="K639" s="260"/>
      <c r="L639" s="260"/>
      <c r="M639" s="260"/>
      <c r="N639" s="260"/>
      <c r="O639" s="235"/>
      <c r="P639" s="235"/>
      <c r="Q639" s="235"/>
    </row>
    <row r="640" spans="2:17">
      <c r="B640" s="241"/>
      <c r="C640" s="241"/>
      <c r="D640" s="241"/>
      <c r="E640" s="241"/>
      <c r="F640" s="260"/>
      <c r="G640" s="260"/>
      <c r="H640" s="260"/>
      <c r="I640" s="260"/>
      <c r="J640" s="260"/>
      <c r="K640" s="260"/>
      <c r="L640" s="260"/>
      <c r="M640" s="260"/>
      <c r="N640" s="260"/>
      <c r="O640" s="235"/>
      <c r="P640" s="235"/>
      <c r="Q640" s="235"/>
    </row>
    <row r="641" spans="2:17">
      <c r="B641" s="241"/>
      <c r="C641" s="241"/>
      <c r="D641" s="241"/>
      <c r="E641" s="241"/>
      <c r="F641" s="260"/>
      <c r="G641" s="260"/>
      <c r="H641" s="260"/>
      <c r="I641" s="260"/>
      <c r="J641" s="260"/>
      <c r="K641" s="260"/>
      <c r="L641" s="260"/>
      <c r="M641" s="260"/>
      <c r="N641" s="260"/>
      <c r="O641" s="235"/>
      <c r="P641" s="235"/>
      <c r="Q641" s="235"/>
    </row>
    <row r="642" spans="2:17">
      <c r="B642" s="241"/>
      <c r="C642" s="241"/>
      <c r="D642" s="241"/>
      <c r="E642" s="241"/>
      <c r="F642" s="260"/>
      <c r="G642" s="260"/>
      <c r="H642" s="260"/>
      <c r="I642" s="260"/>
      <c r="J642" s="260"/>
      <c r="K642" s="260"/>
      <c r="L642" s="260"/>
      <c r="M642" s="260"/>
      <c r="N642" s="260"/>
      <c r="O642" s="235"/>
      <c r="P642" s="235"/>
      <c r="Q642" s="235"/>
    </row>
    <row r="643" spans="2:17">
      <c r="B643" s="241"/>
      <c r="C643" s="241"/>
      <c r="D643" s="241"/>
      <c r="E643" s="241"/>
      <c r="F643" s="260"/>
      <c r="G643" s="260"/>
      <c r="H643" s="260"/>
      <c r="I643" s="260"/>
      <c r="J643" s="260"/>
      <c r="K643" s="260"/>
      <c r="L643" s="260"/>
      <c r="M643" s="260"/>
      <c r="N643" s="260"/>
      <c r="O643" s="235"/>
      <c r="P643" s="235"/>
      <c r="Q643" s="235"/>
    </row>
    <row r="644" spans="2:17">
      <c r="B644" s="241"/>
      <c r="C644" s="241"/>
      <c r="D644" s="241"/>
      <c r="E644" s="241"/>
      <c r="F644" s="260"/>
      <c r="G644" s="260"/>
      <c r="H644" s="260"/>
      <c r="I644" s="260"/>
      <c r="J644" s="260"/>
      <c r="K644" s="260"/>
      <c r="L644" s="260"/>
      <c r="M644" s="260"/>
      <c r="N644" s="260"/>
      <c r="O644" s="235"/>
      <c r="P644" s="235"/>
      <c r="Q644" s="235"/>
    </row>
    <row r="645" spans="2:17">
      <c r="B645" s="241"/>
      <c r="C645" s="241"/>
      <c r="D645" s="241"/>
      <c r="E645" s="241"/>
      <c r="F645" s="260"/>
      <c r="G645" s="260"/>
      <c r="H645" s="260"/>
      <c r="I645" s="260"/>
      <c r="J645" s="260"/>
      <c r="K645" s="260"/>
      <c r="L645" s="260"/>
      <c r="M645" s="260"/>
      <c r="N645" s="260"/>
      <c r="O645" s="235"/>
      <c r="P645" s="235"/>
      <c r="Q645" s="235"/>
    </row>
    <row r="646" spans="2:17">
      <c r="B646" s="241"/>
      <c r="C646" s="241"/>
      <c r="D646" s="241"/>
      <c r="E646" s="241"/>
      <c r="F646" s="260"/>
      <c r="G646" s="260"/>
      <c r="H646" s="260"/>
      <c r="I646" s="260"/>
      <c r="J646" s="260"/>
      <c r="K646" s="260"/>
      <c r="L646" s="260"/>
      <c r="M646" s="260"/>
      <c r="N646" s="260"/>
      <c r="O646" s="235"/>
      <c r="P646" s="235"/>
      <c r="Q646" s="235"/>
    </row>
    <row r="647" spans="2:17">
      <c r="B647" s="241"/>
      <c r="C647" s="241"/>
      <c r="D647" s="241"/>
      <c r="E647" s="241"/>
      <c r="F647" s="260"/>
      <c r="G647" s="260"/>
      <c r="H647" s="260"/>
      <c r="I647" s="260"/>
      <c r="J647" s="260"/>
      <c r="K647" s="260"/>
      <c r="L647" s="260"/>
      <c r="M647" s="260"/>
      <c r="N647" s="260"/>
      <c r="O647" s="235"/>
      <c r="P647" s="235"/>
      <c r="Q647" s="235"/>
    </row>
    <row r="648" spans="2:17">
      <c r="B648" s="241"/>
      <c r="C648" s="241"/>
      <c r="D648" s="241"/>
      <c r="E648" s="241"/>
      <c r="F648" s="260"/>
      <c r="G648" s="260"/>
      <c r="H648" s="260"/>
      <c r="I648" s="260"/>
      <c r="J648" s="260"/>
      <c r="K648" s="260"/>
      <c r="L648" s="260"/>
      <c r="M648" s="260"/>
      <c r="N648" s="260"/>
      <c r="O648" s="235"/>
      <c r="P648" s="235"/>
      <c r="Q648" s="235"/>
    </row>
    <row r="649" spans="2:17">
      <c r="B649" s="241"/>
      <c r="C649" s="241"/>
      <c r="D649" s="241"/>
      <c r="E649" s="241"/>
      <c r="F649" s="260"/>
      <c r="G649" s="260"/>
      <c r="H649" s="260"/>
      <c r="I649" s="260"/>
      <c r="J649" s="260"/>
      <c r="K649" s="260"/>
      <c r="L649" s="260"/>
      <c r="M649" s="260"/>
      <c r="N649" s="260"/>
      <c r="O649" s="235"/>
      <c r="P649" s="235"/>
      <c r="Q649" s="235"/>
    </row>
    <row r="650" spans="2:17">
      <c r="B650" s="241"/>
      <c r="C650" s="241"/>
      <c r="D650" s="241"/>
      <c r="E650" s="241"/>
      <c r="F650" s="260"/>
      <c r="G650" s="260"/>
      <c r="H650" s="260"/>
      <c r="I650" s="260"/>
      <c r="J650" s="260"/>
      <c r="K650" s="260"/>
      <c r="L650" s="260"/>
      <c r="M650" s="260"/>
      <c r="N650" s="260"/>
      <c r="O650" s="235"/>
      <c r="P650" s="235"/>
      <c r="Q650" s="235"/>
    </row>
    <row r="651" spans="2:17">
      <c r="B651" s="241"/>
      <c r="C651" s="241"/>
      <c r="D651" s="241"/>
      <c r="E651" s="241"/>
      <c r="F651" s="260"/>
      <c r="G651" s="260"/>
      <c r="H651" s="260"/>
      <c r="I651" s="260"/>
      <c r="J651" s="260"/>
      <c r="K651" s="260"/>
      <c r="L651" s="260"/>
      <c r="M651" s="260"/>
      <c r="N651" s="260"/>
      <c r="O651" s="235"/>
      <c r="P651" s="235"/>
      <c r="Q651" s="235"/>
    </row>
    <row r="652" spans="2:17">
      <c r="B652" s="241"/>
      <c r="C652" s="241"/>
      <c r="D652" s="241"/>
      <c r="E652" s="241"/>
      <c r="F652" s="260"/>
      <c r="G652" s="260"/>
      <c r="H652" s="260"/>
      <c r="I652" s="260"/>
      <c r="J652" s="260"/>
      <c r="K652" s="260"/>
      <c r="L652" s="260"/>
      <c r="M652" s="260"/>
      <c r="N652" s="260"/>
      <c r="O652" s="235"/>
      <c r="P652" s="235"/>
      <c r="Q652" s="235"/>
    </row>
    <row r="653" spans="2:17">
      <c r="B653" s="241"/>
      <c r="C653" s="241"/>
      <c r="D653" s="241"/>
      <c r="E653" s="241"/>
      <c r="F653" s="260"/>
      <c r="G653" s="260"/>
      <c r="H653" s="260"/>
      <c r="I653" s="260"/>
      <c r="J653" s="260"/>
      <c r="K653" s="260"/>
      <c r="L653" s="260"/>
      <c r="M653" s="260"/>
      <c r="N653" s="260"/>
      <c r="O653" s="235"/>
      <c r="P653" s="235"/>
      <c r="Q653" s="235"/>
    </row>
    <row r="654" spans="2:17">
      <c r="B654" s="241"/>
      <c r="C654" s="241"/>
      <c r="D654" s="241"/>
      <c r="E654" s="241"/>
      <c r="F654" s="260"/>
      <c r="G654" s="260"/>
      <c r="H654" s="260"/>
      <c r="I654" s="260"/>
      <c r="J654" s="260"/>
      <c r="K654" s="260"/>
      <c r="L654" s="260"/>
      <c r="M654" s="260"/>
      <c r="N654" s="260"/>
      <c r="O654" s="235"/>
      <c r="P654" s="235"/>
      <c r="Q654" s="235"/>
    </row>
    <row r="655" spans="2:17">
      <c r="B655" s="241"/>
      <c r="C655" s="241"/>
      <c r="D655" s="241"/>
      <c r="E655" s="241"/>
      <c r="F655" s="260"/>
      <c r="G655" s="260"/>
      <c r="H655" s="260"/>
      <c r="I655" s="260"/>
      <c r="J655" s="260"/>
      <c r="K655" s="260"/>
      <c r="L655" s="260"/>
      <c r="M655" s="260"/>
      <c r="N655" s="260"/>
      <c r="O655" s="235"/>
      <c r="P655" s="235"/>
      <c r="Q655" s="235"/>
    </row>
    <row r="656" spans="2:17">
      <c r="B656" s="241"/>
      <c r="C656" s="241"/>
      <c r="D656" s="241"/>
      <c r="E656" s="241"/>
      <c r="F656" s="260"/>
      <c r="G656" s="260"/>
      <c r="H656" s="260"/>
      <c r="I656" s="260"/>
      <c r="J656" s="260"/>
      <c r="K656" s="260"/>
      <c r="L656" s="260"/>
      <c r="M656" s="260"/>
      <c r="N656" s="260"/>
      <c r="O656" s="235"/>
      <c r="P656" s="235"/>
      <c r="Q656" s="235"/>
    </row>
    <row r="657" spans="2:17">
      <c r="B657" s="241"/>
      <c r="C657" s="241"/>
      <c r="D657" s="241"/>
      <c r="E657" s="241"/>
      <c r="F657" s="260"/>
      <c r="G657" s="260"/>
      <c r="H657" s="260"/>
      <c r="I657" s="260"/>
      <c r="J657" s="260"/>
      <c r="K657" s="260"/>
      <c r="L657" s="260"/>
      <c r="M657" s="260"/>
      <c r="N657" s="260"/>
      <c r="O657" s="235"/>
      <c r="P657" s="235"/>
      <c r="Q657" s="235"/>
    </row>
    <row r="658" spans="2:17">
      <c r="B658" s="241"/>
      <c r="C658" s="241"/>
      <c r="D658" s="241"/>
      <c r="E658" s="241"/>
      <c r="F658" s="260"/>
      <c r="G658" s="260"/>
      <c r="H658" s="260"/>
      <c r="I658" s="260"/>
      <c r="J658" s="260"/>
      <c r="K658" s="260"/>
      <c r="L658" s="260"/>
      <c r="M658" s="260"/>
      <c r="N658" s="260"/>
      <c r="O658" s="235"/>
      <c r="P658" s="235"/>
      <c r="Q658" s="235"/>
    </row>
    <row r="659" spans="2:17">
      <c r="B659" s="241"/>
      <c r="C659" s="241"/>
      <c r="D659" s="241"/>
      <c r="E659" s="241"/>
      <c r="F659" s="260"/>
      <c r="G659" s="260"/>
      <c r="H659" s="260"/>
      <c r="I659" s="260"/>
      <c r="J659" s="260"/>
      <c r="K659" s="260"/>
      <c r="L659" s="260"/>
      <c r="M659" s="260"/>
      <c r="N659" s="260"/>
      <c r="O659" s="235"/>
      <c r="P659" s="235"/>
      <c r="Q659" s="235"/>
    </row>
    <row r="660" spans="2:17">
      <c r="B660" s="241"/>
      <c r="C660" s="241"/>
      <c r="D660" s="241"/>
      <c r="E660" s="241"/>
      <c r="F660" s="260"/>
      <c r="G660" s="260"/>
      <c r="H660" s="260"/>
      <c r="I660" s="260"/>
      <c r="J660" s="260"/>
      <c r="K660" s="260"/>
      <c r="L660" s="260"/>
      <c r="M660" s="260"/>
      <c r="N660" s="260"/>
      <c r="O660" s="235"/>
      <c r="P660" s="235"/>
      <c r="Q660" s="235"/>
    </row>
    <row r="661" spans="2:17">
      <c r="B661" s="241"/>
      <c r="C661" s="241"/>
      <c r="D661" s="241"/>
      <c r="E661" s="241"/>
      <c r="F661" s="260"/>
      <c r="G661" s="260"/>
      <c r="H661" s="260"/>
      <c r="I661" s="260"/>
      <c r="J661" s="260"/>
      <c r="K661" s="260"/>
      <c r="L661" s="260"/>
      <c r="M661" s="260"/>
      <c r="N661" s="260"/>
      <c r="O661" s="235"/>
      <c r="P661" s="235"/>
      <c r="Q661" s="235"/>
    </row>
    <row r="662" spans="2:17">
      <c r="B662" s="241"/>
      <c r="C662" s="241"/>
      <c r="D662" s="241"/>
      <c r="E662" s="241"/>
      <c r="F662" s="260"/>
      <c r="G662" s="260"/>
      <c r="H662" s="260"/>
      <c r="I662" s="260"/>
      <c r="J662" s="260"/>
      <c r="K662" s="260"/>
      <c r="L662" s="260"/>
      <c r="M662" s="260"/>
      <c r="N662" s="260"/>
      <c r="O662" s="235"/>
      <c r="P662" s="235"/>
      <c r="Q662" s="235"/>
    </row>
    <row r="663" spans="2:17">
      <c r="B663" s="241"/>
      <c r="C663" s="241"/>
      <c r="D663" s="241"/>
      <c r="E663" s="241"/>
      <c r="F663" s="260"/>
      <c r="G663" s="260"/>
      <c r="H663" s="260"/>
      <c r="I663" s="260"/>
      <c r="J663" s="260"/>
      <c r="K663" s="260"/>
      <c r="L663" s="260"/>
      <c r="M663" s="260"/>
      <c r="N663" s="260"/>
      <c r="O663" s="235"/>
      <c r="P663" s="235"/>
      <c r="Q663" s="235"/>
    </row>
    <row r="664" spans="2:17">
      <c r="B664" s="241"/>
      <c r="C664" s="241"/>
      <c r="D664" s="241"/>
      <c r="E664" s="241"/>
      <c r="F664" s="260"/>
      <c r="G664" s="260"/>
      <c r="H664" s="260"/>
      <c r="I664" s="260"/>
      <c r="J664" s="260"/>
      <c r="K664" s="260"/>
      <c r="L664" s="260"/>
      <c r="M664" s="260"/>
      <c r="N664" s="260"/>
      <c r="O664" s="235"/>
      <c r="P664" s="235"/>
      <c r="Q664" s="235"/>
    </row>
    <row r="665" spans="2:17">
      <c r="B665" s="241"/>
      <c r="C665" s="241"/>
      <c r="D665" s="241"/>
      <c r="E665" s="241"/>
      <c r="F665" s="260"/>
      <c r="G665" s="260"/>
      <c r="H665" s="260"/>
      <c r="I665" s="260"/>
      <c r="J665" s="260"/>
      <c r="K665" s="260"/>
      <c r="L665" s="260"/>
      <c r="M665" s="260"/>
      <c r="N665" s="260"/>
      <c r="O665" s="235"/>
      <c r="P665" s="235"/>
      <c r="Q665" s="235"/>
    </row>
    <row r="666" spans="2:17">
      <c r="B666" s="241"/>
      <c r="C666" s="241"/>
      <c r="D666" s="241"/>
      <c r="E666" s="241"/>
      <c r="F666" s="260"/>
      <c r="G666" s="260"/>
      <c r="H666" s="260"/>
      <c r="I666" s="260"/>
      <c r="J666" s="260"/>
      <c r="K666" s="260"/>
      <c r="L666" s="260"/>
      <c r="M666" s="260"/>
      <c r="N666" s="260"/>
      <c r="O666" s="235"/>
      <c r="P666" s="235"/>
      <c r="Q666" s="235"/>
    </row>
    <row r="667" spans="2:17">
      <c r="B667" s="241"/>
      <c r="C667" s="241"/>
      <c r="D667" s="241"/>
      <c r="E667" s="241"/>
      <c r="F667" s="260"/>
      <c r="G667" s="260"/>
      <c r="H667" s="260"/>
      <c r="I667" s="260"/>
      <c r="J667" s="260"/>
      <c r="K667" s="260"/>
      <c r="L667" s="260"/>
      <c r="M667" s="260"/>
      <c r="N667" s="260"/>
      <c r="O667" s="235"/>
      <c r="P667" s="235"/>
      <c r="Q667" s="235"/>
    </row>
    <row r="668" spans="2:17">
      <c r="B668" s="241"/>
      <c r="C668" s="241"/>
      <c r="D668" s="241"/>
      <c r="E668" s="241"/>
      <c r="F668" s="260"/>
      <c r="G668" s="260"/>
      <c r="H668" s="260"/>
      <c r="I668" s="260"/>
      <c r="J668" s="260"/>
      <c r="K668" s="260"/>
      <c r="L668" s="260"/>
      <c r="M668" s="260"/>
      <c r="N668" s="260"/>
      <c r="O668" s="235"/>
      <c r="P668" s="235"/>
      <c r="Q668" s="235"/>
    </row>
    <row r="669" spans="2:17">
      <c r="B669" s="241"/>
      <c r="C669" s="241"/>
      <c r="D669" s="241"/>
      <c r="E669" s="241"/>
      <c r="F669" s="260"/>
      <c r="G669" s="260"/>
      <c r="H669" s="260"/>
      <c r="I669" s="260"/>
      <c r="J669" s="260"/>
      <c r="K669" s="260"/>
      <c r="L669" s="260"/>
      <c r="M669" s="260"/>
      <c r="N669" s="260"/>
      <c r="O669" s="235"/>
      <c r="P669" s="235"/>
      <c r="Q669" s="235"/>
    </row>
    <row r="670" spans="2:17">
      <c r="B670" s="241"/>
      <c r="C670" s="241"/>
      <c r="D670" s="241"/>
      <c r="E670" s="241"/>
      <c r="F670" s="260"/>
      <c r="G670" s="260"/>
      <c r="H670" s="260"/>
      <c r="I670" s="260"/>
      <c r="J670" s="260"/>
      <c r="K670" s="260"/>
      <c r="L670" s="260"/>
      <c r="M670" s="260"/>
      <c r="N670" s="260"/>
      <c r="O670" s="235"/>
      <c r="P670" s="235"/>
      <c r="Q670" s="235"/>
    </row>
    <row r="671" spans="2:17">
      <c r="B671" s="241"/>
      <c r="C671" s="241"/>
      <c r="D671" s="241"/>
      <c r="E671" s="241"/>
      <c r="F671" s="260"/>
      <c r="G671" s="260"/>
      <c r="H671" s="260"/>
      <c r="I671" s="260"/>
      <c r="J671" s="260"/>
      <c r="K671" s="260"/>
      <c r="L671" s="260"/>
      <c r="M671" s="260"/>
      <c r="N671" s="260"/>
      <c r="O671" s="235"/>
      <c r="P671" s="235"/>
      <c r="Q671" s="235"/>
    </row>
    <row r="672" spans="2:17">
      <c r="B672" s="241"/>
      <c r="C672" s="241"/>
      <c r="D672" s="241"/>
      <c r="E672" s="241"/>
      <c r="F672" s="260"/>
      <c r="G672" s="260"/>
      <c r="H672" s="260"/>
      <c r="I672" s="260"/>
      <c r="J672" s="260"/>
      <c r="K672" s="260"/>
      <c r="L672" s="260"/>
      <c r="M672" s="260"/>
      <c r="N672" s="260"/>
      <c r="O672" s="235"/>
      <c r="P672" s="235"/>
      <c r="Q672" s="235"/>
    </row>
    <row r="673" spans="2:17">
      <c r="B673" s="241"/>
      <c r="C673" s="241"/>
      <c r="D673" s="241"/>
      <c r="E673" s="241"/>
      <c r="F673" s="260"/>
      <c r="G673" s="260"/>
      <c r="H673" s="260"/>
      <c r="I673" s="260"/>
      <c r="J673" s="260"/>
      <c r="K673" s="260"/>
      <c r="L673" s="260"/>
      <c r="M673" s="260"/>
      <c r="N673" s="260"/>
      <c r="O673" s="235"/>
      <c r="P673" s="235"/>
      <c r="Q673" s="235"/>
    </row>
    <row r="674" spans="2:17">
      <c r="B674" s="241"/>
      <c r="C674" s="241"/>
      <c r="D674" s="241"/>
      <c r="E674" s="241"/>
      <c r="F674" s="260"/>
      <c r="G674" s="260"/>
      <c r="H674" s="260"/>
      <c r="I674" s="260"/>
      <c r="J674" s="260"/>
      <c r="K674" s="260"/>
      <c r="L674" s="260"/>
      <c r="M674" s="260"/>
      <c r="N674" s="260"/>
      <c r="O674" s="235"/>
      <c r="P674" s="235"/>
      <c r="Q674" s="235"/>
    </row>
    <row r="675" spans="2:17">
      <c r="B675" s="241"/>
      <c r="C675" s="241"/>
      <c r="D675" s="241"/>
      <c r="E675" s="241"/>
      <c r="F675" s="260"/>
      <c r="G675" s="260"/>
      <c r="H675" s="260"/>
      <c r="I675" s="260"/>
      <c r="J675" s="260"/>
      <c r="K675" s="260"/>
      <c r="L675" s="260"/>
      <c r="M675" s="260"/>
      <c r="N675" s="260"/>
      <c r="O675" s="235"/>
      <c r="P675" s="235"/>
      <c r="Q675" s="235"/>
    </row>
    <row r="676" spans="2:17">
      <c r="B676" s="241"/>
      <c r="C676" s="241"/>
      <c r="D676" s="241"/>
      <c r="E676" s="241"/>
      <c r="F676" s="260"/>
      <c r="G676" s="260"/>
      <c r="H676" s="260"/>
      <c r="I676" s="260"/>
      <c r="J676" s="260"/>
      <c r="K676" s="260"/>
      <c r="L676" s="260"/>
      <c r="M676" s="260"/>
      <c r="N676" s="260"/>
      <c r="O676" s="235"/>
      <c r="P676" s="235"/>
      <c r="Q676" s="235"/>
    </row>
    <row r="677" spans="2:17">
      <c r="B677" s="241"/>
      <c r="C677" s="241"/>
      <c r="D677" s="241"/>
      <c r="E677" s="241"/>
      <c r="F677" s="260"/>
      <c r="G677" s="260"/>
      <c r="H677" s="260"/>
      <c r="I677" s="260"/>
      <c r="J677" s="260"/>
      <c r="K677" s="260"/>
      <c r="L677" s="260"/>
      <c r="M677" s="260"/>
      <c r="N677" s="260"/>
      <c r="O677" s="235"/>
      <c r="P677" s="235"/>
      <c r="Q677" s="235"/>
    </row>
    <row r="678" spans="2:17">
      <c r="B678" s="241"/>
      <c r="C678" s="241"/>
      <c r="D678" s="241"/>
      <c r="E678" s="241"/>
      <c r="F678" s="260"/>
      <c r="G678" s="260"/>
      <c r="H678" s="260"/>
      <c r="I678" s="260"/>
      <c r="J678" s="260"/>
      <c r="K678" s="260"/>
      <c r="L678" s="260"/>
      <c r="M678" s="260"/>
      <c r="N678" s="260"/>
      <c r="O678" s="235"/>
      <c r="P678" s="235"/>
      <c r="Q678" s="235"/>
    </row>
    <row r="679" spans="2:17">
      <c r="B679" s="241"/>
      <c r="C679" s="241"/>
      <c r="D679" s="241"/>
      <c r="E679" s="241"/>
      <c r="F679" s="260"/>
      <c r="G679" s="260"/>
      <c r="H679" s="260"/>
      <c r="I679" s="260"/>
      <c r="J679" s="260"/>
      <c r="K679" s="260"/>
      <c r="L679" s="260"/>
      <c r="M679" s="260"/>
      <c r="N679" s="260"/>
      <c r="O679" s="235"/>
      <c r="P679" s="235"/>
      <c r="Q679" s="235"/>
    </row>
    <row r="680" spans="2:17">
      <c r="B680" s="241"/>
      <c r="C680" s="241"/>
      <c r="D680" s="241"/>
      <c r="E680" s="241"/>
      <c r="F680" s="260"/>
      <c r="G680" s="260"/>
      <c r="H680" s="260"/>
      <c r="I680" s="260"/>
      <c r="J680" s="260"/>
      <c r="K680" s="260"/>
      <c r="L680" s="260"/>
      <c r="M680" s="260"/>
      <c r="N680" s="260"/>
      <c r="O680" s="235"/>
      <c r="P680" s="235"/>
      <c r="Q680" s="235"/>
    </row>
    <row r="681" spans="2:17">
      <c r="B681" s="241"/>
      <c r="C681" s="241"/>
      <c r="D681" s="241"/>
      <c r="E681" s="241"/>
      <c r="F681" s="260"/>
      <c r="G681" s="260"/>
      <c r="H681" s="260"/>
      <c r="I681" s="260"/>
      <c r="J681" s="260"/>
      <c r="K681" s="260"/>
      <c r="L681" s="260"/>
      <c r="M681" s="260"/>
      <c r="N681" s="260"/>
      <c r="O681" s="235"/>
      <c r="P681" s="235"/>
      <c r="Q681" s="235"/>
    </row>
    <row r="682" spans="2:17">
      <c r="B682" s="241"/>
      <c r="C682" s="241"/>
      <c r="D682" s="241"/>
      <c r="E682" s="241"/>
      <c r="F682" s="260"/>
      <c r="G682" s="260"/>
      <c r="H682" s="260"/>
      <c r="I682" s="260"/>
      <c r="J682" s="260"/>
      <c r="K682" s="260"/>
      <c r="L682" s="260"/>
      <c r="M682" s="260"/>
      <c r="N682" s="260"/>
      <c r="O682" s="235"/>
      <c r="P682" s="235"/>
      <c r="Q682" s="235"/>
    </row>
    <row r="683" spans="2:17">
      <c r="B683" s="241"/>
      <c r="C683" s="241"/>
      <c r="D683" s="241"/>
      <c r="E683" s="241"/>
      <c r="F683" s="260"/>
      <c r="G683" s="260"/>
      <c r="H683" s="260"/>
      <c r="I683" s="260"/>
      <c r="J683" s="260"/>
      <c r="K683" s="260"/>
      <c r="L683" s="260"/>
      <c r="M683" s="260"/>
      <c r="N683" s="260"/>
      <c r="O683" s="235"/>
      <c r="P683" s="235"/>
      <c r="Q683" s="235"/>
    </row>
    <row r="684" spans="2:17">
      <c r="B684" s="241"/>
      <c r="C684" s="241"/>
      <c r="D684" s="241"/>
      <c r="E684" s="241"/>
      <c r="F684" s="260"/>
      <c r="G684" s="260"/>
      <c r="H684" s="260"/>
      <c r="I684" s="260"/>
      <c r="J684" s="260"/>
      <c r="K684" s="260"/>
      <c r="L684" s="260"/>
      <c r="M684" s="260"/>
      <c r="N684" s="260"/>
      <c r="O684" s="235"/>
      <c r="P684" s="235"/>
      <c r="Q684" s="235"/>
    </row>
    <row r="685" spans="2:17">
      <c r="B685" s="241"/>
      <c r="C685" s="241"/>
      <c r="D685" s="241"/>
      <c r="E685" s="241"/>
      <c r="F685" s="260"/>
      <c r="G685" s="260"/>
      <c r="H685" s="260"/>
      <c r="I685" s="260"/>
      <c r="J685" s="260"/>
      <c r="K685" s="260"/>
      <c r="L685" s="260"/>
      <c r="M685" s="260"/>
      <c r="N685" s="260"/>
      <c r="O685" s="235"/>
      <c r="P685" s="235"/>
      <c r="Q685" s="235"/>
    </row>
    <row r="686" spans="2:17">
      <c r="B686" s="241"/>
      <c r="C686" s="241"/>
      <c r="D686" s="241"/>
      <c r="E686" s="241"/>
      <c r="F686" s="260"/>
      <c r="G686" s="260"/>
      <c r="H686" s="260"/>
      <c r="I686" s="260"/>
      <c r="J686" s="260"/>
      <c r="K686" s="260"/>
      <c r="L686" s="260"/>
      <c r="M686" s="260"/>
      <c r="N686" s="260"/>
      <c r="O686" s="235"/>
      <c r="P686" s="235"/>
      <c r="Q686" s="235"/>
    </row>
    <row r="687" spans="2:17">
      <c r="B687" s="241"/>
      <c r="C687" s="241"/>
      <c r="D687" s="241"/>
      <c r="E687" s="241"/>
      <c r="F687" s="260"/>
      <c r="G687" s="260"/>
      <c r="H687" s="260"/>
      <c r="I687" s="260"/>
      <c r="J687" s="260"/>
      <c r="K687" s="260"/>
      <c r="L687" s="260"/>
      <c r="M687" s="260"/>
      <c r="N687" s="260"/>
      <c r="O687" s="235"/>
      <c r="P687" s="235"/>
      <c r="Q687" s="235"/>
    </row>
    <row r="688" spans="2:17">
      <c r="B688" s="241"/>
      <c r="C688" s="241"/>
      <c r="D688" s="241"/>
      <c r="E688" s="241"/>
      <c r="F688" s="260"/>
      <c r="G688" s="260"/>
      <c r="H688" s="260"/>
      <c r="I688" s="260"/>
      <c r="J688" s="260"/>
      <c r="K688" s="260"/>
      <c r="L688" s="260"/>
      <c r="M688" s="260"/>
      <c r="N688" s="260"/>
      <c r="O688" s="235"/>
      <c r="P688" s="235"/>
      <c r="Q688" s="235"/>
    </row>
    <row r="689" spans="2:17">
      <c r="B689" s="241"/>
      <c r="C689" s="241"/>
      <c r="D689" s="241"/>
      <c r="E689" s="241"/>
      <c r="F689" s="260"/>
      <c r="G689" s="260"/>
      <c r="H689" s="260"/>
      <c r="I689" s="260"/>
      <c r="J689" s="260"/>
      <c r="K689" s="260"/>
      <c r="L689" s="260"/>
      <c r="M689" s="260"/>
      <c r="N689" s="260"/>
      <c r="O689" s="235"/>
      <c r="P689" s="235"/>
      <c r="Q689" s="235"/>
    </row>
    <row r="690" spans="2:17">
      <c r="B690" s="241"/>
      <c r="C690" s="241"/>
      <c r="D690" s="241"/>
      <c r="E690" s="241"/>
      <c r="F690" s="260"/>
      <c r="G690" s="260"/>
      <c r="H690" s="260"/>
      <c r="I690" s="260"/>
      <c r="J690" s="260"/>
      <c r="K690" s="260"/>
      <c r="L690" s="260"/>
      <c r="M690" s="260"/>
      <c r="N690" s="260"/>
      <c r="O690" s="235"/>
      <c r="P690" s="235"/>
      <c r="Q690" s="235"/>
    </row>
    <row r="691" spans="2:17">
      <c r="B691" s="241"/>
      <c r="C691" s="241"/>
      <c r="D691" s="241"/>
      <c r="E691" s="241"/>
      <c r="F691" s="260"/>
      <c r="G691" s="260"/>
      <c r="H691" s="260"/>
      <c r="I691" s="260"/>
      <c r="J691" s="260"/>
      <c r="K691" s="260"/>
      <c r="L691" s="260"/>
      <c r="M691" s="260"/>
      <c r="N691" s="260"/>
      <c r="O691" s="235"/>
      <c r="P691" s="235"/>
      <c r="Q691" s="235"/>
    </row>
    <row r="692" spans="2:17">
      <c r="B692" s="241"/>
      <c r="C692" s="241"/>
      <c r="D692" s="241"/>
      <c r="E692" s="241"/>
      <c r="F692" s="260"/>
      <c r="G692" s="260"/>
      <c r="H692" s="260"/>
      <c r="I692" s="260"/>
      <c r="J692" s="260"/>
      <c r="K692" s="260"/>
      <c r="L692" s="260"/>
      <c r="M692" s="260"/>
      <c r="N692" s="260"/>
      <c r="O692" s="235"/>
      <c r="P692" s="235"/>
      <c r="Q692" s="235"/>
    </row>
    <row r="693" spans="2:17">
      <c r="B693" s="241"/>
      <c r="C693" s="241"/>
      <c r="D693" s="241"/>
      <c r="E693" s="241"/>
      <c r="F693" s="260"/>
      <c r="G693" s="260"/>
      <c r="H693" s="260"/>
      <c r="I693" s="260"/>
      <c r="J693" s="260"/>
      <c r="K693" s="260"/>
      <c r="L693" s="260"/>
      <c r="M693" s="260"/>
      <c r="N693" s="260"/>
      <c r="O693" s="235"/>
      <c r="P693" s="235"/>
      <c r="Q693" s="235"/>
    </row>
    <row r="694" spans="2:17">
      <c r="B694" s="241"/>
      <c r="C694" s="241"/>
      <c r="D694" s="241"/>
      <c r="E694" s="241"/>
      <c r="F694" s="260"/>
      <c r="G694" s="260"/>
      <c r="H694" s="260"/>
      <c r="I694" s="260"/>
      <c r="J694" s="260"/>
      <c r="K694" s="260"/>
      <c r="L694" s="260"/>
      <c r="M694" s="260"/>
      <c r="N694" s="260"/>
      <c r="O694" s="235"/>
      <c r="P694" s="235"/>
      <c r="Q694" s="235"/>
    </row>
    <row r="695" spans="2:17">
      <c r="B695" s="241"/>
      <c r="C695" s="241"/>
      <c r="D695" s="241"/>
      <c r="E695" s="241"/>
      <c r="F695" s="260"/>
      <c r="G695" s="260"/>
      <c r="H695" s="260"/>
      <c r="I695" s="260"/>
      <c r="J695" s="260"/>
      <c r="K695" s="260"/>
      <c r="L695" s="260"/>
      <c r="M695" s="260"/>
      <c r="N695" s="260"/>
      <c r="O695" s="235"/>
      <c r="P695" s="235"/>
      <c r="Q695" s="235"/>
    </row>
    <row r="696" spans="2:17">
      <c r="B696" s="241"/>
      <c r="C696" s="241"/>
      <c r="D696" s="241"/>
      <c r="E696" s="241"/>
      <c r="F696" s="260"/>
      <c r="G696" s="260"/>
      <c r="H696" s="260"/>
      <c r="I696" s="260"/>
      <c r="J696" s="260"/>
      <c r="K696" s="260"/>
      <c r="L696" s="260"/>
      <c r="M696" s="260"/>
      <c r="N696" s="260"/>
      <c r="O696" s="235"/>
      <c r="P696" s="235"/>
      <c r="Q696" s="235"/>
    </row>
    <row r="697" spans="2:17">
      <c r="B697" s="241"/>
      <c r="C697" s="241"/>
      <c r="D697" s="241"/>
      <c r="E697" s="241"/>
      <c r="F697" s="260"/>
      <c r="G697" s="260"/>
      <c r="H697" s="260"/>
      <c r="I697" s="260"/>
      <c r="J697" s="260"/>
      <c r="K697" s="260"/>
      <c r="L697" s="260"/>
      <c r="M697" s="260"/>
      <c r="N697" s="260"/>
      <c r="O697" s="235"/>
      <c r="P697" s="235"/>
      <c r="Q697" s="235"/>
    </row>
    <row r="698" spans="2:17">
      <c r="B698" s="241"/>
      <c r="C698" s="241"/>
      <c r="D698" s="241"/>
      <c r="E698" s="241"/>
      <c r="F698" s="260"/>
      <c r="G698" s="260"/>
      <c r="H698" s="260"/>
      <c r="I698" s="260"/>
      <c r="J698" s="260"/>
      <c r="K698" s="260"/>
      <c r="L698" s="260"/>
      <c r="M698" s="260"/>
      <c r="N698" s="260"/>
      <c r="O698" s="235"/>
      <c r="P698" s="235"/>
      <c r="Q698" s="235"/>
    </row>
    <row r="699" spans="2:17">
      <c r="B699" s="241"/>
      <c r="C699" s="241"/>
      <c r="D699" s="241"/>
      <c r="E699" s="241"/>
      <c r="F699" s="260"/>
      <c r="G699" s="260"/>
      <c r="H699" s="260"/>
      <c r="I699" s="260"/>
      <c r="J699" s="260"/>
      <c r="K699" s="260"/>
      <c r="L699" s="260"/>
      <c r="M699" s="260"/>
      <c r="N699" s="260"/>
      <c r="O699" s="235"/>
      <c r="P699" s="235"/>
      <c r="Q699" s="235"/>
    </row>
    <row r="700" spans="2:17">
      <c r="B700" s="241"/>
      <c r="C700" s="241"/>
      <c r="D700" s="241"/>
      <c r="E700" s="241"/>
      <c r="F700" s="260"/>
      <c r="G700" s="260"/>
      <c r="H700" s="260"/>
      <c r="I700" s="260"/>
      <c r="J700" s="260"/>
      <c r="K700" s="260"/>
      <c r="L700" s="260"/>
      <c r="M700" s="260"/>
      <c r="N700" s="260"/>
      <c r="O700" s="235"/>
      <c r="P700" s="235"/>
      <c r="Q700" s="235"/>
    </row>
    <row r="701" spans="2:17">
      <c r="B701" s="241"/>
      <c r="C701" s="241"/>
      <c r="D701" s="241"/>
      <c r="E701" s="241"/>
      <c r="F701" s="260"/>
      <c r="G701" s="260"/>
      <c r="H701" s="260"/>
      <c r="I701" s="260"/>
      <c r="J701" s="260"/>
      <c r="K701" s="260"/>
      <c r="L701" s="260"/>
      <c r="M701" s="260"/>
      <c r="N701" s="260"/>
      <c r="O701" s="235"/>
      <c r="P701" s="235"/>
      <c r="Q701" s="235"/>
    </row>
    <row r="702" spans="2:17">
      <c r="B702" s="241"/>
      <c r="C702" s="241"/>
      <c r="D702" s="241"/>
      <c r="E702" s="241"/>
      <c r="F702" s="260"/>
      <c r="G702" s="260"/>
      <c r="H702" s="260"/>
      <c r="I702" s="260"/>
      <c r="J702" s="260"/>
      <c r="K702" s="260"/>
      <c r="L702" s="260"/>
      <c r="M702" s="260"/>
      <c r="N702" s="260"/>
      <c r="O702" s="235"/>
      <c r="P702" s="235"/>
      <c r="Q702" s="235"/>
    </row>
    <row r="703" spans="2:17">
      <c r="B703" s="241"/>
      <c r="C703" s="241"/>
      <c r="D703" s="241"/>
      <c r="E703" s="241"/>
      <c r="F703" s="260"/>
      <c r="G703" s="260"/>
      <c r="H703" s="260"/>
      <c r="I703" s="260"/>
      <c r="J703" s="260"/>
      <c r="K703" s="260"/>
      <c r="L703" s="260"/>
      <c r="M703" s="260"/>
      <c r="N703" s="260"/>
      <c r="O703" s="235"/>
      <c r="P703" s="235"/>
      <c r="Q703" s="235"/>
    </row>
    <row r="704" spans="2:17">
      <c r="B704" s="241"/>
      <c r="C704" s="241"/>
      <c r="D704" s="241"/>
      <c r="E704" s="241"/>
      <c r="F704" s="260"/>
      <c r="G704" s="260"/>
      <c r="H704" s="260"/>
      <c r="I704" s="260"/>
      <c r="J704" s="260"/>
      <c r="K704" s="260"/>
      <c r="L704" s="260"/>
      <c r="M704" s="260"/>
      <c r="N704" s="260"/>
      <c r="O704" s="235"/>
      <c r="P704" s="235"/>
      <c r="Q704" s="235"/>
    </row>
    <row r="705" spans="2:17">
      <c r="B705" s="241"/>
      <c r="C705" s="241"/>
      <c r="D705" s="241"/>
      <c r="E705" s="241"/>
      <c r="F705" s="260"/>
      <c r="G705" s="260"/>
      <c r="H705" s="260"/>
      <c r="I705" s="260"/>
      <c r="J705" s="260"/>
      <c r="K705" s="260"/>
      <c r="L705" s="260"/>
      <c r="M705" s="260"/>
      <c r="N705" s="260"/>
      <c r="O705" s="235"/>
      <c r="P705" s="235"/>
      <c r="Q705" s="235"/>
    </row>
    <row r="706" spans="2:17">
      <c r="B706" s="241"/>
      <c r="C706" s="241"/>
      <c r="D706" s="241"/>
      <c r="E706" s="241"/>
      <c r="F706" s="260"/>
      <c r="G706" s="260"/>
      <c r="H706" s="260"/>
      <c r="I706" s="260"/>
      <c r="J706" s="260"/>
      <c r="K706" s="260"/>
      <c r="L706" s="260"/>
      <c r="M706" s="260"/>
      <c r="N706" s="260"/>
      <c r="O706" s="235"/>
      <c r="P706" s="235"/>
      <c r="Q706" s="235"/>
    </row>
    <row r="707" spans="2:17">
      <c r="B707" s="241"/>
      <c r="C707" s="241"/>
      <c r="D707" s="241"/>
      <c r="E707" s="241"/>
      <c r="F707" s="260"/>
      <c r="G707" s="260"/>
      <c r="H707" s="260"/>
      <c r="I707" s="260"/>
      <c r="J707" s="260"/>
      <c r="K707" s="260"/>
      <c r="L707" s="260"/>
      <c r="M707" s="260"/>
      <c r="N707" s="260"/>
      <c r="O707" s="235"/>
      <c r="P707" s="235"/>
      <c r="Q707" s="235"/>
    </row>
    <row r="708" spans="2:17">
      <c r="B708" s="241"/>
      <c r="C708" s="241"/>
      <c r="D708" s="241"/>
      <c r="E708" s="241"/>
      <c r="F708" s="260"/>
      <c r="G708" s="260"/>
      <c r="H708" s="260"/>
      <c r="I708" s="260"/>
      <c r="J708" s="260"/>
      <c r="K708" s="260"/>
      <c r="L708" s="260"/>
      <c r="M708" s="260"/>
      <c r="N708" s="260"/>
      <c r="O708" s="235"/>
      <c r="P708" s="235"/>
      <c r="Q708" s="235"/>
    </row>
    <row r="709" spans="2:17">
      <c r="B709" s="241"/>
      <c r="C709" s="241"/>
      <c r="D709" s="241"/>
      <c r="E709" s="241"/>
      <c r="F709" s="260"/>
      <c r="G709" s="260"/>
      <c r="H709" s="260"/>
      <c r="I709" s="260"/>
      <c r="J709" s="260"/>
      <c r="K709" s="260"/>
      <c r="L709" s="260"/>
      <c r="M709" s="260"/>
      <c r="N709" s="260"/>
      <c r="O709" s="235"/>
      <c r="P709" s="235"/>
      <c r="Q709" s="235"/>
    </row>
    <row r="710" spans="2:17">
      <c r="B710" s="241"/>
      <c r="C710" s="241"/>
      <c r="D710" s="241"/>
      <c r="E710" s="241"/>
      <c r="F710" s="260"/>
      <c r="G710" s="260"/>
      <c r="H710" s="260"/>
      <c r="I710" s="260"/>
      <c r="J710" s="260"/>
      <c r="K710" s="260"/>
      <c r="L710" s="260"/>
      <c r="M710" s="260"/>
      <c r="N710" s="260"/>
      <c r="O710" s="235"/>
      <c r="P710" s="235"/>
      <c r="Q710" s="235"/>
    </row>
    <row r="711" spans="2:17">
      <c r="B711" s="241"/>
      <c r="C711" s="241"/>
      <c r="D711" s="241"/>
      <c r="E711" s="241"/>
      <c r="F711" s="260"/>
      <c r="G711" s="260"/>
      <c r="H711" s="260"/>
      <c r="I711" s="260"/>
      <c r="J711" s="260"/>
      <c r="K711" s="260"/>
      <c r="L711" s="260"/>
      <c r="M711" s="260"/>
      <c r="N711" s="260"/>
      <c r="O711" s="235"/>
      <c r="P711" s="235"/>
      <c r="Q711" s="235"/>
    </row>
    <row r="712" spans="2:17">
      <c r="B712" s="241"/>
      <c r="C712" s="241"/>
      <c r="D712" s="241"/>
      <c r="E712" s="241"/>
      <c r="F712" s="260"/>
      <c r="G712" s="260"/>
      <c r="H712" s="260"/>
      <c r="I712" s="260"/>
      <c r="J712" s="260"/>
      <c r="K712" s="260"/>
      <c r="L712" s="260"/>
      <c r="M712" s="260"/>
      <c r="N712" s="260"/>
      <c r="O712" s="235"/>
      <c r="P712" s="235"/>
      <c r="Q712" s="235"/>
    </row>
    <row r="713" spans="2:17">
      <c r="B713" s="241"/>
      <c r="C713" s="241"/>
      <c r="D713" s="241"/>
      <c r="E713" s="241"/>
      <c r="F713" s="260"/>
      <c r="G713" s="260"/>
      <c r="H713" s="260"/>
      <c r="I713" s="260"/>
      <c r="J713" s="260"/>
      <c r="K713" s="260"/>
      <c r="L713" s="260"/>
      <c r="M713" s="260"/>
      <c r="N713" s="260"/>
      <c r="O713" s="235"/>
      <c r="P713" s="235"/>
      <c r="Q713" s="235"/>
    </row>
    <row r="714" spans="2:17">
      <c r="B714" s="241"/>
      <c r="C714" s="241"/>
      <c r="D714" s="241"/>
      <c r="E714" s="241"/>
      <c r="F714" s="260"/>
      <c r="G714" s="260"/>
      <c r="H714" s="260"/>
      <c r="I714" s="260"/>
      <c r="J714" s="260"/>
      <c r="K714" s="260"/>
      <c r="L714" s="260"/>
      <c r="M714" s="260"/>
      <c r="N714" s="260"/>
      <c r="O714" s="235"/>
      <c r="P714" s="235"/>
      <c r="Q714" s="235"/>
    </row>
    <row r="715" spans="2:17">
      <c r="B715" s="241"/>
      <c r="C715" s="241"/>
      <c r="D715" s="241"/>
      <c r="E715" s="241"/>
      <c r="F715" s="260"/>
      <c r="G715" s="260"/>
      <c r="H715" s="260"/>
      <c r="I715" s="260"/>
      <c r="J715" s="260"/>
      <c r="K715" s="260"/>
      <c r="L715" s="260"/>
      <c r="M715" s="260"/>
      <c r="N715" s="260"/>
      <c r="O715" s="235"/>
      <c r="P715" s="235"/>
      <c r="Q715" s="235"/>
    </row>
    <row r="716" spans="2:17">
      <c r="B716" s="241"/>
      <c r="C716" s="241"/>
      <c r="D716" s="241"/>
      <c r="E716" s="241"/>
      <c r="F716" s="260"/>
      <c r="G716" s="260"/>
      <c r="H716" s="260"/>
      <c r="I716" s="260"/>
      <c r="J716" s="260"/>
      <c r="K716" s="260"/>
      <c r="L716" s="260"/>
      <c r="M716" s="260"/>
      <c r="N716" s="260"/>
      <c r="O716" s="235"/>
      <c r="P716" s="235"/>
      <c r="Q716" s="235"/>
    </row>
    <row r="717" spans="2:17">
      <c r="B717" s="241"/>
      <c r="C717" s="241"/>
      <c r="D717" s="241"/>
      <c r="E717" s="241"/>
      <c r="F717" s="260"/>
      <c r="G717" s="260"/>
      <c r="H717" s="260"/>
      <c r="I717" s="260"/>
      <c r="J717" s="260"/>
      <c r="K717" s="260"/>
      <c r="L717" s="260"/>
      <c r="M717" s="260"/>
      <c r="N717" s="260"/>
      <c r="O717" s="235"/>
      <c r="P717" s="235"/>
      <c r="Q717" s="235"/>
    </row>
    <row r="718" spans="2:17">
      <c r="B718" s="241"/>
      <c r="C718" s="241"/>
      <c r="D718" s="241"/>
      <c r="E718" s="241"/>
      <c r="F718" s="260"/>
      <c r="G718" s="260"/>
      <c r="H718" s="260"/>
      <c r="I718" s="260"/>
      <c r="J718" s="260"/>
      <c r="K718" s="260"/>
      <c r="L718" s="260"/>
      <c r="M718" s="260"/>
      <c r="N718" s="260"/>
      <c r="O718" s="235"/>
      <c r="P718" s="235"/>
      <c r="Q718" s="235"/>
    </row>
    <row r="719" spans="2:17">
      <c r="B719" s="241"/>
      <c r="C719" s="241"/>
      <c r="D719" s="241"/>
      <c r="E719" s="241"/>
      <c r="F719" s="260"/>
      <c r="G719" s="260"/>
      <c r="H719" s="260"/>
      <c r="I719" s="260"/>
      <c r="J719" s="260"/>
      <c r="K719" s="260"/>
      <c r="L719" s="260"/>
      <c r="M719" s="260"/>
      <c r="N719" s="260"/>
      <c r="O719" s="235"/>
      <c r="P719" s="235"/>
      <c r="Q719" s="235"/>
    </row>
    <row r="720" spans="2:17">
      <c r="B720" s="241"/>
      <c r="C720" s="241"/>
      <c r="D720" s="241"/>
      <c r="E720" s="241"/>
      <c r="F720" s="260"/>
      <c r="G720" s="260"/>
      <c r="H720" s="260"/>
      <c r="I720" s="260"/>
      <c r="J720" s="260"/>
      <c r="K720" s="260"/>
      <c r="L720" s="260"/>
      <c r="M720" s="260"/>
      <c r="N720" s="260"/>
      <c r="O720" s="235"/>
      <c r="P720" s="235"/>
      <c r="Q720" s="235"/>
    </row>
    <row r="721" spans="2:17">
      <c r="B721" s="241"/>
      <c r="C721" s="241"/>
      <c r="D721" s="241"/>
      <c r="E721" s="241"/>
      <c r="F721" s="260"/>
      <c r="G721" s="260"/>
      <c r="H721" s="260"/>
      <c r="I721" s="260"/>
      <c r="J721" s="260"/>
      <c r="K721" s="260"/>
      <c r="L721" s="260"/>
      <c r="M721" s="260"/>
      <c r="N721" s="260"/>
      <c r="O721" s="235"/>
      <c r="P721" s="235"/>
      <c r="Q721" s="235"/>
    </row>
    <row r="722" spans="2:17">
      <c r="B722" s="241"/>
      <c r="C722" s="241"/>
      <c r="D722" s="241"/>
      <c r="E722" s="241"/>
      <c r="F722" s="260"/>
      <c r="G722" s="260"/>
      <c r="H722" s="260"/>
      <c r="I722" s="260"/>
      <c r="J722" s="260"/>
      <c r="K722" s="260"/>
      <c r="L722" s="260"/>
      <c r="M722" s="260"/>
      <c r="N722" s="260"/>
      <c r="O722" s="235"/>
      <c r="P722" s="235"/>
      <c r="Q722" s="235"/>
    </row>
    <row r="723" spans="2:17">
      <c r="B723" s="241"/>
      <c r="C723" s="241"/>
      <c r="D723" s="241"/>
      <c r="E723" s="241"/>
      <c r="F723" s="260"/>
      <c r="G723" s="260"/>
      <c r="H723" s="260"/>
      <c r="I723" s="260"/>
      <c r="J723" s="260"/>
      <c r="K723" s="260"/>
      <c r="L723" s="260"/>
      <c r="M723" s="260"/>
      <c r="N723" s="260"/>
      <c r="O723" s="235"/>
      <c r="P723" s="235"/>
      <c r="Q723" s="235"/>
    </row>
    <row r="724" spans="2:17">
      <c r="B724" s="241"/>
      <c r="C724" s="241"/>
      <c r="D724" s="241"/>
      <c r="E724" s="241"/>
      <c r="F724" s="260"/>
      <c r="G724" s="260"/>
      <c r="H724" s="260"/>
      <c r="I724" s="260"/>
      <c r="J724" s="260"/>
      <c r="K724" s="260"/>
      <c r="L724" s="260"/>
      <c r="M724" s="260"/>
      <c r="N724" s="260"/>
      <c r="O724" s="235"/>
      <c r="P724" s="235"/>
      <c r="Q724" s="235"/>
    </row>
    <row r="725" spans="2:17">
      <c r="B725" s="241"/>
      <c r="C725" s="241"/>
      <c r="D725" s="241"/>
      <c r="E725" s="241"/>
      <c r="F725" s="260"/>
      <c r="G725" s="260"/>
      <c r="H725" s="260"/>
      <c r="I725" s="260"/>
      <c r="J725" s="260"/>
      <c r="K725" s="260"/>
      <c r="L725" s="260"/>
      <c r="M725" s="260"/>
      <c r="N725" s="260"/>
      <c r="O725" s="235"/>
      <c r="P725" s="235"/>
      <c r="Q725" s="235"/>
    </row>
    <row r="726" spans="2:17">
      <c r="B726" s="241"/>
      <c r="C726" s="241"/>
      <c r="D726" s="241"/>
      <c r="E726" s="241"/>
      <c r="F726" s="260"/>
      <c r="G726" s="260"/>
      <c r="H726" s="260"/>
      <c r="I726" s="260"/>
      <c r="J726" s="260"/>
      <c r="K726" s="260"/>
      <c r="L726" s="260"/>
      <c r="M726" s="260"/>
      <c r="N726" s="260"/>
      <c r="O726" s="235"/>
      <c r="P726" s="235"/>
      <c r="Q726" s="235"/>
    </row>
    <row r="727" spans="2:17">
      <c r="B727" s="241"/>
      <c r="C727" s="241"/>
      <c r="D727" s="241"/>
      <c r="E727" s="241"/>
      <c r="F727" s="260"/>
      <c r="G727" s="260"/>
      <c r="H727" s="260"/>
      <c r="I727" s="260"/>
      <c r="J727" s="260"/>
      <c r="K727" s="260"/>
      <c r="L727" s="260"/>
      <c r="M727" s="260"/>
      <c r="N727" s="260"/>
      <c r="O727" s="235"/>
      <c r="P727" s="235"/>
      <c r="Q727" s="235"/>
    </row>
    <row r="728" spans="2:17">
      <c r="B728" s="241"/>
      <c r="C728" s="241"/>
      <c r="D728" s="241"/>
      <c r="E728" s="241"/>
      <c r="F728" s="260"/>
      <c r="G728" s="260"/>
      <c r="H728" s="260"/>
      <c r="I728" s="260"/>
      <c r="J728" s="260"/>
      <c r="K728" s="260"/>
      <c r="L728" s="260"/>
      <c r="M728" s="260"/>
      <c r="N728" s="260"/>
      <c r="O728" s="235"/>
      <c r="P728" s="235"/>
      <c r="Q728" s="235"/>
    </row>
    <row r="729" spans="2:17">
      <c r="B729" s="241"/>
      <c r="C729" s="241"/>
      <c r="D729" s="241"/>
      <c r="E729" s="241"/>
      <c r="F729" s="260"/>
      <c r="G729" s="260"/>
      <c r="H729" s="260"/>
      <c r="I729" s="260"/>
      <c r="J729" s="260"/>
      <c r="K729" s="260"/>
      <c r="L729" s="260"/>
      <c r="M729" s="260"/>
      <c r="N729" s="260"/>
      <c r="O729" s="235"/>
      <c r="P729" s="235"/>
      <c r="Q729" s="235"/>
    </row>
    <row r="730" spans="2:17">
      <c r="B730" s="241"/>
      <c r="C730" s="241"/>
      <c r="D730" s="241"/>
      <c r="E730" s="241"/>
      <c r="F730" s="260"/>
      <c r="G730" s="260"/>
      <c r="H730" s="260"/>
      <c r="I730" s="260"/>
      <c r="J730" s="260"/>
      <c r="K730" s="260"/>
      <c r="L730" s="260"/>
      <c r="M730" s="260"/>
      <c r="N730" s="260"/>
      <c r="O730" s="235"/>
      <c r="P730" s="235"/>
      <c r="Q730" s="235"/>
    </row>
    <row r="731" spans="2:17">
      <c r="B731" s="241"/>
      <c r="C731" s="241"/>
      <c r="D731" s="241"/>
      <c r="E731" s="241"/>
      <c r="F731" s="260"/>
      <c r="G731" s="260"/>
      <c r="H731" s="260"/>
      <c r="I731" s="260"/>
      <c r="J731" s="260"/>
      <c r="K731" s="260"/>
      <c r="L731" s="260"/>
      <c r="M731" s="260"/>
      <c r="N731" s="260"/>
      <c r="O731" s="235"/>
      <c r="P731" s="235"/>
      <c r="Q731" s="235"/>
    </row>
    <row r="732" spans="2:17">
      <c r="B732" s="241"/>
      <c r="C732" s="241"/>
      <c r="D732" s="241"/>
      <c r="E732" s="241"/>
      <c r="F732" s="260"/>
      <c r="G732" s="260"/>
      <c r="H732" s="260"/>
      <c r="I732" s="260"/>
      <c r="J732" s="260"/>
      <c r="K732" s="260"/>
      <c r="L732" s="260"/>
      <c r="M732" s="260"/>
      <c r="N732" s="260"/>
      <c r="O732" s="235"/>
      <c r="P732" s="235"/>
      <c r="Q732" s="235"/>
    </row>
    <row r="733" spans="2:17">
      <c r="B733" s="241"/>
      <c r="C733" s="241"/>
      <c r="D733" s="241"/>
      <c r="E733" s="241"/>
      <c r="F733" s="260"/>
      <c r="G733" s="260"/>
      <c r="H733" s="260"/>
      <c r="I733" s="260"/>
      <c r="J733" s="260"/>
      <c r="K733" s="260"/>
      <c r="L733" s="260"/>
      <c r="M733" s="260"/>
      <c r="N733" s="260"/>
      <c r="O733" s="235"/>
      <c r="P733" s="235"/>
      <c r="Q733" s="235"/>
    </row>
    <row r="734" spans="2:17">
      <c r="B734" s="241"/>
      <c r="C734" s="241"/>
      <c r="D734" s="241"/>
      <c r="E734" s="241"/>
      <c r="F734" s="260"/>
      <c r="G734" s="260"/>
      <c r="H734" s="260"/>
      <c r="I734" s="260"/>
      <c r="J734" s="260"/>
      <c r="K734" s="260"/>
      <c r="L734" s="260"/>
      <c r="M734" s="260"/>
      <c r="N734" s="260"/>
      <c r="O734" s="235"/>
      <c r="P734" s="235"/>
      <c r="Q734" s="235"/>
    </row>
    <row r="735" spans="2:17">
      <c r="B735" s="241"/>
      <c r="C735" s="241"/>
      <c r="D735" s="241"/>
      <c r="E735" s="241"/>
      <c r="F735" s="260"/>
      <c r="G735" s="260"/>
      <c r="H735" s="260"/>
      <c r="I735" s="260"/>
      <c r="J735" s="260"/>
      <c r="K735" s="260"/>
      <c r="L735" s="260"/>
      <c r="M735" s="260"/>
      <c r="N735" s="260"/>
      <c r="O735" s="235"/>
      <c r="P735" s="235"/>
      <c r="Q735" s="235"/>
    </row>
    <row r="736" spans="2:17">
      <c r="B736" s="241"/>
      <c r="C736" s="241"/>
      <c r="D736" s="241"/>
      <c r="E736" s="241"/>
      <c r="F736" s="260"/>
      <c r="G736" s="260"/>
      <c r="H736" s="260"/>
      <c r="I736" s="260"/>
      <c r="J736" s="260"/>
      <c r="K736" s="260"/>
      <c r="L736" s="260"/>
      <c r="M736" s="260"/>
      <c r="N736" s="260"/>
      <c r="O736" s="235"/>
      <c r="P736" s="235"/>
      <c r="Q736" s="235"/>
    </row>
    <row r="737" spans="2:17">
      <c r="B737" s="241"/>
      <c r="C737" s="241"/>
      <c r="D737" s="241"/>
      <c r="E737" s="241"/>
      <c r="F737" s="260"/>
      <c r="G737" s="260"/>
      <c r="H737" s="260"/>
      <c r="I737" s="260"/>
      <c r="J737" s="260"/>
      <c r="K737" s="260"/>
      <c r="L737" s="260"/>
      <c r="M737" s="260"/>
      <c r="N737" s="260"/>
      <c r="O737" s="235"/>
      <c r="P737" s="235"/>
      <c r="Q737" s="235"/>
    </row>
    <row r="738" spans="2:17">
      <c r="B738" s="241"/>
      <c r="C738" s="241"/>
      <c r="D738" s="241"/>
      <c r="E738" s="241"/>
      <c r="F738" s="260"/>
      <c r="G738" s="260"/>
      <c r="H738" s="260"/>
      <c r="I738" s="260"/>
      <c r="J738" s="260"/>
      <c r="K738" s="260"/>
      <c r="L738" s="260"/>
      <c r="M738" s="260"/>
      <c r="N738" s="260"/>
      <c r="O738" s="235"/>
      <c r="P738" s="235"/>
      <c r="Q738" s="235"/>
    </row>
    <row r="739" spans="2:17">
      <c r="B739" s="241"/>
      <c r="C739" s="241"/>
      <c r="D739" s="241"/>
      <c r="E739" s="241"/>
      <c r="F739" s="260"/>
      <c r="G739" s="260"/>
      <c r="H739" s="260"/>
      <c r="I739" s="260"/>
      <c r="J739" s="260"/>
      <c r="K739" s="260"/>
      <c r="L739" s="260"/>
      <c r="M739" s="260"/>
      <c r="N739" s="260"/>
      <c r="O739" s="235"/>
      <c r="P739" s="235"/>
      <c r="Q739" s="235"/>
    </row>
    <row r="740" spans="2:17">
      <c r="B740" s="241"/>
      <c r="C740" s="241"/>
      <c r="D740" s="241"/>
      <c r="E740" s="241"/>
      <c r="F740" s="260"/>
      <c r="G740" s="260"/>
      <c r="H740" s="260"/>
      <c r="I740" s="260"/>
      <c r="J740" s="260"/>
      <c r="K740" s="260"/>
      <c r="L740" s="260"/>
      <c r="M740" s="260"/>
      <c r="N740" s="260"/>
      <c r="O740" s="235"/>
      <c r="P740" s="235"/>
      <c r="Q740" s="235"/>
    </row>
    <row r="741" spans="2:17">
      <c r="B741" s="241"/>
      <c r="C741" s="241"/>
      <c r="D741" s="241"/>
      <c r="E741" s="241"/>
      <c r="F741" s="260"/>
      <c r="G741" s="260"/>
      <c r="H741" s="260"/>
      <c r="I741" s="260"/>
      <c r="J741" s="260"/>
      <c r="K741" s="260"/>
      <c r="L741" s="260"/>
      <c r="M741" s="260"/>
      <c r="N741" s="260"/>
      <c r="O741" s="235"/>
      <c r="P741" s="235"/>
      <c r="Q741" s="235"/>
    </row>
    <row r="742" spans="2:17">
      <c r="B742" s="241"/>
      <c r="C742" s="241"/>
      <c r="D742" s="241"/>
      <c r="E742" s="241"/>
      <c r="F742" s="260"/>
      <c r="G742" s="260"/>
      <c r="H742" s="260"/>
      <c r="I742" s="260"/>
      <c r="J742" s="260"/>
      <c r="K742" s="260"/>
      <c r="L742" s="260"/>
      <c r="M742" s="260"/>
      <c r="N742" s="260"/>
      <c r="O742" s="235"/>
      <c r="P742" s="235"/>
      <c r="Q742" s="235"/>
    </row>
    <row r="743" spans="2:17">
      <c r="B743" s="241"/>
      <c r="C743" s="241"/>
      <c r="D743" s="241"/>
      <c r="E743" s="241"/>
      <c r="F743" s="260"/>
      <c r="G743" s="260"/>
      <c r="H743" s="260"/>
      <c r="I743" s="260"/>
      <c r="J743" s="260"/>
      <c r="K743" s="260"/>
      <c r="L743" s="260"/>
      <c r="M743" s="260"/>
      <c r="N743" s="260"/>
      <c r="O743" s="235"/>
      <c r="P743" s="235"/>
      <c r="Q743" s="235"/>
    </row>
    <row r="744" spans="2:17">
      <c r="B744" s="241"/>
      <c r="C744" s="241"/>
      <c r="D744" s="241"/>
      <c r="E744" s="241"/>
      <c r="F744" s="260"/>
      <c r="G744" s="260"/>
      <c r="H744" s="260"/>
      <c r="I744" s="260"/>
      <c r="J744" s="260"/>
      <c r="K744" s="260"/>
      <c r="L744" s="260"/>
      <c r="M744" s="260"/>
      <c r="N744" s="260"/>
      <c r="O744" s="235"/>
      <c r="P744" s="235"/>
      <c r="Q744" s="235"/>
    </row>
    <row r="745" spans="2:17">
      <c r="B745" s="241"/>
      <c r="C745" s="241"/>
      <c r="D745" s="241"/>
      <c r="E745" s="241"/>
      <c r="F745" s="260"/>
      <c r="G745" s="260"/>
      <c r="H745" s="260"/>
      <c r="I745" s="260"/>
      <c r="J745" s="260"/>
      <c r="K745" s="260"/>
      <c r="L745" s="260"/>
      <c r="M745" s="260"/>
      <c r="N745" s="260"/>
      <c r="O745" s="235"/>
      <c r="P745" s="235"/>
      <c r="Q745" s="235"/>
    </row>
    <row r="746" spans="2:17">
      <c r="B746" s="241"/>
      <c r="C746" s="241"/>
      <c r="D746" s="241"/>
      <c r="E746" s="241"/>
      <c r="F746" s="260"/>
      <c r="G746" s="260"/>
      <c r="H746" s="260"/>
      <c r="I746" s="260"/>
      <c r="J746" s="260"/>
      <c r="K746" s="260"/>
      <c r="L746" s="260"/>
      <c r="M746" s="260"/>
      <c r="N746" s="260"/>
      <c r="O746" s="235"/>
      <c r="P746" s="235"/>
      <c r="Q746" s="235"/>
    </row>
    <row r="747" spans="2:17">
      <c r="B747" s="241"/>
      <c r="C747" s="241"/>
      <c r="D747" s="241"/>
      <c r="E747" s="241"/>
      <c r="F747" s="260"/>
      <c r="G747" s="260"/>
      <c r="H747" s="260"/>
      <c r="I747" s="260"/>
      <c r="J747" s="260"/>
      <c r="K747" s="260"/>
      <c r="L747" s="260"/>
      <c r="M747" s="260"/>
      <c r="N747" s="260"/>
      <c r="O747" s="235"/>
      <c r="P747" s="235"/>
      <c r="Q747" s="235"/>
    </row>
    <row r="748" spans="2:17">
      <c r="B748" s="241"/>
      <c r="C748" s="241"/>
      <c r="D748" s="241"/>
      <c r="E748" s="241"/>
      <c r="F748" s="260"/>
      <c r="G748" s="260"/>
      <c r="H748" s="260"/>
      <c r="I748" s="260"/>
      <c r="J748" s="260"/>
      <c r="K748" s="260"/>
      <c r="L748" s="260"/>
      <c r="M748" s="260"/>
      <c r="N748" s="260"/>
      <c r="O748" s="235"/>
      <c r="P748" s="235"/>
      <c r="Q748" s="235"/>
    </row>
    <row r="749" spans="2:17">
      <c r="B749" s="241"/>
      <c r="C749" s="241"/>
      <c r="D749" s="241"/>
      <c r="E749" s="241"/>
      <c r="F749" s="260"/>
      <c r="G749" s="260"/>
      <c r="H749" s="260"/>
      <c r="I749" s="260"/>
      <c r="J749" s="260"/>
      <c r="K749" s="260"/>
      <c r="L749" s="260"/>
      <c r="M749" s="260"/>
      <c r="N749" s="260"/>
      <c r="O749" s="235"/>
      <c r="P749" s="235"/>
      <c r="Q749" s="235"/>
    </row>
    <row r="750" spans="2:17">
      <c r="B750" s="241"/>
      <c r="C750" s="241"/>
      <c r="D750" s="241"/>
      <c r="E750" s="241"/>
      <c r="F750" s="260"/>
      <c r="G750" s="260"/>
      <c r="H750" s="260"/>
      <c r="I750" s="260"/>
      <c r="J750" s="260"/>
      <c r="K750" s="260"/>
      <c r="L750" s="260"/>
      <c r="M750" s="260"/>
      <c r="N750" s="260"/>
      <c r="O750" s="235"/>
      <c r="P750" s="235"/>
      <c r="Q750" s="235"/>
    </row>
    <row r="751" spans="2:17">
      <c r="B751" s="241"/>
      <c r="C751" s="241"/>
      <c r="D751" s="241"/>
      <c r="E751" s="241"/>
      <c r="F751" s="260"/>
      <c r="G751" s="260"/>
      <c r="H751" s="260"/>
      <c r="I751" s="260"/>
      <c r="J751" s="260"/>
      <c r="K751" s="260"/>
      <c r="L751" s="260"/>
      <c r="M751" s="260"/>
      <c r="N751" s="260"/>
      <c r="O751" s="235"/>
      <c r="P751" s="235"/>
      <c r="Q751" s="235"/>
    </row>
    <row r="752" spans="2:17">
      <c r="B752" s="241"/>
      <c r="C752" s="241"/>
      <c r="D752" s="241"/>
      <c r="E752" s="241"/>
      <c r="F752" s="260"/>
      <c r="G752" s="260"/>
      <c r="H752" s="260"/>
      <c r="I752" s="260"/>
      <c r="J752" s="260"/>
      <c r="K752" s="260"/>
      <c r="L752" s="260"/>
      <c r="M752" s="260"/>
      <c r="N752" s="260"/>
      <c r="O752" s="235"/>
      <c r="P752" s="235"/>
      <c r="Q752" s="235"/>
    </row>
    <row r="753" spans="2:17">
      <c r="B753" s="241"/>
      <c r="C753" s="241"/>
      <c r="D753" s="241"/>
      <c r="E753" s="241"/>
      <c r="F753" s="260"/>
      <c r="G753" s="260"/>
      <c r="H753" s="260"/>
      <c r="I753" s="260"/>
      <c r="J753" s="260"/>
      <c r="K753" s="260"/>
      <c r="L753" s="260"/>
      <c r="M753" s="260"/>
      <c r="N753" s="260"/>
      <c r="O753" s="235"/>
      <c r="P753" s="235"/>
      <c r="Q753" s="235"/>
    </row>
    <row r="754" spans="2:17">
      <c r="B754" s="241"/>
      <c r="C754" s="241"/>
      <c r="D754" s="241"/>
      <c r="E754" s="241"/>
      <c r="F754" s="260"/>
      <c r="G754" s="260"/>
      <c r="H754" s="260"/>
      <c r="I754" s="260"/>
      <c r="J754" s="260"/>
      <c r="K754" s="260"/>
      <c r="L754" s="260"/>
      <c r="M754" s="260"/>
      <c r="N754" s="260"/>
      <c r="O754" s="235"/>
      <c r="P754" s="235"/>
      <c r="Q754" s="235"/>
    </row>
    <row r="755" spans="2:17">
      <c r="B755" s="241"/>
      <c r="C755" s="241"/>
      <c r="D755" s="241"/>
      <c r="E755" s="241"/>
      <c r="F755" s="260"/>
      <c r="G755" s="260"/>
      <c r="H755" s="260"/>
      <c r="I755" s="260"/>
      <c r="J755" s="260"/>
      <c r="K755" s="260"/>
      <c r="L755" s="260"/>
      <c r="M755" s="260"/>
      <c r="N755" s="260"/>
      <c r="O755" s="235"/>
      <c r="P755" s="235"/>
      <c r="Q755" s="235"/>
    </row>
    <row r="756" spans="2:17">
      <c r="B756" s="241"/>
      <c r="C756" s="241"/>
      <c r="D756" s="241"/>
      <c r="E756" s="241"/>
      <c r="F756" s="260"/>
      <c r="G756" s="260"/>
      <c r="H756" s="260"/>
      <c r="I756" s="260"/>
      <c r="J756" s="260"/>
      <c r="K756" s="260"/>
      <c r="L756" s="260"/>
      <c r="M756" s="260"/>
      <c r="N756" s="260"/>
      <c r="O756" s="235"/>
      <c r="P756" s="235"/>
      <c r="Q756" s="235"/>
    </row>
    <row r="757" spans="2:17">
      <c r="B757" s="241"/>
      <c r="C757" s="241"/>
      <c r="D757" s="241"/>
      <c r="E757" s="241"/>
      <c r="F757" s="260"/>
      <c r="G757" s="260"/>
      <c r="H757" s="260"/>
      <c r="I757" s="260"/>
      <c r="J757" s="260"/>
      <c r="K757" s="260"/>
      <c r="L757" s="260"/>
      <c r="M757" s="260"/>
      <c r="N757" s="260"/>
      <c r="O757" s="235"/>
      <c r="P757" s="235"/>
      <c r="Q757" s="235"/>
    </row>
    <row r="758" spans="2:17">
      <c r="B758" s="241"/>
      <c r="C758" s="241"/>
      <c r="D758" s="241"/>
      <c r="E758" s="241"/>
      <c r="F758" s="260"/>
      <c r="G758" s="260"/>
      <c r="H758" s="260"/>
      <c r="I758" s="260"/>
      <c r="J758" s="260"/>
      <c r="K758" s="260"/>
      <c r="L758" s="260"/>
      <c r="M758" s="260"/>
      <c r="N758" s="260"/>
      <c r="O758" s="235"/>
      <c r="P758" s="235"/>
      <c r="Q758" s="235"/>
    </row>
    <row r="759" spans="2:17">
      <c r="B759" s="241"/>
      <c r="C759" s="241"/>
      <c r="D759" s="241"/>
      <c r="E759" s="241"/>
      <c r="F759" s="260"/>
      <c r="G759" s="260"/>
      <c r="H759" s="260"/>
      <c r="I759" s="260"/>
      <c r="J759" s="260"/>
      <c r="K759" s="260"/>
      <c r="L759" s="260"/>
      <c r="M759" s="260"/>
      <c r="N759" s="260"/>
      <c r="O759" s="235"/>
      <c r="P759" s="235"/>
      <c r="Q759" s="235"/>
    </row>
    <row r="760" spans="2:17">
      <c r="B760" s="241"/>
      <c r="C760" s="241"/>
      <c r="D760" s="241"/>
      <c r="E760" s="241"/>
      <c r="F760" s="260"/>
      <c r="G760" s="260"/>
      <c r="H760" s="260"/>
      <c r="I760" s="260"/>
      <c r="J760" s="260"/>
      <c r="K760" s="260"/>
      <c r="L760" s="260"/>
      <c r="M760" s="260"/>
      <c r="N760" s="260"/>
      <c r="O760" s="235"/>
      <c r="P760" s="235"/>
      <c r="Q760" s="235"/>
    </row>
    <row r="761" spans="2:17">
      <c r="B761" s="241"/>
      <c r="C761" s="241"/>
      <c r="D761" s="241"/>
      <c r="E761" s="241"/>
      <c r="F761" s="260"/>
      <c r="G761" s="260"/>
      <c r="H761" s="260"/>
      <c r="I761" s="260"/>
      <c r="J761" s="260"/>
      <c r="K761" s="260"/>
      <c r="L761" s="260"/>
      <c r="M761" s="260"/>
      <c r="N761" s="260"/>
      <c r="O761" s="235"/>
      <c r="P761" s="235"/>
      <c r="Q761" s="235"/>
    </row>
    <row r="762" spans="2:17">
      <c r="B762" s="241"/>
      <c r="C762" s="241"/>
      <c r="D762" s="241"/>
      <c r="E762" s="241"/>
      <c r="F762" s="260"/>
      <c r="G762" s="260"/>
      <c r="H762" s="260"/>
      <c r="I762" s="260"/>
      <c r="J762" s="260"/>
      <c r="K762" s="260"/>
      <c r="L762" s="260"/>
      <c r="M762" s="260"/>
      <c r="N762" s="260"/>
      <c r="O762" s="235"/>
      <c r="P762" s="235"/>
      <c r="Q762" s="235"/>
    </row>
    <row r="763" spans="2:17">
      <c r="B763" s="241"/>
      <c r="C763" s="241"/>
      <c r="D763" s="241"/>
      <c r="E763" s="241"/>
      <c r="F763" s="260"/>
      <c r="G763" s="260"/>
      <c r="H763" s="260"/>
      <c r="I763" s="260"/>
      <c r="J763" s="260"/>
      <c r="K763" s="260"/>
      <c r="L763" s="260"/>
      <c r="M763" s="260"/>
      <c r="N763" s="260"/>
      <c r="O763" s="235"/>
      <c r="P763" s="235"/>
      <c r="Q763" s="235"/>
    </row>
    <row r="764" spans="2:17">
      <c r="B764" s="241"/>
      <c r="C764" s="241"/>
      <c r="D764" s="241"/>
      <c r="E764" s="241"/>
      <c r="F764" s="260"/>
      <c r="G764" s="260"/>
      <c r="H764" s="260"/>
      <c r="I764" s="260"/>
      <c r="J764" s="260"/>
      <c r="K764" s="260"/>
      <c r="L764" s="260"/>
      <c r="M764" s="260"/>
      <c r="N764" s="260"/>
      <c r="O764" s="235"/>
      <c r="P764" s="235"/>
      <c r="Q764" s="235"/>
    </row>
    <row r="765" spans="2:17">
      <c r="B765" s="241"/>
      <c r="C765" s="241"/>
      <c r="D765" s="241"/>
      <c r="E765" s="241"/>
      <c r="F765" s="260"/>
      <c r="G765" s="260"/>
      <c r="H765" s="260"/>
      <c r="I765" s="260"/>
      <c r="J765" s="260"/>
      <c r="K765" s="260"/>
      <c r="L765" s="260"/>
      <c r="M765" s="260"/>
      <c r="N765" s="260"/>
      <c r="O765" s="235"/>
      <c r="P765" s="235"/>
      <c r="Q765" s="235"/>
    </row>
    <row r="766" spans="2:17">
      <c r="B766" s="241"/>
      <c r="C766" s="241"/>
      <c r="D766" s="241"/>
      <c r="E766" s="241"/>
      <c r="F766" s="260"/>
      <c r="G766" s="260"/>
      <c r="H766" s="260"/>
      <c r="I766" s="260"/>
      <c r="J766" s="260"/>
      <c r="K766" s="260"/>
      <c r="L766" s="260"/>
      <c r="M766" s="260"/>
      <c r="N766" s="260"/>
      <c r="O766" s="235"/>
      <c r="P766" s="235"/>
      <c r="Q766" s="235"/>
    </row>
    <row r="767" spans="2:17">
      <c r="B767" s="241"/>
      <c r="C767" s="241"/>
      <c r="D767" s="241"/>
      <c r="E767" s="241"/>
      <c r="F767" s="260"/>
      <c r="G767" s="260"/>
      <c r="H767" s="260"/>
      <c r="I767" s="260"/>
      <c r="J767" s="260"/>
      <c r="K767" s="260"/>
      <c r="L767" s="260"/>
      <c r="M767" s="260"/>
      <c r="N767" s="260"/>
      <c r="O767" s="235"/>
      <c r="P767" s="235"/>
      <c r="Q767" s="235"/>
    </row>
    <row r="768" spans="2:17">
      <c r="B768" s="241"/>
      <c r="C768" s="241"/>
      <c r="D768" s="241"/>
      <c r="E768" s="241"/>
      <c r="F768" s="260"/>
      <c r="G768" s="260"/>
      <c r="H768" s="260"/>
      <c r="I768" s="260"/>
      <c r="J768" s="260"/>
      <c r="K768" s="260"/>
      <c r="L768" s="260"/>
      <c r="M768" s="260"/>
      <c r="N768" s="260"/>
      <c r="O768" s="235"/>
      <c r="P768" s="235"/>
      <c r="Q768" s="235"/>
    </row>
    <row r="769" spans="2:17">
      <c r="B769" s="241"/>
      <c r="C769" s="241"/>
      <c r="D769" s="241"/>
      <c r="E769" s="241"/>
      <c r="F769" s="260"/>
      <c r="G769" s="260"/>
      <c r="H769" s="260"/>
      <c r="I769" s="260"/>
      <c r="J769" s="260"/>
      <c r="K769" s="260"/>
      <c r="L769" s="260"/>
      <c r="M769" s="260"/>
      <c r="N769" s="260"/>
      <c r="O769" s="235"/>
      <c r="P769" s="235"/>
      <c r="Q769" s="235"/>
    </row>
    <row r="770" spans="2:17">
      <c r="B770" s="241"/>
      <c r="C770" s="241"/>
      <c r="D770" s="241"/>
      <c r="E770" s="241"/>
      <c r="F770" s="260"/>
      <c r="G770" s="260"/>
      <c r="H770" s="260"/>
      <c r="I770" s="260"/>
      <c r="J770" s="260"/>
      <c r="K770" s="260"/>
      <c r="L770" s="260"/>
      <c r="M770" s="260"/>
      <c r="N770" s="260"/>
      <c r="O770" s="235"/>
      <c r="P770" s="235"/>
      <c r="Q770" s="235"/>
    </row>
    <row r="771" spans="2:17">
      <c r="B771" s="241"/>
      <c r="C771" s="241"/>
      <c r="D771" s="241"/>
      <c r="E771" s="241"/>
      <c r="F771" s="260"/>
      <c r="G771" s="260"/>
      <c r="H771" s="260"/>
      <c r="I771" s="260"/>
      <c r="J771" s="260"/>
      <c r="K771" s="260"/>
      <c r="L771" s="260"/>
      <c r="M771" s="260"/>
      <c r="N771" s="260"/>
      <c r="O771" s="235"/>
      <c r="P771" s="235"/>
      <c r="Q771" s="235"/>
    </row>
    <row r="772" spans="2:17">
      <c r="B772" s="241"/>
      <c r="C772" s="241"/>
      <c r="D772" s="241"/>
      <c r="E772" s="241"/>
      <c r="F772" s="260"/>
      <c r="G772" s="260"/>
      <c r="H772" s="260"/>
      <c r="I772" s="260"/>
      <c r="J772" s="260"/>
      <c r="K772" s="260"/>
      <c r="L772" s="260"/>
      <c r="M772" s="260"/>
      <c r="N772" s="260"/>
      <c r="O772" s="235"/>
      <c r="P772" s="235"/>
      <c r="Q772" s="235"/>
    </row>
    <row r="773" spans="2:17">
      <c r="B773" s="241"/>
      <c r="C773" s="241"/>
      <c r="D773" s="241"/>
      <c r="E773" s="241"/>
      <c r="F773" s="260"/>
      <c r="G773" s="260"/>
      <c r="H773" s="260"/>
      <c r="I773" s="260"/>
      <c r="J773" s="260"/>
      <c r="K773" s="260"/>
      <c r="L773" s="260"/>
      <c r="M773" s="260"/>
      <c r="N773" s="260"/>
      <c r="O773" s="235"/>
      <c r="P773" s="235"/>
      <c r="Q773" s="235"/>
    </row>
    <row r="774" spans="2:17">
      <c r="B774" s="241"/>
      <c r="C774" s="241"/>
      <c r="D774" s="241"/>
      <c r="E774" s="241"/>
      <c r="F774" s="260"/>
      <c r="G774" s="260"/>
      <c r="H774" s="260"/>
      <c r="I774" s="260"/>
      <c r="J774" s="260"/>
      <c r="K774" s="260"/>
      <c r="L774" s="260"/>
      <c r="M774" s="260"/>
      <c r="N774" s="260"/>
      <c r="O774" s="235"/>
      <c r="P774" s="235"/>
      <c r="Q774" s="235"/>
    </row>
    <row r="775" spans="2:17">
      <c r="B775" s="241"/>
      <c r="C775" s="241"/>
      <c r="D775" s="241"/>
      <c r="E775" s="241"/>
      <c r="F775" s="260"/>
      <c r="G775" s="260"/>
      <c r="H775" s="260"/>
      <c r="I775" s="260"/>
      <c r="J775" s="260"/>
      <c r="K775" s="260"/>
      <c r="L775" s="260"/>
      <c r="M775" s="260"/>
      <c r="N775" s="260"/>
      <c r="O775" s="235"/>
      <c r="P775" s="235"/>
      <c r="Q775" s="235"/>
    </row>
    <row r="776" spans="2:17">
      <c r="B776" s="241"/>
      <c r="C776" s="241"/>
      <c r="D776" s="241"/>
      <c r="E776" s="241"/>
      <c r="F776" s="260"/>
      <c r="G776" s="260"/>
      <c r="H776" s="260"/>
      <c r="I776" s="260"/>
      <c r="J776" s="260"/>
      <c r="K776" s="260"/>
      <c r="L776" s="260"/>
      <c r="M776" s="260"/>
      <c r="N776" s="260"/>
      <c r="O776" s="235"/>
      <c r="P776" s="235"/>
      <c r="Q776" s="235"/>
    </row>
    <row r="777" spans="2:17">
      <c r="B777" s="241"/>
      <c r="C777" s="241"/>
      <c r="D777" s="241"/>
      <c r="E777" s="241"/>
      <c r="F777" s="260"/>
      <c r="G777" s="260"/>
      <c r="H777" s="260"/>
      <c r="I777" s="260"/>
      <c r="J777" s="260"/>
      <c r="K777" s="260"/>
      <c r="L777" s="260"/>
      <c r="M777" s="260"/>
      <c r="N777" s="260"/>
      <c r="O777" s="235"/>
      <c r="P777" s="235"/>
      <c r="Q777" s="235"/>
    </row>
    <row r="778" spans="2:17">
      <c r="B778" s="241"/>
      <c r="C778" s="241"/>
      <c r="D778" s="241"/>
      <c r="E778" s="241"/>
      <c r="F778" s="260"/>
      <c r="G778" s="260"/>
      <c r="H778" s="260"/>
      <c r="I778" s="260"/>
      <c r="J778" s="260"/>
      <c r="K778" s="260"/>
      <c r="L778" s="260"/>
      <c r="M778" s="260"/>
      <c r="N778" s="260"/>
      <c r="O778" s="235"/>
      <c r="P778" s="235"/>
      <c r="Q778" s="235"/>
    </row>
    <row r="779" spans="2:17">
      <c r="B779" s="241"/>
      <c r="C779" s="241"/>
      <c r="D779" s="241"/>
      <c r="E779" s="241"/>
      <c r="F779" s="260"/>
      <c r="G779" s="260"/>
      <c r="H779" s="260"/>
      <c r="I779" s="260"/>
      <c r="J779" s="260"/>
      <c r="K779" s="260"/>
      <c r="L779" s="260"/>
      <c r="M779" s="260"/>
      <c r="N779" s="260"/>
      <c r="O779" s="235"/>
      <c r="P779" s="235"/>
      <c r="Q779" s="235"/>
    </row>
    <row r="780" spans="2:17">
      <c r="B780" s="241"/>
      <c r="C780" s="241"/>
      <c r="D780" s="241"/>
      <c r="E780" s="241"/>
      <c r="F780" s="260"/>
      <c r="G780" s="260"/>
      <c r="H780" s="260"/>
      <c r="I780" s="260"/>
      <c r="J780" s="260"/>
      <c r="K780" s="260"/>
      <c r="L780" s="260"/>
      <c r="M780" s="260"/>
      <c r="N780" s="260"/>
      <c r="O780" s="235"/>
      <c r="P780" s="235"/>
      <c r="Q780" s="235"/>
    </row>
    <row r="781" spans="2:17">
      <c r="B781" s="241"/>
      <c r="C781" s="241"/>
      <c r="D781" s="241"/>
      <c r="E781" s="241"/>
      <c r="F781" s="260"/>
      <c r="G781" s="260"/>
      <c r="H781" s="260"/>
      <c r="I781" s="260"/>
      <c r="J781" s="260"/>
      <c r="K781" s="260"/>
      <c r="L781" s="260"/>
      <c r="M781" s="260"/>
      <c r="N781" s="260"/>
      <c r="O781" s="235"/>
      <c r="P781" s="235"/>
      <c r="Q781" s="235"/>
    </row>
    <row r="782" spans="2:17">
      <c r="B782" s="241"/>
      <c r="C782" s="241"/>
      <c r="D782" s="241"/>
      <c r="E782" s="241"/>
      <c r="F782" s="260"/>
      <c r="G782" s="260"/>
      <c r="H782" s="260"/>
      <c r="I782" s="260"/>
      <c r="J782" s="260"/>
      <c r="K782" s="260"/>
      <c r="L782" s="260"/>
      <c r="M782" s="260"/>
      <c r="N782" s="260"/>
      <c r="O782" s="235"/>
      <c r="P782" s="235"/>
      <c r="Q782" s="235"/>
    </row>
    <row r="783" spans="2:17">
      <c r="B783" s="241"/>
      <c r="C783" s="241"/>
      <c r="D783" s="241"/>
      <c r="E783" s="241"/>
      <c r="F783" s="260"/>
      <c r="G783" s="260"/>
      <c r="H783" s="260"/>
      <c r="I783" s="260"/>
      <c r="J783" s="260"/>
      <c r="K783" s="260"/>
      <c r="L783" s="260"/>
      <c r="M783" s="260"/>
      <c r="N783" s="260"/>
      <c r="O783" s="235"/>
      <c r="P783" s="235"/>
      <c r="Q783" s="235"/>
    </row>
    <row r="784" spans="2:17">
      <c r="B784" s="241"/>
      <c r="C784" s="241"/>
      <c r="D784" s="241"/>
      <c r="E784" s="241"/>
      <c r="F784" s="260"/>
      <c r="G784" s="260"/>
      <c r="H784" s="260"/>
      <c r="I784" s="260"/>
      <c r="J784" s="260"/>
      <c r="K784" s="260"/>
      <c r="L784" s="260"/>
      <c r="M784" s="260"/>
      <c r="N784" s="260"/>
      <c r="O784" s="235"/>
      <c r="P784" s="235"/>
      <c r="Q784" s="235"/>
    </row>
    <row r="785" spans="2:17">
      <c r="B785" s="241"/>
      <c r="C785" s="241"/>
      <c r="D785" s="241"/>
      <c r="E785" s="241"/>
      <c r="F785" s="260"/>
      <c r="G785" s="260"/>
      <c r="H785" s="260"/>
      <c r="I785" s="260"/>
      <c r="J785" s="260"/>
      <c r="K785" s="260"/>
      <c r="L785" s="260"/>
      <c r="M785" s="260"/>
      <c r="N785" s="260"/>
      <c r="O785" s="235"/>
      <c r="P785" s="235"/>
      <c r="Q785" s="235"/>
    </row>
    <row r="786" spans="2:17">
      <c r="B786" s="241"/>
      <c r="C786" s="241"/>
      <c r="D786" s="241"/>
      <c r="E786" s="241"/>
      <c r="F786" s="260"/>
      <c r="G786" s="260"/>
      <c r="H786" s="260"/>
      <c r="I786" s="260"/>
      <c r="J786" s="260"/>
      <c r="K786" s="260"/>
      <c r="L786" s="260"/>
      <c r="M786" s="260"/>
      <c r="N786" s="260"/>
      <c r="O786" s="235"/>
      <c r="P786" s="235"/>
      <c r="Q786" s="235"/>
    </row>
    <row r="787" spans="2:17">
      <c r="B787" s="241"/>
      <c r="C787" s="241"/>
      <c r="D787" s="241"/>
      <c r="E787" s="241"/>
      <c r="F787" s="260"/>
      <c r="G787" s="260"/>
      <c r="H787" s="260"/>
      <c r="I787" s="260"/>
      <c r="J787" s="260"/>
      <c r="K787" s="260"/>
      <c r="L787" s="260"/>
      <c r="M787" s="260"/>
      <c r="N787" s="260"/>
      <c r="O787" s="235"/>
      <c r="P787" s="235"/>
      <c r="Q787" s="235"/>
    </row>
    <row r="788" spans="2:17">
      <c r="B788" s="241"/>
      <c r="C788" s="241"/>
      <c r="D788" s="241"/>
      <c r="E788" s="241"/>
      <c r="F788" s="260"/>
      <c r="G788" s="260"/>
      <c r="H788" s="260"/>
      <c r="I788" s="260"/>
      <c r="J788" s="260"/>
      <c r="K788" s="260"/>
      <c r="L788" s="260"/>
      <c r="M788" s="260"/>
      <c r="N788" s="260"/>
      <c r="O788" s="235"/>
      <c r="P788" s="235"/>
      <c r="Q788" s="235"/>
    </row>
    <row r="789" spans="2:17">
      <c r="B789" s="241"/>
      <c r="C789" s="241"/>
      <c r="D789" s="241"/>
      <c r="E789" s="241"/>
      <c r="F789" s="260"/>
      <c r="G789" s="260"/>
      <c r="H789" s="260"/>
      <c r="I789" s="260"/>
      <c r="J789" s="260"/>
      <c r="K789" s="260"/>
      <c r="L789" s="260"/>
      <c r="M789" s="260"/>
      <c r="N789" s="260"/>
      <c r="O789" s="235"/>
      <c r="P789" s="235"/>
      <c r="Q789" s="235"/>
    </row>
    <row r="790" spans="2:17">
      <c r="B790" s="241"/>
      <c r="C790" s="241"/>
      <c r="D790" s="241"/>
      <c r="E790" s="241"/>
      <c r="F790" s="260"/>
      <c r="G790" s="260"/>
      <c r="H790" s="260"/>
      <c r="I790" s="260"/>
      <c r="J790" s="260"/>
      <c r="K790" s="260"/>
      <c r="L790" s="260"/>
      <c r="M790" s="260"/>
      <c r="N790" s="260"/>
      <c r="O790" s="235"/>
      <c r="P790" s="235"/>
      <c r="Q790" s="235"/>
    </row>
    <row r="791" spans="2:17">
      <c r="B791" s="241"/>
      <c r="C791" s="241"/>
      <c r="D791" s="241"/>
      <c r="E791" s="241"/>
      <c r="F791" s="260"/>
      <c r="G791" s="260"/>
      <c r="H791" s="260"/>
      <c r="I791" s="260"/>
      <c r="J791" s="260"/>
      <c r="K791" s="260"/>
      <c r="L791" s="260"/>
      <c r="M791" s="260"/>
      <c r="N791" s="260"/>
      <c r="O791" s="235"/>
      <c r="P791" s="235"/>
      <c r="Q791" s="235"/>
    </row>
    <row r="792" spans="2:17">
      <c r="B792" s="241"/>
      <c r="C792" s="241"/>
      <c r="D792" s="241"/>
      <c r="E792" s="241"/>
      <c r="F792" s="260"/>
      <c r="G792" s="260"/>
      <c r="H792" s="260"/>
      <c r="I792" s="260"/>
      <c r="J792" s="260"/>
      <c r="K792" s="260"/>
      <c r="L792" s="260"/>
      <c r="M792" s="260"/>
      <c r="N792" s="260"/>
      <c r="O792" s="235"/>
      <c r="P792" s="235"/>
      <c r="Q792" s="235"/>
    </row>
    <row r="793" spans="2:17">
      <c r="B793" s="241"/>
      <c r="C793" s="241"/>
      <c r="D793" s="241"/>
      <c r="E793" s="241"/>
      <c r="F793" s="260"/>
      <c r="G793" s="260"/>
      <c r="H793" s="260"/>
      <c r="I793" s="260"/>
      <c r="J793" s="260"/>
      <c r="K793" s="260"/>
      <c r="L793" s="260"/>
      <c r="M793" s="260"/>
      <c r="N793" s="260"/>
      <c r="O793" s="235"/>
      <c r="P793" s="235"/>
      <c r="Q793" s="235"/>
    </row>
    <row r="794" spans="2:17">
      <c r="B794" s="241"/>
      <c r="C794" s="241"/>
      <c r="D794" s="241"/>
      <c r="E794" s="241"/>
      <c r="F794" s="260"/>
      <c r="G794" s="260"/>
      <c r="H794" s="260"/>
      <c r="I794" s="260"/>
      <c r="J794" s="260"/>
      <c r="K794" s="260"/>
      <c r="L794" s="260"/>
      <c r="M794" s="260"/>
      <c r="N794" s="260"/>
      <c r="O794" s="235"/>
      <c r="P794" s="235"/>
      <c r="Q794" s="235"/>
    </row>
    <row r="795" spans="2:17">
      <c r="B795" s="241"/>
      <c r="C795" s="241"/>
      <c r="D795" s="241"/>
      <c r="E795" s="241"/>
      <c r="F795" s="260"/>
      <c r="G795" s="260"/>
      <c r="H795" s="260"/>
      <c r="I795" s="260"/>
      <c r="J795" s="260"/>
      <c r="K795" s="260"/>
      <c r="L795" s="260"/>
      <c r="M795" s="260"/>
      <c r="N795" s="260"/>
      <c r="O795" s="235"/>
      <c r="P795" s="235"/>
      <c r="Q795" s="235"/>
    </row>
    <row r="796" spans="2:17">
      <c r="B796" s="241"/>
      <c r="C796" s="241"/>
      <c r="D796" s="241"/>
      <c r="E796" s="241"/>
      <c r="F796" s="260"/>
      <c r="G796" s="260"/>
      <c r="H796" s="260"/>
      <c r="I796" s="260"/>
      <c r="J796" s="260"/>
      <c r="K796" s="260"/>
      <c r="L796" s="260"/>
      <c r="M796" s="260"/>
      <c r="N796" s="260"/>
      <c r="O796" s="235"/>
      <c r="P796" s="235"/>
      <c r="Q796" s="235"/>
    </row>
    <row r="797" spans="2:17">
      <c r="B797" s="241"/>
      <c r="C797" s="241"/>
      <c r="D797" s="241"/>
      <c r="E797" s="241"/>
      <c r="F797" s="260"/>
      <c r="G797" s="260"/>
      <c r="H797" s="260"/>
      <c r="I797" s="260"/>
      <c r="J797" s="260"/>
      <c r="K797" s="260"/>
      <c r="L797" s="260"/>
      <c r="M797" s="260"/>
      <c r="N797" s="260"/>
      <c r="O797" s="235"/>
      <c r="P797" s="235"/>
      <c r="Q797" s="235"/>
    </row>
    <row r="798" spans="2:17">
      <c r="B798" s="241"/>
      <c r="C798" s="241"/>
      <c r="D798" s="241"/>
      <c r="E798" s="241"/>
      <c r="F798" s="260"/>
      <c r="G798" s="260"/>
      <c r="H798" s="260"/>
      <c r="I798" s="260"/>
      <c r="J798" s="260"/>
      <c r="K798" s="260"/>
      <c r="L798" s="260"/>
      <c r="M798" s="260"/>
      <c r="N798" s="260"/>
      <c r="O798" s="235"/>
      <c r="P798" s="235"/>
      <c r="Q798" s="235"/>
    </row>
    <row r="799" spans="2:17">
      <c r="B799" s="241"/>
      <c r="C799" s="241"/>
      <c r="D799" s="241"/>
      <c r="E799" s="241"/>
      <c r="F799" s="260"/>
      <c r="G799" s="260"/>
      <c r="H799" s="260"/>
      <c r="I799" s="260"/>
      <c r="J799" s="260"/>
      <c r="K799" s="260"/>
      <c r="L799" s="260"/>
      <c r="M799" s="260"/>
      <c r="N799" s="260"/>
      <c r="O799" s="235"/>
      <c r="P799" s="235"/>
      <c r="Q799" s="235"/>
    </row>
    <row r="800" spans="2:17">
      <c r="B800" s="241"/>
      <c r="C800" s="241"/>
      <c r="D800" s="241"/>
      <c r="E800" s="241"/>
      <c r="F800" s="260"/>
      <c r="G800" s="260"/>
      <c r="H800" s="260"/>
      <c r="I800" s="260"/>
      <c r="J800" s="260"/>
      <c r="K800" s="260"/>
      <c r="L800" s="260"/>
      <c r="M800" s="260"/>
      <c r="N800" s="260"/>
      <c r="O800" s="235"/>
      <c r="P800" s="235"/>
      <c r="Q800" s="235"/>
    </row>
    <row r="801" spans="2:17">
      <c r="B801" s="241"/>
      <c r="C801" s="241"/>
      <c r="D801" s="241"/>
      <c r="E801" s="241"/>
      <c r="F801" s="260"/>
      <c r="G801" s="260"/>
      <c r="H801" s="260"/>
      <c r="I801" s="260"/>
      <c r="J801" s="260"/>
      <c r="K801" s="260"/>
      <c r="L801" s="260"/>
      <c r="M801" s="260"/>
      <c r="N801" s="260"/>
      <c r="O801" s="235"/>
      <c r="P801" s="235"/>
      <c r="Q801" s="235"/>
    </row>
    <row r="802" spans="2:17">
      <c r="B802" s="241"/>
      <c r="C802" s="241"/>
      <c r="D802" s="241"/>
      <c r="E802" s="241"/>
      <c r="F802" s="260"/>
      <c r="G802" s="260"/>
      <c r="H802" s="260"/>
      <c r="I802" s="260"/>
      <c r="J802" s="260"/>
      <c r="K802" s="260"/>
      <c r="L802" s="260"/>
      <c r="M802" s="260"/>
      <c r="N802" s="260"/>
      <c r="O802" s="235"/>
      <c r="P802" s="235"/>
      <c r="Q802" s="235"/>
    </row>
    <row r="803" spans="2:17">
      <c r="B803" s="241"/>
      <c r="C803" s="241"/>
      <c r="D803" s="241"/>
      <c r="E803" s="241"/>
      <c r="F803" s="260"/>
      <c r="G803" s="260"/>
      <c r="H803" s="260"/>
      <c r="I803" s="260"/>
      <c r="J803" s="260"/>
      <c r="K803" s="260"/>
      <c r="L803" s="260"/>
      <c r="M803" s="260"/>
      <c r="N803" s="260"/>
      <c r="O803" s="235"/>
      <c r="P803" s="235"/>
      <c r="Q803" s="235"/>
    </row>
    <row r="804" spans="2:17">
      <c r="B804" s="241"/>
      <c r="C804" s="241"/>
      <c r="D804" s="241"/>
      <c r="E804" s="241"/>
      <c r="F804" s="260"/>
      <c r="G804" s="260"/>
      <c r="H804" s="260"/>
      <c r="I804" s="260"/>
      <c r="J804" s="260"/>
      <c r="K804" s="260"/>
      <c r="L804" s="260"/>
      <c r="M804" s="260"/>
      <c r="N804" s="260"/>
      <c r="O804" s="235"/>
      <c r="P804" s="235"/>
      <c r="Q804" s="235"/>
    </row>
    <row r="805" spans="2:17">
      <c r="B805" s="241"/>
      <c r="C805" s="241"/>
      <c r="D805" s="241"/>
      <c r="E805" s="241"/>
      <c r="F805" s="260"/>
      <c r="G805" s="260"/>
      <c r="H805" s="260"/>
      <c r="I805" s="260"/>
      <c r="J805" s="260"/>
      <c r="K805" s="260"/>
      <c r="L805" s="260"/>
      <c r="M805" s="260"/>
      <c r="N805" s="260"/>
      <c r="O805" s="235"/>
      <c r="P805" s="235"/>
      <c r="Q805" s="235"/>
    </row>
    <row r="806" spans="2:17">
      <c r="B806" s="241"/>
      <c r="C806" s="241"/>
      <c r="D806" s="241"/>
      <c r="E806" s="241"/>
      <c r="F806" s="260"/>
      <c r="G806" s="260"/>
      <c r="H806" s="260"/>
      <c r="I806" s="260"/>
      <c r="J806" s="260"/>
      <c r="K806" s="260"/>
      <c r="L806" s="260"/>
      <c r="M806" s="260"/>
      <c r="N806" s="260"/>
      <c r="O806" s="235"/>
      <c r="P806" s="235"/>
      <c r="Q806" s="235"/>
    </row>
    <row r="807" spans="2:17">
      <c r="B807" s="241"/>
      <c r="C807" s="241"/>
      <c r="D807" s="241"/>
      <c r="E807" s="241"/>
      <c r="F807" s="260"/>
      <c r="G807" s="260"/>
      <c r="H807" s="260"/>
      <c r="I807" s="260"/>
      <c r="J807" s="260"/>
      <c r="K807" s="260"/>
      <c r="L807" s="260"/>
      <c r="M807" s="260"/>
      <c r="N807" s="260"/>
      <c r="O807" s="235"/>
      <c r="P807" s="235"/>
      <c r="Q807" s="235"/>
    </row>
    <row r="808" spans="2:17">
      <c r="B808" s="241"/>
      <c r="C808" s="241"/>
      <c r="D808" s="241"/>
      <c r="E808" s="241"/>
      <c r="F808" s="260"/>
      <c r="G808" s="260"/>
      <c r="H808" s="260"/>
      <c r="I808" s="260"/>
      <c r="J808" s="260"/>
      <c r="K808" s="260"/>
      <c r="L808" s="260"/>
      <c r="M808" s="260"/>
      <c r="N808" s="260"/>
      <c r="O808" s="235"/>
      <c r="P808" s="235"/>
      <c r="Q808" s="235"/>
    </row>
    <row r="809" spans="2:17">
      <c r="B809" s="241"/>
      <c r="C809" s="241"/>
      <c r="D809" s="241"/>
      <c r="E809" s="241"/>
      <c r="F809" s="260"/>
      <c r="G809" s="260"/>
      <c r="H809" s="260"/>
      <c r="I809" s="260"/>
      <c r="J809" s="260"/>
      <c r="K809" s="260"/>
      <c r="L809" s="260"/>
      <c r="M809" s="260"/>
      <c r="N809" s="260"/>
      <c r="O809" s="235"/>
      <c r="P809" s="235"/>
      <c r="Q809" s="235"/>
    </row>
    <row r="810" spans="2:17">
      <c r="B810" s="241"/>
      <c r="C810" s="241"/>
      <c r="D810" s="241"/>
      <c r="E810" s="241"/>
      <c r="F810" s="260"/>
      <c r="G810" s="260"/>
      <c r="H810" s="260"/>
      <c r="I810" s="260"/>
      <c r="J810" s="260"/>
      <c r="K810" s="260"/>
      <c r="L810" s="260"/>
      <c r="M810" s="260"/>
      <c r="N810" s="260"/>
      <c r="O810" s="235"/>
      <c r="P810" s="235"/>
      <c r="Q810" s="235"/>
    </row>
    <row r="811" spans="2:17">
      <c r="B811" s="241"/>
      <c r="C811" s="241"/>
      <c r="D811" s="241"/>
      <c r="E811" s="241"/>
      <c r="F811" s="260"/>
      <c r="G811" s="260"/>
      <c r="H811" s="260"/>
      <c r="I811" s="260"/>
      <c r="J811" s="260"/>
      <c r="K811" s="260"/>
      <c r="L811" s="260"/>
      <c r="M811" s="260"/>
      <c r="N811" s="260"/>
      <c r="O811" s="235"/>
      <c r="P811" s="235"/>
      <c r="Q811" s="235"/>
    </row>
    <row r="812" spans="2:17">
      <c r="B812" s="241"/>
      <c r="C812" s="241"/>
      <c r="D812" s="241"/>
      <c r="E812" s="241"/>
      <c r="F812" s="260"/>
      <c r="G812" s="260"/>
      <c r="H812" s="260"/>
      <c r="I812" s="260"/>
      <c r="J812" s="260"/>
      <c r="K812" s="260"/>
      <c r="L812" s="260"/>
      <c r="M812" s="260"/>
      <c r="N812" s="260"/>
      <c r="O812" s="235"/>
      <c r="P812" s="235"/>
      <c r="Q812" s="235"/>
    </row>
    <row r="813" spans="2:17">
      <c r="B813" s="241"/>
      <c r="C813" s="241"/>
      <c r="D813" s="241"/>
      <c r="E813" s="241"/>
      <c r="F813" s="260"/>
      <c r="G813" s="260"/>
      <c r="H813" s="260"/>
      <c r="I813" s="260"/>
      <c r="J813" s="260"/>
      <c r="K813" s="260"/>
      <c r="L813" s="260"/>
      <c r="M813" s="260"/>
      <c r="N813" s="260"/>
      <c r="O813" s="235"/>
      <c r="P813" s="235"/>
      <c r="Q813" s="235"/>
    </row>
    <row r="814" spans="2:17">
      <c r="B814" s="241"/>
      <c r="C814" s="241"/>
      <c r="D814" s="241"/>
      <c r="E814" s="241"/>
      <c r="F814" s="260"/>
      <c r="G814" s="260"/>
      <c r="H814" s="260"/>
      <c r="I814" s="260"/>
      <c r="J814" s="260"/>
      <c r="K814" s="260"/>
      <c r="L814" s="260"/>
      <c r="M814" s="260"/>
      <c r="N814" s="260"/>
      <c r="O814" s="235"/>
      <c r="P814" s="235"/>
      <c r="Q814" s="235"/>
    </row>
    <row r="815" spans="2:17">
      <c r="B815" s="241"/>
      <c r="C815" s="241"/>
      <c r="D815" s="241"/>
      <c r="E815" s="241"/>
      <c r="F815" s="260"/>
      <c r="G815" s="260"/>
      <c r="H815" s="260"/>
      <c r="I815" s="260"/>
      <c r="J815" s="260"/>
      <c r="K815" s="260"/>
      <c r="L815" s="260"/>
      <c r="M815" s="260"/>
      <c r="N815" s="260"/>
      <c r="O815" s="235"/>
      <c r="P815" s="235"/>
      <c r="Q815" s="235"/>
    </row>
    <row r="816" spans="2:17">
      <c r="B816" s="241"/>
      <c r="C816" s="241"/>
      <c r="D816" s="241"/>
      <c r="E816" s="241"/>
      <c r="F816" s="260"/>
      <c r="G816" s="260"/>
      <c r="H816" s="260"/>
      <c r="I816" s="260"/>
      <c r="J816" s="260"/>
      <c r="K816" s="260"/>
      <c r="L816" s="260"/>
      <c r="M816" s="260"/>
      <c r="N816" s="260"/>
      <c r="O816" s="235"/>
      <c r="P816" s="235"/>
      <c r="Q816" s="235"/>
    </row>
    <row r="817" spans="2:17">
      <c r="B817" s="241"/>
      <c r="C817" s="241"/>
      <c r="D817" s="241"/>
      <c r="E817" s="241"/>
      <c r="F817" s="260"/>
      <c r="G817" s="260"/>
      <c r="H817" s="260"/>
      <c r="I817" s="260"/>
      <c r="J817" s="260"/>
      <c r="K817" s="260"/>
      <c r="L817" s="260"/>
      <c r="M817" s="260"/>
      <c r="N817" s="260"/>
      <c r="O817" s="235"/>
      <c r="P817" s="235"/>
      <c r="Q817" s="235"/>
    </row>
    <row r="818" spans="2:17">
      <c r="B818" s="241"/>
      <c r="C818" s="241"/>
      <c r="D818" s="241"/>
      <c r="E818" s="241"/>
      <c r="F818" s="260"/>
      <c r="G818" s="260"/>
      <c r="H818" s="260"/>
      <c r="I818" s="260"/>
      <c r="J818" s="260"/>
      <c r="K818" s="260"/>
      <c r="L818" s="260"/>
      <c r="M818" s="260"/>
      <c r="N818" s="260"/>
      <c r="O818" s="235"/>
      <c r="P818" s="235"/>
      <c r="Q818" s="235"/>
    </row>
    <row r="819" spans="2:17">
      <c r="B819" s="241"/>
      <c r="C819" s="241"/>
      <c r="D819" s="241"/>
      <c r="E819" s="241"/>
      <c r="F819" s="260"/>
      <c r="G819" s="260"/>
      <c r="H819" s="260"/>
      <c r="I819" s="260"/>
      <c r="J819" s="260"/>
      <c r="K819" s="260"/>
      <c r="L819" s="260"/>
      <c r="M819" s="260"/>
      <c r="N819" s="260"/>
      <c r="O819" s="235"/>
      <c r="P819" s="235"/>
      <c r="Q819" s="235"/>
    </row>
    <row r="820" spans="2:17">
      <c r="B820" s="241"/>
      <c r="C820" s="241"/>
      <c r="D820" s="241"/>
      <c r="E820" s="241"/>
      <c r="F820" s="260"/>
      <c r="G820" s="260"/>
      <c r="H820" s="260"/>
      <c r="I820" s="260"/>
      <c r="J820" s="260"/>
      <c r="K820" s="260"/>
      <c r="L820" s="260"/>
      <c r="M820" s="260"/>
      <c r="N820" s="260"/>
      <c r="O820" s="235"/>
      <c r="P820" s="235"/>
      <c r="Q820" s="235"/>
    </row>
    <row r="821" spans="2:17">
      <c r="B821" s="241"/>
      <c r="C821" s="241"/>
      <c r="D821" s="241"/>
      <c r="E821" s="241"/>
      <c r="F821" s="260"/>
      <c r="G821" s="260"/>
      <c r="H821" s="260"/>
      <c r="I821" s="260"/>
      <c r="J821" s="260"/>
      <c r="K821" s="260"/>
      <c r="L821" s="260"/>
      <c r="M821" s="260"/>
      <c r="N821" s="260"/>
      <c r="O821" s="235"/>
      <c r="P821" s="235"/>
      <c r="Q821" s="235"/>
    </row>
    <row r="822" spans="2:17">
      <c r="B822" s="241"/>
      <c r="C822" s="241"/>
      <c r="D822" s="241"/>
      <c r="E822" s="241"/>
      <c r="F822" s="260"/>
      <c r="G822" s="260"/>
      <c r="H822" s="260"/>
      <c r="I822" s="260"/>
      <c r="J822" s="260"/>
      <c r="K822" s="260"/>
      <c r="L822" s="260"/>
      <c r="M822" s="260"/>
      <c r="N822" s="260"/>
      <c r="O822" s="235"/>
      <c r="P822" s="235"/>
      <c r="Q822" s="235"/>
    </row>
    <row r="823" spans="2:17">
      <c r="B823" s="241"/>
      <c r="C823" s="241"/>
      <c r="D823" s="241"/>
      <c r="E823" s="241"/>
      <c r="F823" s="260"/>
      <c r="G823" s="260"/>
      <c r="H823" s="260"/>
      <c r="I823" s="260"/>
      <c r="J823" s="260"/>
      <c r="K823" s="260"/>
      <c r="L823" s="260"/>
      <c r="M823" s="260"/>
      <c r="N823" s="260"/>
      <c r="O823" s="235"/>
      <c r="P823" s="235"/>
      <c r="Q823" s="235"/>
    </row>
    <row r="824" spans="2:17">
      <c r="B824" s="241"/>
      <c r="C824" s="241"/>
      <c r="D824" s="241"/>
      <c r="E824" s="241"/>
      <c r="F824" s="260"/>
      <c r="G824" s="260"/>
      <c r="H824" s="260"/>
      <c r="I824" s="260"/>
      <c r="J824" s="260"/>
      <c r="K824" s="260"/>
      <c r="L824" s="260"/>
      <c r="M824" s="260"/>
      <c r="N824" s="260"/>
      <c r="O824" s="235"/>
      <c r="P824" s="235"/>
      <c r="Q824" s="235"/>
    </row>
    <row r="825" spans="2:17">
      <c r="B825" s="241"/>
      <c r="C825" s="241"/>
      <c r="D825" s="241"/>
      <c r="E825" s="241"/>
      <c r="F825" s="260"/>
      <c r="G825" s="260"/>
      <c r="H825" s="260"/>
      <c r="I825" s="260"/>
      <c r="J825" s="260"/>
      <c r="K825" s="260"/>
      <c r="L825" s="260"/>
      <c r="M825" s="260"/>
      <c r="N825" s="260"/>
      <c r="O825" s="235"/>
      <c r="P825" s="235"/>
      <c r="Q825" s="235"/>
    </row>
    <row r="826" spans="2:17">
      <c r="B826" s="241"/>
      <c r="C826" s="241"/>
      <c r="D826" s="241"/>
      <c r="E826" s="241"/>
      <c r="F826" s="260"/>
      <c r="G826" s="260"/>
      <c r="H826" s="260"/>
      <c r="I826" s="260"/>
      <c r="J826" s="260"/>
      <c r="K826" s="260"/>
      <c r="L826" s="260"/>
      <c r="M826" s="260"/>
      <c r="N826" s="260"/>
      <c r="O826" s="235"/>
      <c r="P826" s="235"/>
      <c r="Q826" s="235"/>
    </row>
    <row r="827" spans="2:17">
      <c r="B827" s="241"/>
      <c r="C827" s="241"/>
      <c r="D827" s="241"/>
      <c r="E827" s="241"/>
      <c r="F827" s="260"/>
      <c r="G827" s="260"/>
      <c r="H827" s="260"/>
      <c r="I827" s="260"/>
      <c r="J827" s="260"/>
      <c r="K827" s="260"/>
      <c r="L827" s="260"/>
      <c r="M827" s="260"/>
      <c r="N827" s="260"/>
      <c r="O827" s="235"/>
      <c r="P827" s="235"/>
      <c r="Q827" s="235"/>
    </row>
    <row r="828" spans="2:17">
      <c r="B828" s="241"/>
      <c r="C828" s="241"/>
      <c r="D828" s="241"/>
      <c r="E828" s="241"/>
      <c r="F828" s="260"/>
      <c r="G828" s="260"/>
      <c r="H828" s="260"/>
      <c r="I828" s="260"/>
      <c r="J828" s="260"/>
      <c r="K828" s="260"/>
      <c r="L828" s="260"/>
      <c r="M828" s="260"/>
      <c r="N828" s="260"/>
      <c r="O828" s="235"/>
      <c r="P828" s="235"/>
      <c r="Q828" s="235"/>
    </row>
    <row r="829" spans="2:17">
      <c r="B829" s="241"/>
      <c r="C829" s="241"/>
      <c r="D829" s="241"/>
      <c r="E829" s="241"/>
      <c r="F829" s="260"/>
      <c r="G829" s="260"/>
      <c r="H829" s="260"/>
      <c r="I829" s="260"/>
      <c r="J829" s="260"/>
      <c r="K829" s="260"/>
      <c r="L829" s="260"/>
      <c r="M829" s="260"/>
      <c r="N829" s="260"/>
      <c r="O829" s="235"/>
      <c r="P829" s="235"/>
      <c r="Q829" s="235"/>
    </row>
    <row r="830" spans="2:17">
      <c r="B830" s="241"/>
      <c r="C830" s="241"/>
      <c r="D830" s="241"/>
      <c r="E830" s="241"/>
      <c r="F830" s="260"/>
      <c r="G830" s="260"/>
      <c r="H830" s="260"/>
      <c r="I830" s="260"/>
      <c r="J830" s="260"/>
      <c r="K830" s="260"/>
      <c r="L830" s="260"/>
      <c r="M830" s="260"/>
      <c r="N830" s="260"/>
      <c r="O830" s="235"/>
      <c r="P830" s="235"/>
      <c r="Q830" s="235"/>
    </row>
    <row r="831" spans="2:17">
      <c r="B831" s="241"/>
      <c r="C831" s="241"/>
      <c r="D831" s="241"/>
      <c r="E831" s="241"/>
      <c r="F831" s="260"/>
      <c r="G831" s="260"/>
      <c r="H831" s="260"/>
      <c r="I831" s="260"/>
      <c r="J831" s="260"/>
      <c r="K831" s="260"/>
      <c r="L831" s="260"/>
      <c r="M831" s="260"/>
      <c r="N831" s="260"/>
      <c r="O831" s="235"/>
      <c r="P831" s="235"/>
      <c r="Q831" s="235"/>
    </row>
    <row r="832" spans="2:17">
      <c r="B832" s="241"/>
      <c r="C832" s="241"/>
      <c r="D832" s="241"/>
      <c r="E832" s="241"/>
      <c r="F832" s="260"/>
      <c r="G832" s="260"/>
      <c r="H832" s="260"/>
      <c r="I832" s="260"/>
      <c r="J832" s="260"/>
      <c r="K832" s="260"/>
      <c r="L832" s="260"/>
      <c r="M832" s="260"/>
      <c r="N832" s="260"/>
      <c r="O832" s="235"/>
      <c r="P832" s="235"/>
      <c r="Q832" s="235"/>
    </row>
    <row r="833" spans="2:17">
      <c r="B833" s="241"/>
      <c r="C833" s="241"/>
      <c r="D833" s="241"/>
      <c r="E833" s="241"/>
      <c r="F833" s="260"/>
      <c r="G833" s="260"/>
      <c r="H833" s="260"/>
      <c r="I833" s="260"/>
      <c r="J833" s="260"/>
      <c r="K833" s="260"/>
      <c r="L833" s="260"/>
      <c r="M833" s="260"/>
      <c r="N833" s="260"/>
      <c r="O833" s="235"/>
      <c r="P833" s="235"/>
      <c r="Q833" s="235"/>
    </row>
    <row r="834" spans="2:17">
      <c r="B834" s="241"/>
      <c r="C834" s="241"/>
      <c r="D834" s="241"/>
      <c r="E834" s="241"/>
      <c r="F834" s="260"/>
      <c r="G834" s="260"/>
      <c r="H834" s="260"/>
      <c r="I834" s="260"/>
      <c r="J834" s="260"/>
      <c r="K834" s="260"/>
      <c r="L834" s="260"/>
      <c r="M834" s="260"/>
      <c r="N834" s="260"/>
      <c r="O834" s="235"/>
      <c r="P834" s="235"/>
      <c r="Q834" s="235"/>
    </row>
    <row r="835" spans="2:17">
      <c r="B835" s="241"/>
      <c r="C835" s="241"/>
      <c r="D835" s="241"/>
      <c r="E835" s="241"/>
      <c r="F835" s="260"/>
      <c r="G835" s="260"/>
      <c r="H835" s="260"/>
      <c r="I835" s="260"/>
      <c r="J835" s="260"/>
      <c r="K835" s="260"/>
      <c r="L835" s="260"/>
      <c r="M835" s="260"/>
      <c r="N835" s="260"/>
      <c r="O835" s="235"/>
      <c r="P835" s="235"/>
      <c r="Q835" s="235"/>
    </row>
    <row r="836" spans="2:17">
      <c r="B836" s="241"/>
      <c r="C836" s="241"/>
      <c r="D836" s="241"/>
      <c r="E836" s="241"/>
      <c r="F836" s="260"/>
      <c r="G836" s="260"/>
      <c r="H836" s="260"/>
      <c r="I836" s="260"/>
      <c r="J836" s="260"/>
      <c r="K836" s="260"/>
      <c r="L836" s="260"/>
      <c r="M836" s="260"/>
      <c r="N836" s="260"/>
      <c r="O836" s="235"/>
      <c r="P836" s="235"/>
      <c r="Q836" s="235"/>
    </row>
    <row r="837" spans="2:17">
      <c r="B837" s="241"/>
      <c r="C837" s="241"/>
      <c r="D837" s="241"/>
      <c r="E837" s="241"/>
      <c r="F837" s="260"/>
      <c r="G837" s="260"/>
      <c r="H837" s="260"/>
      <c r="I837" s="260"/>
      <c r="J837" s="260"/>
      <c r="K837" s="260"/>
      <c r="L837" s="260"/>
      <c r="M837" s="260"/>
      <c r="N837" s="260"/>
      <c r="O837" s="235"/>
      <c r="P837" s="235"/>
      <c r="Q837" s="235"/>
    </row>
    <row r="838" spans="2:17">
      <c r="B838" s="241"/>
      <c r="C838" s="241"/>
      <c r="D838" s="241"/>
      <c r="E838" s="241"/>
      <c r="F838" s="260"/>
      <c r="G838" s="260"/>
      <c r="H838" s="260"/>
      <c r="I838" s="260"/>
      <c r="J838" s="260"/>
      <c r="K838" s="260"/>
      <c r="L838" s="260"/>
      <c r="M838" s="260"/>
      <c r="N838" s="260"/>
      <c r="O838" s="235"/>
      <c r="P838" s="235"/>
      <c r="Q838" s="235"/>
    </row>
    <row r="839" spans="2:17">
      <c r="B839" s="241"/>
      <c r="C839" s="241"/>
      <c r="D839" s="241"/>
      <c r="E839" s="241"/>
      <c r="F839" s="260"/>
      <c r="G839" s="260"/>
      <c r="H839" s="260"/>
      <c r="I839" s="260"/>
      <c r="J839" s="260"/>
      <c r="K839" s="260"/>
      <c r="L839" s="260"/>
      <c r="M839" s="260"/>
      <c r="N839" s="260"/>
      <c r="O839" s="235"/>
      <c r="P839" s="235"/>
      <c r="Q839" s="235"/>
    </row>
    <row r="840" spans="2:17">
      <c r="B840" s="241"/>
      <c r="C840" s="241"/>
      <c r="D840" s="241"/>
      <c r="E840" s="241"/>
      <c r="F840" s="260"/>
      <c r="G840" s="260"/>
      <c r="H840" s="260"/>
      <c r="I840" s="260"/>
      <c r="J840" s="260"/>
      <c r="K840" s="260"/>
      <c r="L840" s="260"/>
      <c r="M840" s="260"/>
      <c r="N840" s="260"/>
      <c r="O840" s="235"/>
      <c r="P840" s="235"/>
      <c r="Q840" s="235"/>
    </row>
    <row r="841" spans="2:17">
      <c r="B841" s="241"/>
      <c r="C841" s="241"/>
      <c r="D841" s="241"/>
      <c r="E841" s="241"/>
      <c r="F841" s="260"/>
      <c r="G841" s="260"/>
      <c r="H841" s="260"/>
      <c r="I841" s="260"/>
      <c r="J841" s="260"/>
      <c r="K841" s="260"/>
      <c r="L841" s="260"/>
      <c r="M841" s="260"/>
      <c r="N841" s="260"/>
      <c r="O841" s="235"/>
      <c r="P841" s="235"/>
      <c r="Q841" s="235"/>
    </row>
    <row r="842" spans="2:17">
      <c r="B842" s="241"/>
      <c r="C842" s="241"/>
      <c r="D842" s="241"/>
      <c r="E842" s="241"/>
      <c r="F842" s="260"/>
      <c r="G842" s="260"/>
      <c r="H842" s="260"/>
      <c r="I842" s="260"/>
      <c r="J842" s="260"/>
      <c r="K842" s="260"/>
      <c r="L842" s="260"/>
      <c r="M842" s="260"/>
      <c r="N842" s="260"/>
      <c r="O842" s="235"/>
      <c r="P842" s="235"/>
      <c r="Q842" s="235"/>
    </row>
    <row r="843" spans="2:17">
      <c r="B843" s="241"/>
      <c r="C843" s="241"/>
      <c r="D843" s="241"/>
      <c r="E843" s="241"/>
      <c r="F843" s="260"/>
      <c r="G843" s="260"/>
      <c r="H843" s="260"/>
      <c r="I843" s="260"/>
      <c r="J843" s="260"/>
      <c r="K843" s="260"/>
      <c r="L843" s="260"/>
      <c r="M843" s="260"/>
      <c r="N843" s="260"/>
      <c r="O843" s="235"/>
      <c r="P843" s="235"/>
      <c r="Q843" s="235"/>
    </row>
    <row r="844" spans="2:17">
      <c r="B844" s="241"/>
      <c r="C844" s="241"/>
      <c r="D844" s="241"/>
      <c r="E844" s="241"/>
      <c r="F844" s="260"/>
      <c r="G844" s="260"/>
      <c r="H844" s="260"/>
      <c r="I844" s="260"/>
      <c r="J844" s="260"/>
      <c r="K844" s="260"/>
      <c r="L844" s="260"/>
      <c r="M844" s="260"/>
      <c r="N844" s="260"/>
      <c r="O844" s="235"/>
      <c r="P844" s="235"/>
      <c r="Q844" s="235"/>
    </row>
    <row r="845" spans="2:17">
      <c r="B845" s="241"/>
      <c r="C845" s="241"/>
      <c r="D845" s="241"/>
      <c r="E845" s="241"/>
      <c r="F845" s="260"/>
      <c r="G845" s="260"/>
      <c r="H845" s="260"/>
      <c r="I845" s="260"/>
      <c r="J845" s="260"/>
      <c r="K845" s="260"/>
      <c r="L845" s="260"/>
      <c r="M845" s="260"/>
      <c r="N845" s="260"/>
      <c r="O845" s="235"/>
      <c r="P845" s="235"/>
      <c r="Q845" s="235"/>
    </row>
    <row r="846" spans="2:17">
      <c r="B846" s="241"/>
      <c r="C846" s="241"/>
      <c r="D846" s="241"/>
      <c r="E846" s="241"/>
      <c r="F846" s="260"/>
      <c r="G846" s="260"/>
      <c r="H846" s="260"/>
      <c r="I846" s="260"/>
      <c r="J846" s="260"/>
      <c r="K846" s="260"/>
      <c r="L846" s="260"/>
      <c r="M846" s="260"/>
      <c r="N846" s="260"/>
      <c r="O846" s="235"/>
      <c r="P846" s="235"/>
      <c r="Q846" s="235"/>
    </row>
    <row r="847" spans="2:17">
      <c r="B847" s="241"/>
      <c r="C847" s="241"/>
      <c r="D847" s="241"/>
      <c r="E847" s="241"/>
      <c r="F847" s="260"/>
      <c r="G847" s="260"/>
      <c r="H847" s="260"/>
      <c r="I847" s="260"/>
      <c r="J847" s="260"/>
      <c r="K847" s="260"/>
      <c r="L847" s="260"/>
      <c r="M847" s="260"/>
      <c r="N847" s="260"/>
      <c r="O847" s="235"/>
      <c r="P847" s="235"/>
      <c r="Q847" s="235"/>
    </row>
    <row r="848" spans="2:17">
      <c r="B848" s="241"/>
      <c r="C848" s="241"/>
      <c r="D848" s="241"/>
      <c r="E848" s="241"/>
      <c r="F848" s="260"/>
      <c r="G848" s="260"/>
      <c r="H848" s="260"/>
      <c r="I848" s="260"/>
      <c r="J848" s="260"/>
      <c r="K848" s="260"/>
      <c r="L848" s="260"/>
      <c r="M848" s="260"/>
      <c r="N848" s="260"/>
      <c r="O848" s="235"/>
      <c r="P848" s="235"/>
      <c r="Q848" s="235"/>
    </row>
    <row r="849" spans="2:17">
      <c r="B849" s="241"/>
      <c r="C849" s="241"/>
      <c r="D849" s="241"/>
      <c r="E849" s="241"/>
      <c r="F849" s="260"/>
      <c r="G849" s="260"/>
      <c r="H849" s="260"/>
      <c r="I849" s="260"/>
      <c r="J849" s="260"/>
      <c r="K849" s="260"/>
      <c r="L849" s="260"/>
      <c r="M849" s="260"/>
      <c r="N849" s="260"/>
      <c r="O849" s="235"/>
      <c r="P849" s="235"/>
      <c r="Q849" s="235"/>
    </row>
    <row r="850" spans="2:17">
      <c r="B850" s="241"/>
      <c r="C850" s="241"/>
      <c r="D850" s="241"/>
      <c r="E850" s="241"/>
      <c r="F850" s="260"/>
      <c r="G850" s="260"/>
      <c r="H850" s="260"/>
      <c r="I850" s="260"/>
      <c r="J850" s="260"/>
      <c r="K850" s="260"/>
      <c r="L850" s="260"/>
      <c r="M850" s="260"/>
      <c r="N850" s="260"/>
      <c r="O850" s="235"/>
      <c r="P850" s="235"/>
      <c r="Q850" s="235"/>
    </row>
    <row r="851" spans="2:17">
      <c r="B851" s="241"/>
      <c r="C851" s="241"/>
      <c r="D851" s="241"/>
      <c r="E851" s="241"/>
      <c r="F851" s="260"/>
      <c r="G851" s="260"/>
      <c r="H851" s="260"/>
      <c r="I851" s="260"/>
      <c r="J851" s="260"/>
      <c r="K851" s="260"/>
      <c r="L851" s="260"/>
      <c r="M851" s="260"/>
      <c r="N851" s="260"/>
      <c r="O851" s="235"/>
      <c r="P851" s="235"/>
      <c r="Q851" s="235"/>
    </row>
    <row r="852" spans="2:17">
      <c r="B852" s="241"/>
      <c r="C852" s="241"/>
      <c r="D852" s="241"/>
      <c r="E852" s="241"/>
      <c r="F852" s="260"/>
      <c r="G852" s="260"/>
      <c r="H852" s="260"/>
      <c r="I852" s="260"/>
      <c r="J852" s="260"/>
      <c r="K852" s="260"/>
      <c r="L852" s="260"/>
      <c r="M852" s="260"/>
      <c r="N852" s="260"/>
      <c r="O852" s="235"/>
      <c r="P852" s="235"/>
      <c r="Q852" s="235"/>
    </row>
    <row r="853" spans="2:17">
      <c r="B853" s="241"/>
      <c r="C853" s="241"/>
      <c r="D853" s="241"/>
      <c r="E853" s="241"/>
      <c r="F853" s="260"/>
      <c r="G853" s="260"/>
      <c r="H853" s="260"/>
      <c r="I853" s="260"/>
      <c r="J853" s="260"/>
      <c r="K853" s="260"/>
      <c r="L853" s="260"/>
      <c r="M853" s="260"/>
      <c r="N853" s="260"/>
      <c r="O853" s="235"/>
      <c r="P853" s="235"/>
      <c r="Q853" s="235"/>
    </row>
    <row r="854" spans="2:17">
      <c r="B854" s="241"/>
      <c r="C854" s="241"/>
      <c r="D854" s="241"/>
      <c r="E854" s="241"/>
      <c r="F854" s="260"/>
      <c r="G854" s="260"/>
      <c r="H854" s="260"/>
      <c r="I854" s="260"/>
      <c r="J854" s="260"/>
      <c r="K854" s="260"/>
      <c r="L854" s="260"/>
      <c r="M854" s="260"/>
      <c r="N854" s="260"/>
      <c r="O854" s="235"/>
      <c r="P854" s="235"/>
      <c r="Q854" s="235"/>
    </row>
    <row r="855" spans="2:17">
      <c r="B855" s="241"/>
      <c r="C855" s="241"/>
      <c r="D855" s="241"/>
      <c r="E855" s="241"/>
      <c r="F855" s="260"/>
      <c r="G855" s="260"/>
      <c r="H855" s="260"/>
      <c r="I855" s="260"/>
      <c r="J855" s="260"/>
      <c r="K855" s="260"/>
      <c r="L855" s="260"/>
      <c r="M855" s="260"/>
      <c r="N855" s="260"/>
      <c r="O855" s="235"/>
      <c r="P855" s="235"/>
      <c r="Q855" s="235"/>
    </row>
    <row r="856" spans="2:17">
      <c r="B856" s="241"/>
      <c r="C856" s="241"/>
      <c r="D856" s="241"/>
      <c r="E856" s="241"/>
      <c r="F856" s="260"/>
      <c r="G856" s="260"/>
      <c r="H856" s="260"/>
      <c r="I856" s="260"/>
      <c r="J856" s="260"/>
      <c r="K856" s="260"/>
      <c r="L856" s="260"/>
      <c r="M856" s="260"/>
      <c r="N856" s="260"/>
      <c r="O856" s="235"/>
      <c r="P856" s="235"/>
      <c r="Q856" s="235"/>
    </row>
    <row r="857" spans="2:17">
      <c r="B857" s="241"/>
      <c r="C857" s="241"/>
      <c r="D857" s="241"/>
      <c r="E857" s="241"/>
      <c r="F857" s="260"/>
      <c r="G857" s="260"/>
      <c r="H857" s="260"/>
      <c r="I857" s="260"/>
      <c r="J857" s="260"/>
      <c r="K857" s="260"/>
      <c r="L857" s="260"/>
      <c r="M857" s="260"/>
      <c r="N857" s="260"/>
      <c r="O857" s="235"/>
      <c r="P857" s="235"/>
      <c r="Q857" s="235"/>
    </row>
    <row r="858" spans="2:17">
      <c r="B858" s="241"/>
      <c r="C858" s="241"/>
      <c r="D858" s="241"/>
      <c r="E858" s="241"/>
      <c r="F858" s="260"/>
      <c r="G858" s="260"/>
      <c r="H858" s="260"/>
      <c r="I858" s="260"/>
      <c r="J858" s="260"/>
      <c r="K858" s="260"/>
      <c r="L858" s="260"/>
      <c r="M858" s="260"/>
      <c r="N858" s="260"/>
      <c r="O858" s="235"/>
      <c r="P858" s="235"/>
      <c r="Q858" s="235"/>
    </row>
    <row r="859" spans="2:17">
      <c r="B859" s="241"/>
      <c r="C859" s="241"/>
      <c r="D859" s="241"/>
      <c r="E859" s="241"/>
      <c r="F859" s="260"/>
      <c r="G859" s="260"/>
      <c r="H859" s="260"/>
      <c r="I859" s="260"/>
      <c r="J859" s="260"/>
      <c r="K859" s="260"/>
      <c r="L859" s="260"/>
      <c r="M859" s="260"/>
      <c r="N859" s="260"/>
      <c r="O859" s="235"/>
      <c r="P859" s="235"/>
      <c r="Q859" s="235"/>
    </row>
    <row r="860" spans="2:17">
      <c r="B860" s="241"/>
      <c r="C860" s="241"/>
      <c r="D860" s="241"/>
      <c r="E860" s="241"/>
      <c r="F860" s="260"/>
      <c r="G860" s="260"/>
      <c r="H860" s="260"/>
      <c r="I860" s="260"/>
      <c r="J860" s="260"/>
      <c r="K860" s="260"/>
      <c r="L860" s="260"/>
      <c r="M860" s="260"/>
      <c r="N860" s="260"/>
      <c r="O860" s="235"/>
      <c r="P860" s="235"/>
      <c r="Q860" s="235"/>
    </row>
    <row r="861" spans="2:17">
      <c r="B861" s="241"/>
      <c r="C861" s="241"/>
      <c r="D861" s="241"/>
      <c r="E861" s="241"/>
      <c r="F861" s="260"/>
      <c r="G861" s="260"/>
      <c r="H861" s="260"/>
      <c r="I861" s="260"/>
      <c r="J861" s="260"/>
      <c r="K861" s="260"/>
      <c r="L861" s="260"/>
      <c r="M861" s="260"/>
      <c r="N861" s="260"/>
      <c r="O861" s="235"/>
      <c r="P861" s="235"/>
      <c r="Q861" s="235"/>
    </row>
    <row r="862" spans="2:17">
      <c r="B862" s="241"/>
      <c r="C862" s="241"/>
      <c r="D862" s="241"/>
      <c r="E862" s="241"/>
      <c r="F862" s="260"/>
      <c r="G862" s="260"/>
      <c r="H862" s="260"/>
      <c r="I862" s="260"/>
      <c r="J862" s="260"/>
      <c r="K862" s="260"/>
      <c r="L862" s="260"/>
      <c r="M862" s="260"/>
      <c r="N862" s="260"/>
      <c r="O862" s="235"/>
      <c r="P862" s="235"/>
      <c r="Q862" s="235"/>
    </row>
    <row r="863" spans="2:17">
      <c r="B863" s="241"/>
      <c r="C863" s="241"/>
      <c r="D863" s="241"/>
      <c r="E863" s="241"/>
      <c r="F863" s="260"/>
      <c r="G863" s="260"/>
      <c r="H863" s="260"/>
      <c r="I863" s="260"/>
      <c r="J863" s="260"/>
      <c r="K863" s="260"/>
      <c r="L863" s="260"/>
      <c r="M863" s="260"/>
      <c r="N863" s="260"/>
      <c r="O863" s="235"/>
      <c r="P863" s="235"/>
      <c r="Q863" s="235"/>
    </row>
    <row r="864" spans="2:17">
      <c r="B864" s="241"/>
      <c r="C864" s="241"/>
      <c r="D864" s="241"/>
      <c r="E864" s="241"/>
      <c r="F864" s="260"/>
      <c r="G864" s="260"/>
      <c r="H864" s="260"/>
      <c r="I864" s="260"/>
      <c r="J864" s="260"/>
      <c r="K864" s="260"/>
      <c r="L864" s="260"/>
      <c r="M864" s="260"/>
      <c r="N864" s="260"/>
      <c r="O864" s="235"/>
      <c r="P864" s="235"/>
      <c r="Q864" s="235"/>
    </row>
    <row r="865" spans="2:17">
      <c r="B865" s="241"/>
      <c r="C865" s="241"/>
      <c r="D865" s="241"/>
      <c r="E865" s="241"/>
      <c r="F865" s="260"/>
      <c r="G865" s="260"/>
      <c r="H865" s="260"/>
      <c r="I865" s="260"/>
      <c r="J865" s="260"/>
      <c r="K865" s="260"/>
      <c r="L865" s="260"/>
      <c r="M865" s="260"/>
      <c r="N865" s="260"/>
      <c r="O865" s="235"/>
      <c r="P865" s="235"/>
      <c r="Q865" s="235"/>
    </row>
    <row r="866" spans="2:17">
      <c r="B866" s="241"/>
      <c r="C866" s="241"/>
      <c r="D866" s="241"/>
      <c r="E866" s="241"/>
      <c r="F866" s="260"/>
      <c r="G866" s="260"/>
      <c r="H866" s="260"/>
      <c r="I866" s="260"/>
      <c r="J866" s="260"/>
      <c r="K866" s="260"/>
      <c r="L866" s="260"/>
      <c r="M866" s="260"/>
      <c r="N866" s="260"/>
      <c r="O866" s="235"/>
      <c r="P866" s="235"/>
      <c r="Q866" s="235"/>
    </row>
    <row r="867" spans="2:17">
      <c r="B867" s="241"/>
      <c r="C867" s="241"/>
      <c r="D867" s="241"/>
      <c r="E867" s="241"/>
      <c r="F867" s="260"/>
      <c r="G867" s="260"/>
      <c r="H867" s="260"/>
      <c r="I867" s="260"/>
      <c r="J867" s="260"/>
      <c r="K867" s="260"/>
      <c r="L867" s="260"/>
      <c r="M867" s="260"/>
      <c r="N867" s="260"/>
      <c r="O867" s="235"/>
      <c r="P867" s="235"/>
      <c r="Q867" s="235"/>
    </row>
    <row r="868" spans="2:17">
      <c r="B868" s="241"/>
      <c r="C868" s="241"/>
      <c r="D868" s="241"/>
      <c r="E868" s="241"/>
      <c r="F868" s="260"/>
      <c r="G868" s="260"/>
      <c r="H868" s="260"/>
      <c r="I868" s="260"/>
      <c r="J868" s="260"/>
      <c r="K868" s="260"/>
      <c r="L868" s="260"/>
      <c r="M868" s="260"/>
      <c r="N868" s="260"/>
      <c r="O868" s="235"/>
      <c r="P868" s="235"/>
      <c r="Q868" s="235"/>
    </row>
    <row r="869" spans="2:17">
      <c r="B869" s="241"/>
      <c r="C869" s="241"/>
      <c r="D869" s="241"/>
      <c r="E869" s="241"/>
      <c r="F869" s="260"/>
      <c r="G869" s="260"/>
      <c r="H869" s="260"/>
      <c r="I869" s="260"/>
      <c r="J869" s="260"/>
      <c r="K869" s="260"/>
      <c r="L869" s="260"/>
      <c r="M869" s="260"/>
      <c r="N869" s="260"/>
      <c r="O869" s="235"/>
      <c r="P869" s="235"/>
      <c r="Q869" s="235"/>
    </row>
    <row r="870" spans="2:17">
      <c r="B870" s="241"/>
      <c r="C870" s="241"/>
      <c r="D870" s="241"/>
      <c r="E870" s="241"/>
      <c r="F870" s="260"/>
      <c r="G870" s="260"/>
      <c r="H870" s="260"/>
      <c r="I870" s="260"/>
      <c r="J870" s="260"/>
      <c r="K870" s="260"/>
      <c r="L870" s="260"/>
      <c r="M870" s="260"/>
      <c r="N870" s="260"/>
      <c r="O870" s="235"/>
      <c r="P870" s="235"/>
      <c r="Q870" s="235"/>
    </row>
    <row r="871" spans="2:17">
      <c r="B871" s="241"/>
      <c r="C871" s="241"/>
      <c r="D871" s="241"/>
      <c r="E871" s="241"/>
      <c r="F871" s="260"/>
      <c r="G871" s="260"/>
      <c r="H871" s="260"/>
      <c r="I871" s="260"/>
      <c r="J871" s="260"/>
      <c r="K871" s="260"/>
      <c r="L871" s="260"/>
      <c r="M871" s="260"/>
      <c r="N871" s="260"/>
      <c r="O871" s="235"/>
      <c r="P871" s="235"/>
      <c r="Q871" s="235"/>
    </row>
    <row r="872" spans="2:17">
      <c r="B872" s="241"/>
      <c r="C872" s="241"/>
      <c r="D872" s="241"/>
      <c r="E872" s="241"/>
      <c r="F872" s="260"/>
      <c r="G872" s="260"/>
      <c r="H872" s="260"/>
      <c r="I872" s="260"/>
      <c r="J872" s="260"/>
      <c r="K872" s="260"/>
      <c r="L872" s="260"/>
      <c r="M872" s="260"/>
      <c r="N872" s="260"/>
      <c r="O872" s="235"/>
      <c r="P872" s="235"/>
      <c r="Q872" s="235"/>
    </row>
    <row r="873" spans="2:17">
      <c r="B873" s="241"/>
      <c r="C873" s="241"/>
      <c r="D873" s="241"/>
      <c r="E873" s="241"/>
      <c r="F873" s="260"/>
      <c r="G873" s="260"/>
      <c r="H873" s="260"/>
      <c r="I873" s="260"/>
      <c r="J873" s="260"/>
      <c r="K873" s="260"/>
      <c r="L873" s="260"/>
      <c r="M873" s="260"/>
      <c r="N873" s="260"/>
      <c r="O873" s="235"/>
      <c r="P873" s="235"/>
      <c r="Q873" s="235"/>
    </row>
    <row r="874" spans="2:17">
      <c r="B874" s="241"/>
      <c r="C874" s="241"/>
      <c r="D874" s="241"/>
      <c r="E874" s="241"/>
      <c r="F874" s="260"/>
      <c r="G874" s="260"/>
      <c r="H874" s="260"/>
      <c r="I874" s="260"/>
      <c r="J874" s="260"/>
      <c r="K874" s="260"/>
      <c r="L874" s="260"/>
      <c r="M874" s="260"/>
      <c r="N874" s="260"/>
      <c r="O874" s="235"/>
      <c r="P874" s="235"/>
      <c r="Q874" s="235"/>
    </row>
    <row r="875" spans="2:17">
      <c r="B875" s="241"/>
      <c r="C875" s="241"/>
      <c r="D875" s="241"/>
      <c r="E875" s="241"/>
      <c r="F875" s="260"/>
      <c r="G875" s="260"/>
      <c r="H875" s="260"/>
      <c r="I875" s="260"/>
      <c r="J875" s="260"/>
      <c r="K875" s="260"/>
      <c r="L875" s="260"/>
      <c r="M875" s="260"/>
      <c r="N875" s="260"/>
      <c r="O875" s="235"/>
      <c r="P875" s="235"/>
      <c r="Q875" s="235"/>
    </row>
    <row r="876" spans="2:17">
      <c r="B876" s="241"/>
      <c r="C876" s="241"/>
      <c r="D876" s="241"/>
      <c r="E876" s="241"/>
      <c r="F876" s="260"/>
      <c r="G876" s="260"/>
      <c r="H876" s="260"/>
      <c r="I876" s="260"/>
      <c r="J876" s="260"/>
      <c r="K876" s="260"/>
      <c r="L876" s="260"/>
      <c r="M876" s="260"/>
      <c r="N876" s="260"/>
      <c r="O876" s="235"/>
      <c r="P876" s="235"/>
      <c r="Q876" s="235"/>
    </row>
    <row r="877" spans="2:17">
      <c r="B877" s="241"/>
      <c r="C877" s="241"/>
      <c r="D877" s="241"/>
      <c r="E877" s="241"/>
      <c r="F877" s="260"/>
      <c r="G877" s="260"/>
      <c r="H877" s="260"/>
      <c r="I877" s="260"/>
      <c r="J877" s="260"/>
      <c r="K877" s="260"/>
      <c r="L877" s="260"/>
      <c r="M877" s="260"/>
      <c r="N877" s="260"/>
      <c r="O877" s="235"/>
      <c r="P877" s="235"/>
      <c r="Q877" s="235"/>
    </row>
    <row r="878" spans="2:17">
      <c r="B878" s="241"/>
      <c r="C878" s="241"/>
      <c r="D878" s="241"/>
      <c r="E878" s="241"/>
      <c r="F878" s="260"/>
      <c r="G878" s="260"/>
      <c r="H878" s="260"/>
      <c r="I878" s="260"/>
      <c r="J878" s="260"/>
      <c r="K878" s="260"/>
      <c r="L878" s="260"/>
      <c r="M878" s="260"/>
      <c r="N878" s="260"/>
      <c r="O878" s="235"/>
      <c r="P878" s="235"/>
      <c r="Q878" s="235"/>
    </row>
    <row r="879" spans="2:17">
      <c r="B879" s="241"/>
      <c r="C879" s="241"/>
      <c r="D879" s="241"/>
      <c r="E879" s="241"/>
      <c r="F879" s="260"/>
      <c r="G879" s="260"/>
      <c r="H879" s="260"/>
      <c r="I879" s="260"/>
      <c r="J879" s="260"/>
      <c r="K879" s="260"/>
      <c r="L879" s="260"/>
      <c r="M879" s="260"/>
      <c r="N879" s="260"/>
      <c r="O879" s="235"/>
      <c r="P879" s="235"/>
      <c r="Q879" s="235"/>
    </row>
    <row r="880" spans="2:17">
      <c r="B880" s="241"/>
      <c r="C880" s="241"/>
      <c r="D880" s="241"/>
      <c r="E880" s="241"/>
      <c r="F880" s="260"/>
      <c r="G880" s="260"/>
      <c r="H880" s="260"/>
      <c r="I880" s="260"/>
      <c r="J880" s="260"/>
      <c r="K880" s="260"/>
      <c r="L880" s="260"/>
      <c r="M880" s="260"/>
      <c r="N880" s="260"/>
      <c r="O880" s="235"/>
      <c r="P880" s="235"/>
      <c r="Q880" s="235"/>
    </row>
    <row r="881" spans="2:17">
      <c r="B881" s="241"/>
      <c r="C881" s="241"/>
      <c r="D881" s="241"/>
      <c r="E881" s="241"/>
      <c r="F881" s="260"/>
      <c r="G881" s="260"/>
      <c r="H881" s="260"/>
      <c r="I881" s="260"/>
      <c r="J881" s="260"/>
      <c r="K881" s="260"/>
      <c r="L881" s="260"/>
      <c r="M881" s="260"/>
      <c r="N881" s="260"/>
      <c r="O881" s="235"/>
      <c r="P881" s="235"/>
      <c r="Q881" s="235"/>
    </row>
    <row r="882" spans="2:17">
      <c r="B882" s="241"/>
      <c r="C882" s="241"/>
      <c r="D882" s="241"/>
      <c r="E882" s="241"/>
      <c r="F882" s="260"/>
      <c r="G882" s="260"/>
      <c r="H882" s="260"/>
      <c r="I882" s="260"/>
      <c r="J882" s="260"/>
      <c r="K882" s="260"/>
      <c r="L882" s="260"/>
      <c r="M882" s="260"/>
      <c r="N882" s="260"/>
      <c r="O882" s="235"/>
      <c r="P882" s="235"/>
      <c r="Q882" s="235"/>
    </row>
    <row r="883" spans="2:17">
      <c r="B883" s="241"/>
      <c r="C883" s="241"/>
      <c r="D883" s="241"/>
      <c r="E883" s="241"/>
      <c r="F883" s="260"/>
      <c r="G883" s="260"/>
      <c r="H883" s="260"/>
      <c r="I883" s="260"/>
      <c r="J883" s="260"/>
      <c r="K883" s="260"/>
      <c r="L883" s="260"/>
      <c r="M883" s="260"/>
      <c r="N883" s="260"/>
      <c r="O883" s="235"/>
      <c r="P883" s="235"/>
      <c r="Q883" s="235"/>
    </row>
    <row r="884" spans="2:17">
      <c r="B884" s="241"/>
      <c r="C884" s="241"/>
      <c r="D884" s="241"/>
      <c r="E884" s="241"/>
      <c r="F884" s="260"/>
      <c r="G884" s="260"/>
      <c r="H884" s="260"/>
      <c r="I884" s="260"/>
      <c r="J884" s="260"/>
      <c r="K884" s="260"/>
      <c r="L884" s="260"/>
      <c r="M884" s="260"/>
      <c r="N884" s="260"/>
      <c r="O884" s="235"/>
      <c r="P884" s="235"/>
      <c r="Q884" s="235"/>
    </row>
    <row r="885" spans="2:17">
      <c r="B885" s="241"/>
      <c r="C885" s="241"/>
      <c r="D885" s="241"/>
      <c r="E885" s="241"/>
      <c r="F885" s="260"/>
      <c r="G885" s="260"/>
      <c r="H885" s="260"/>
      <c r="I885" s="260"/>
      <c r="J885" s="260"/>
      <c r="K885" s="260"/>
      <c r="L885" s="260"/>
      <c r="M885" s="260"/>
      <c r="N885" s="260"/>
      <c r="O885" s="235"/>
      <c r="P885" s="235"/>
      <c r="Q885" s="235"/>
    </row>
    <row r="886" spans="2:17">
      <c r="B886" s="241"/>
      <c r="C886" s="241"/>
      <c r="D886" s="241"/>
      <c r="E886" s="241"/>
      <c r="F886" s="260"/>
      <c r="G886" s="260"/>
      <c r="H886" s="260"/>
      <c r="I886" s="260"/>
      <c r="J886" s="260"/>
      <c r="K886" s="260"/>
      <c r="L886" s="260"/>
      <c r="M886" s="260"/>
      <c r="N886" s="260"/>
      <c r="O886" s="235"/>
      <c r="P886" s="235"/>
      <c r="Q886" s="235"/>
    </row>
    <row r="887" spans="2:17">
      <c r="B887" s="241"/>
      <c r="C887" s="241"/>
      <c r="D887" s="241"/>
      <c r="E887" s="241"/>
      <c r="F887" s="260"/>
      <c r="G887" s="260"/>
      <c r="H887" s="260"/>
      <c r="I887" s="260"/>
      <c r="J887" s="260"/>
      <c r="K887" s="260"/>
      <c r="L887" s="260"/>
      <c r="M887" s="260"/>
      <c r="N887" s="260"/>
      <c r="O887" s="235"/>
      <c r="P887" s="235"/>
      <c r="Q887" s="235"/>
    </row>
    <row r="888" spans="2:17">
      <c r="B888" s="241"/>
      <c r="C888" s="241"/>
      <c r="D888" s="241"/>
      <c r="E888" s="241"/>
      <c r="F888" s="260"/>
      <c r="G888" s="260"/>
      <c r="H888" s="260"/>
      <c r="I888" s="260"/>
      <c r="J888" s="260"/>
      <c r="K888" s="260"/>
      <c r="L888" s="260"/>
      <c r="M888" s="260"/>
      <c r="N888" s="260"/>
      <c r="O888" s="235"/>
      <c r="P888" s="235"/>
      <c r="Q888" s="235"/>
    </row>
    <row r="889" spans="2:17">
      <c r="B889" s="241"/>
      <c r="C889" s="241"/>
      <c r="D889" s="241"/>
      <c r="E889" s="241"/>
      <c r="F889" s="260"/>
      <c r="G889" s="260"/>
      <c r="H889" s="260"/>
      <c r="I889" s="260"/>
      <c r="J889" s="260"/>
      <c r="K889" s="260"/>
      <c r="L889" s="260"/>
      <c r="M889" s="260"/>
      <c r="N889" s="260"/>
      <c r="O889" s="235"/>
      <c r="P889" s="235"/>
      <c r="Q889" s="235"/>
    </row>
    <row r="890" spans="2:17">
      <c r="B890" s="241"/>
      <c r="C890" s="241"/>
      <c r="D890" s="241"/>
      <c r="E890" s="241"/>
      <c r="F890" s="260"/>
      <c r="G890" s="260"/>
      <c r="H890" s="260"/>
      <c r="I890" s="260"/>
      <c r="J890" s="260"/>
      <c r="K890" s="260"/>
      <c r="L890" s="260"/>
      <c r="M890" s="260"/>
      <c r="N890" s="260"/>
      <c r="O890" s="235"/>
      <c r="P890" s="235"/>
      <c r="Q890" s="235"/>
    </row>
    <row r="891" spans="2:17">
      <c r="B891" s="241"/>
      <c r="C891" s="241"/>
      <c r="D891" s="241"/>
      <c r="E891" s="241"/>
      <c r="F891" s="260"/>
      <c r="G891" s="260"/>
      <c r="H891" s="260"/>
      <c r="I891" s="260"/>
      <c r="J891" s="260"/>
      <c r="K891" s="260"/>
      <c r="L891" s="260"/>
      <c r="M891" s="260"/>
      <c r="N891" s="260"/>
      <c r="O891" s="235"/>
      <c r="P891" s="235"/>
      <c r="Q891" s="235"/>
    </row>
    <row r="892" spans="2:17">
      <c r="B892" s="241"/>
      <c r="C892" s="241"/>
      <c r="D892" s="241"/>
      <c r="E892" s="241"/>
      <c r="F892" s="260"/>
      <c r="G892" s="260"/>
      <c r="H892" s="260"/>
      <c r="I892" s="260"/>
      <c r="J892" s="260"/>
      <c r="K892" s="260"/>
      <c r="L892" s="260"/>
      <c r="M892" s="260"/>
      <c r="N892" s="260"/>
      <c r="O892" s="235"/>
      <c r="P892" s="235"/>
      <c r="Q892" s="235"/>
    </row>
    <row r="893" spans="2:17">
      <c r="B893" s="241"/>
      <c r="C893" s="241"/>
      <c r="D893" s="241"/>
      <c r="E893" s="241"/>
      <c r="F893" s="260"/>
      <c r="G893" s="260"/>
      <c r="H893" s="260"/>
      <c r="I893" s="260"/>
      <c r="J893" s="260"/>
      <c r="K893" s="260"/>
      <c r="L893" s="260"/>
      <c r="M893" s="260"/>
      <c r="N893" s="260"/>
      <c r="O893" s="235"/>
      <c r="P893" s="235"/>
      <c r="Q893" s="235"/>
    </row>
    <row r="894" spans="2:17">
      <c r="B894" s="241"/>
      <c r="C894" s="241"/>
      <c r="D894" s="241"/>
      <c r="E894" s="241"/>
      <c r="F894" s="260"/>
      <c r="G894" s="260"/>
      <c r="H894" s="260"/>
      <c r="I894" s="260"/>
      <c r="J894" s="260"/>
      <c r="K894" s="260"/>
      <c r="L894" s="260"/>
      <c r="M894" s="260"/>
      <c r="N894" s="260"/>
      <c r="O894" s="235"/>
      <c r="P894" s="235"/>
      <c r="Q894" s="235"/>
    </row>
    <row r="895" spans="2:17">
      <c r="B895" s="241"/>
      <c r="C895" s="241"/>
      <c r="D895" s="241"/>
      <c r="E895" s="241"/>
      <c r="F895" s="260"/>
      <c r="G895" s="260"/>
      <c r="H895" s="260"/>
      <c r="I895" s="260"/>
      <c r="J895" s="260"/>
      <c r="K895" s="260"/>
      <c r="L895" s="260"/>
      <c r="M895" s="260"/>
      <c r="N895" s="260"/>
      <c r="O895" s="235"/>
      <c r="P895" s="235"/>
      <c r="Q895" s="235"/>
    </row>
    <row r="896" spans="2:17">
      <c r="B896" s="241"/>
      <c r="C896" s="241"/>
      <c r="D896" s="241"/>
      <c r="E896" s="241"/>
      <c r="F896" s="260"/>
      <c r="G896" s="260"/>
      <c r="H896" s="260"/>
      <c r="I896" s="260"/>
      <c r="J896" s="260"/>
      <c r="K896" s="260"/>
      <c r="L896" s="260"/>
      <c r="M896" s="260"/>
      <c r="N896" s="260"/>
      <c r="O896" s="235"/>
      <c r="P896" s="235"/>
      <c r="Q896" s="235"/>
    </row>
    <row r="897" spans="2:17">
      <c r="B897" s="241"/>
      <c r="C897" s="241"/>
      <c r="D897" s="241"/>
      <c r="E897" s="241"/>
      <c r="F897" s="260"/>
      <c r="G897" s="260"/>
      <c r="H897" s="260"/>
      <c r="I897" s="260"/>
      <c r="J897" s="260"/>
      <c r="K897" s="260"/>
      <c r="L897" s="260"/>
      <c r="M897" s="260"/>
      <c r="N897" s="260"/>
      <c r="O897" s="235"/>
      <c r="P897" s="235"/>
      <c r="Q897" s="235"/>
    </row>
    <row r="898" spans="2:17">
      <c r="B898" s="241"/>
      <c r="C898" s="241"/>
      <c r="D898" s="241"/>
      <c r="E898" s="241"/>
      <c r="F898" s="260"/>
      <c r="G898" s="260"/>
      <c r="H898" s="260"/>
      <c r="I898" s="260"/>
      <c r="J898" s="260"/>
      <c r="K898" s="260"/>
      <c r="L898" s="260"/>
      <c r="M898" s="260"/>
      <c r="N898" s="260"/>
      <c r="O898" s="235"/>
      <c r="P898" s="235"/>
      <c r="Q898" s="235"/>
    </row>
    <row r="899" spans="2:17">
      <c r="B899" s="241"/>
      <c r="C899" s="241"/>
      <c r="D899" s="241"/>
      <c r="E899" s="241"/>
      <c r="F899" s="260"/>
      <c r="G899" s="260"/>
      <c r="H899" s="260"/>
      <c r="I899" s="260"/>
      <c r="J899" s="260"/>
      <c r="K899" s="260"/>
      <c r="L899" s="260"/>
      <c r="M899" s="260"/>
      <c r="N899" s="260"/>
      <c r="O899" s="235"/>
      <c r="P899" s="235"/>
      <c r="Q899" s="235"/>
    </row>
    <row r="900" spans="2:17">
      <c r="B900" s="241"/>
      <c r="C900" s="241"/>
      <c r="D900" s="241"/>
      <c r="E900" s="241"/>
      <c r="F900" s="260"/>
      <c r="G900" s="260"/>
      <c r="H900" s="260"/>
      <c r="I900" s="260"/>
      <c r="J900" s="260"/>
      <c r="K900" s="260"/>
      <c r="L900" s="260"/>
      <c r="M900" s="260"/>
      <c r="N900" s="260"/>
      <c r="O900" s="235"/>
      <c r="P900" s="235"/>
      <c r="Q900" s="235"/>
    </row>
    <row r="901" spans="2:17">
      <c r="B901" s="241"/>
      <c r="C901" s="241"/>
      <c r="D901" s="241"/>
      <c r="E901" s="241"/>
      <c r="F901" s="260"/>
      <c r="G901" s="260"/>
      <c r="H901" s="260"/>
      <c r="I901" s="260"/>
      <c r="J901" s="260"/>
      <c r="K901" s="260"/>
      <c r="L901" s="260"/>
      <c r="M901" s="260"/>
      <c r="N901" s="260"/>
      <c r="O901" s="235"/>
      <c r="P901" s="235"/>
      <c r="Q901" s="235"/>
    </row>
    <row r="902" spans="2:17">
      <c r="B902" s="241"/>
      <c r="C902" s="241"/>
      <c r="D902" s="241"/>
      <c r="E902" s="241"/>
      <c r="F902" s="260"/>
      <c r="G902" s="260"/>
      <c r="H902" s="260"/>
      <c r="I902" s="260"/>
      <c r="J902" s="260"/>
      <c r="K902" s="260"/>
      <c r="L902" s="260"/>
      <c r="M902" s="260"/>
      <c r="N902" s="260"/>
      <c r="O902" s="235"/>
      <c r="P902" s="235"/>
      <c r="Q902" s="235"/>
    </row>
    <row r="903" spans="2:17">
      <c r="B903" s="241"/>
      <c r="C903" s="241"/>
      <c r="D903" s="241"/>
      <c r="E903" s="241"/>
      <c r="F903" s="260"/>
      <c r="G903" s="260"/>
      <c r="H903" s="260"/>
      <c r="I903" s="260"/>
      <c r="J903" s="260"/>
      <c r="K903" s="260"/>
      <c r="L903" s="260"/>
      <c r="M903" s="260"/>
      <c r="N903" s="260"/>
      <c r="O903" s="235"/>
      <c r="P903" s="235"/>
      <c r="Q903" s="235"/>
    </row>
    <row r="904" spans="2:17">
      <c r="B904" s="241"/>
      <c r="C904" s="241"/>
      <c r="D904" s="241"/>
      <c r="E904" s="241"/>
      <c r="F904" s="260"/>
      <c r="G904" s="260"/>
      <c r="H904" s="260"/>
      <c r="I904" s="260"/>
      <c r="J904" s="260"/>
      <c r="K904" s="260"/>
      <c r="L904" s="260"/>
      <c r="M904" s="260"/>
      <c r="N904" s="260"/>
      <c r="O904" s="235"/>
      <c r="P904" s="235"/>
      <c r="Q904" s="235"/>
    </row>
    <row r="905" spans="2:17">
      <c r="B905" s="241"/>
      <c r="C905" s="241"/>
      <c r="D905" s="241"/>
      <c r="E905" s="241"/>
      <c r="F905" s="260"/>
      <c r="G905" s="260"/>
      <c r="H905" s="260"/>
      <c r="I905" s="260"/>
      <c r="J905" s="260"/>
      <c r="K905" s="260"/>
      <c r="L905" s="260"/>
      <c r="M905" s="260"/>
      <c r="N905" s="260"/>
      <c r="O905" s="235"/>
      <c r="P905" s="235"/>
      <c r="Q905" s="235"/>
    </row>
    <row r="906" spans="2:17">
      <c r="B906" s="241"/>
      <c r="C906" s="241"/>
      <c r="D906" s="241"/>
      <c r="E906" s="241"/>
      <c r="F906" s="260"/>
      <c r="G906" s="260"/>
      <c r="H906" s="260"/>
      <c r="I906" s="260"/>
      <c r="J906" s="260"/>
      <c r="K906" s="260"/>
      <c r="L906" s="260"/>
      <c r="M906" s="260"/>
      <c r="N906" s="260"/>
      <c r="O906" s="235"/>
      <c r="P906" s="235"/>
      <c r="Q906" s="235"/>
    </row>
    <row r="907" spans="2:17">
      <c r="B907" s="241"/>
      <c r="C907" s="241"/>
      <c r="D907" s="241"/>
      <c r="E907" s="241"/>
      <c r="F907" s="260"/>
      <c r="G907" s="260"/>
      <c r="H907" s="260"/>
      <c r="I907" s="260"/>
      <c r="J907" s="260"/>
      <c r="K907" s="260"/>
      <c r="L907" s="260"/>
      <c r="M907" s="260"/>
      <c r="N907" s="260"/>
      <c r="O907" s="235"/>
      <c r="P907" s="235"/>
      <c r="Q907" s="235"/>
    </row>
    <row r="908" spans="2:17">
      <c r="B908" s="241"/>
      <c r="C908" s="241"/>
      <c r="D908" s="241"/>
      <c r="E908" s="241"/>
      <c r="F908" s="260"/>
      <c r="G908" s="260"/>
      <c r="H908" s="260"/>
      <c r="I908" s="260"/>
      <c r="J908" s="260"/>
      <c r="K908" s="260"/>
      <c r="L908" s="260"/>
      <c r="M908" s="260"/>
      <c r="N908" s="260"/>
      <c r="O908" s="235"/>
      <c r="P908" s="235"/>
      <c r="Q908" s="235"/>
    </row>
    <row r="909" spans="2:17">
      <c r="B909" s="241"/>
      <c r="C909" s="241"/>
      <c r="D909" s="241"/>
      <c r="E909" s="241"/>
      <c r="F909" s="260"/>
      <c r="G909" s="260"/>
      <c r="H909" s="260"/>
      <c r="I909" s="260"/>
      <c r="J909" s="260"/>
      <c r="K909" s="260"/>
      <c r="L909" s="260"/>
      <c r="M909" s="260"/>
      <c r="N909" s="260"/>
      <c r="O909" s="235"/>
      <c r="P909" s="235"/>
      <c r="Q909" s="235"/>
    </row>
    <row r="910" spans="2:17">
      <c r="B910" s="241"/>
      <c r="C910" s="241"/>
      <c r="D910" s="241"/>
      <c r="E910" s="241"/>
      <c r="F910" s="260"/>
      <c r="G910" s="260"/>
      <c r="H910" s="260"/>
      <c r="I910" s="260"/>
      <c r="J910" s="260"/>
      <c r="K910" s="260"/>
      <c r="L910" s="260"/>
      <c r="M910" s="260"/>
      <c r="N910" s="260"/>
      <c r="O910" s="235"/>
      <c r="P910" s="235"/>
      <c r="Q910" s="235"/>
    </row>
    <row r="911" spans="2:17">
      <c r="B911" s="241"/>
      <c r="C911" s="241"/>
      <c r="D911" s="241"/>
      <c r="E911" s="241"/>
      <c r="F911" s="260"/>
      <c r="G911" s="260"/>
      <c r="H911" s="260"/>
      <c r="I911" s="260"/>
      <c r="J911" s="260"/>
      <c r="K911" s="260"/>
      <c r="L911" s="260"/>
      <c r="M911" s="260"/>
      <c r="N911" s="260"/>
      <c r="O911" s="235"/>
      <c r="P911" s="235"/>
      <c r="Q911" s="235"/>
    </row>
    <row r="912" spans="2:17">
      <c r="B912" s="241"/>
      <c r="C912" s="241"/>
      <c r="D912" s="241"/>
      <c r="E912" s="241"/>
      <c r="F912" s="260"/>
      <c r="G912" s="260"/>
      <c r="H912" s="260"/>
      <c r="I912" s="260"/>
      <c r="J912" s="260"/>
      <c r="K912" s="260"/>
      <c r="L912" s="260"/>
      <c r="M912" s="260"/>
      <c r="N912" s="260"/>
      <c r="O912" s="235"/>
      <c r="P912" s="235"/>
      <c r="Q912" s="235"/>
    </row>
    <row r="913" spans="2:17">
      <c r="B913" s="241"/>
      <c r="C913" s="241"/>
      <c r="D913" s="241"/>
      <c r="E913" s="241"/>
      <c r="F913" s="260"/>
      <c r="G913" s="260"/>
      <c r="H913" s="260"/>
      <c r="I913" s="260"/>
      <c r="J913" s="260"/>
      <c r="K913" s="260"/>
      <c r="L913" s="260"/>
      <c r="M913" s="260"/>
      <c r="N913" s="260"/>
      <c r="O913" s="235"/>
      <c r="P913" s="235"/>
      <c r="Q913" s="235"/>
    </row>
    <row r="914" spans="2:17">
      <c r="B914" s="241"/>
      <c r="C914" s="241"/>
      <c r="D914" s="241"/>
      <c r="E914" s="241"/>
      <c r="F914" s="260"/>
      <c r="G914" s="260"/>
      <c r="H914" s="260"/>
      <c r="I914" s="260"/>
      <c r="J914" s="260"/>
      <c r="K914" s="260"/>
      <c r="L914" s="260"/>
      <c r="M914" s="260"/>
      <c r="N914" s="260"/>
      <c r="O914" s="235"/>
      <c r="P914" s="235"/>
      <c r="Q914" s="235"/>
    </row>
    <row r="915" spans="2:17">
      <c r="B915" s="241"/>
      <c r="C915" s="241"/>
      <c r="D915" s="241"/>
      <c r="E915" s="241"/>
      <c r="F915" s="260"/>
      <c r="G915" s="260"/>
      <c r="H915" s="260"/>
      <c r="I915" s="260"/>
      <c r="J915" s="260"/>
      <c r="K915" s="260"/>
      <c r="L915" s="260"/>
      <c r="M915" s="260"/>
      <c r="N915" s="260"/>
      <c r="O915" s="235"/>
      <c r="P915" s="235"/>
      <c r="Q915" s="235"/>
    </row>
    <row r="916" spans="2:17">
      <c r="B916" s="241"/>
      <c r="C916" s="241"/>
      <c r="D916" s="241"/>
      <c r="E916" s="241"/>
      <c r="F916" s="260"/>
      <c r="G916" s="260"/>
      <c r="H916" s="260"/>
      <c r="I916" s="260"/>
      <c r="J916" s="260"/>
      <c r="K916" s="260"/>
      <c r="L916" s="260"/>
      <c r="M916" s="260"/>
      <c r="N916" s="260"/>
      <c r="O916" s="235"/>
      <c r="P916" s="235"/>
      <c r="Q916" s="235"/>
    </row>
    <row r="917" spans="2:17">
      <c r="B917" s="241"/>
      <c r="C917" s="241"/>
      <c r="D917" s="241"/>
      <c r="E917" s="241"/>
      <c r="F917" s="260"/>
      <c r="G917" s="260"/>
      <c r="H917" s="260"/>
      <c r="I917" s="260"/>
      <c r="J917" s="260"/>
      <c r="K917" s="260"/>
      <c r="L917" s="260"/>
      <c r="M917" s="260"/>
      <c r="N917" s="260"/>
      <c r="O917" s="235"/>
      <c r="P917" s="235"/>
      <c r="Q917" s="235"/>
    </row>
    <row r="918" spans="2:17">
      <c r="B918" s="241"/>
      <c r="C918" s="241"/>
      <c r="D918" s="241"/>
      <c r="E918" s="241"/>
      <c r="F918" s="260"/>
      <c r="G918" s="260"/>
      <c r="H918" s="260"/>
      <c r="I918" s="260"/>
      <c r="J918" s="260"/>
      <c r="K918" s="260"/>
      <c r="L918" s="260"/>
      <c r="M918" s="260"/>
      <c r="N918" s="260"/>
      <c r="O918" s="235"/>
      <c r="P918" s="235"/>
      <c r="Q918" s="235"/>
    </row>
    <row r="919" spans="2:17">
      <c r="B919" s="241"/>
      <c r="C919" s="241"/>
      <c r="D919" s="241"/>
      <c r="E919" s="241"/>
      <c r="F919" s="260"/>
      <c r="G919" s="260"/>
      <c r="H919" s="260"/>
      <c r="I919" s="260"/>
      <c r="J919" s="260"/>
      <c r="K919" s="260"/>
      <c r="L919" s="260"/>
      <c r="M919" s="260"/>
      <c r="N919" s="260"/>
      <c r="O919" s="235"/>
      <c r="P919" s="235"/>
      <c r="Q919" s="235"/>
    </row>
    <row r="920" spans="2:17">
      <c r="B920" s="241"/>
      <c r="C920" s="241"/>
      <c r="D920" s="241"/>
      <c r="E920" s="241"/>
      <c r="F920" s="260"/>
      <c r="G920" s="260"/>
      <c r="H920" s="260"/>
      <c r="I920" s="260"/>
      <c r="J920" s="260"/>
      <c r="K920" s="260"/>
      <c r="L920" s="260"/>
      <c r="M920" s="260"/>
      <c r="N920" s="260"/>
      <c r="O920" s="235"/>
      <c r="P920" s="235"/>
      <c r="Q920" s="235"/>
    </row>
    <row r="921" spans="2:17">
      <c r="B921" s="241"/>
      <c r="C921" s="241"/>
      <c r="D921" s="241"/>
      <c r="E921" s="241"/>
      <c r="F921" s="260"/>
      <c r="G921" s="260"/>
      <c r="H921" s="260"/>
      <c r="I921" s="260"/>
      <c r="J921" s="260"/>
      <c r="K921" s="260"/>
      <c r="L921" s="260"/>
      <c r="M921" s="260"/>
      <c r="N921" s="260"/>
      <c r="O921" s="235"/>
      <c r="P921" s="235"/>
      <c r="Q921" s="235"/>
    </row>
    <row r="922" spans="2:17">
      <c r="B922" s="241"/>
      <c r="C922" s="241"/>
      <c r="D922" s="241"/>
      <c r="E922" s="241"/>
      <c r="F922" s="260"/>
      <c r="G922" s="260"/>
      <c r="H922" s="260"/>
      <c r="I922" s="260"/>
      <c r="J922" s="260"/>
      <c r="K922" s="260"/>
      <c r="L922" s="260"/>
      <c r="M922" s="260"/>
      <c r="N922" s="260"/>
      <c r="O922" s="235"/>
      <c r="P922" s="235"/>
      <c r="Q922" s="235"/>
    </row>
    <row r="923" spans="2:17">
      <c r="B923" s="241"/>
      <c r="C923" s="241"/>
      <c r="D923" s="241"/>
      <c r="E923" s="241"/>
      <c r="F923" s="260"/>
      <c r="G923" s="260"/>
      <c r="H923" s="260"/>
      <c r="I923" s="260"/>
      <c r="J923" s="260"/>
      <c r="K923" s="260"/>
      <c r="L923" s="260"/>
      <c r="M923" s="260"/>
      <c r="N923" s="260"/>
      <c r="O923" s="235"/>
      <c r="P923" s="235"/>
      <c r="Q923" s="235"/>
    </row>
    <row r="924" spans="2:17">
      <c r="B924" s="241"/>
      <c r="C924" s="241"/>
      <c r="D924" s="241"/>
      <c r="E924" s="241"/>
      <c r="F924" s="260"/>
      <c r="G924" s="260"/>
      <c r="H924" s="260"/>
      <c r="I924" s="260"/>
      <c r="J924" s="260"/>
      <c r="K924" s="260"/>
      <c r="L924" s="260"/>
      <c r="M924" s="260"/>
      <c r="N924" s="260"/>
      <c r="O924" s="235"/>
      <c r="P924" s="235"/>
      <c r="Q924" s="235"/>
    </row>
    <row r="925" spans="2:17">
      <c r="B925" s="241"/>
      <c r="C925" s="241"/>
      <c r="D925" s="241"/>
      <c r="E925" s="241"/>
      <c r="F925" s="260"/>
      <c r="G925" s="260"/>
      <c r="H925" s="260"/>
      <c r="I925" s="260"/>
      <c r="J925" s="260"/>
      <c r="K925" s="260"/>
      <c r="L925" s="260"/>
      <c r="M925" s="260"/>
      <c r="N925" s="260"/>
      <c r="O925" s="235"/>
      <c r="P925" s="235"/>
      <c r="Q925" s="235"/>
    </row>
    <row r="926" spans="2:17">
      <c r="B926" s="241"/>
      <c r="C926" s="241"/>
      <c r="D926" s="241"/>
      <c r="E926" s="241"/>
      <c r="F926" s="260"/>
      <c r="G926" s="260"/>
      <c r="H926" s="260"/>
      <c r="I926" s="260"/>
      <c r="J926" s="260"/>
      <c r="K926" s="260"/>
      <c r="L926" s="260"/>
      <c r="M926" s="260"/>
      <c r="N926" s="260"/>
      <c r="O926" s="235"/>
      <c r="P926" s="235"/>
      <c r="Q926" s="235"/>
    </row>
    <row r="927" spans="2:17">
      <c r="B927" s="241"/>
      <c r="C927" s="241"/>
      <c r="D927" s="241"/>
      <c r="E927" s="241"/>
      <c r="F927" s="260"/>
      <c r="G927" s="260"/>
      <c r="H927" s="260"/>
      <c r="I927" s="260"/>
      <c r="J927" s="260"/>
      <c r="K927" s="260"/>
      <c r="L927" s="260"/>
      <c r="M927" s="260"/>
      <c r="N927" s="260"/>
      <c r="O927" s="235"/>
      <c r="P927" s="235"/>
      <c r="Q927" s="235"/>
    </row>
    <row r="928" spans="2:17">
      <c r="B928" s="241"/>
      <c r="C928" s="241"/>
      <c r="D928" s="241"/>
      <c r="E928" s="241"/>
      <c r="F928" s="260"/>
      <c r="G928" s="260"/>
      <c r="H928" s="260"/>
      <c r="I928" s="260"/>
      <c r="J928" s="260"/>
      <c r="K928" s="260"/>
      <c r="L928" s="260"/>
      <c r="M928" s="260"/>
      <c r="N928" s="260"/>
      <c r="O928" s="235"/>
      <c r="P928" s="235"/>
      <c r="Q928" s="235"/>
    </row>
    <row r="929" spans="2:17">
      <c r="B929" s="241"/>
      <c r="C929" s="241"/>
      <c r="D929" s="241"/>
      <c r="E929" s="241"/>
      <c r="F929" s="260"/>
      <c r="G929" s="260"/>
      <c r="H929" s="260"/>
      <c r="I929" s="260"/>
      <c r="J929" s="260"/>
      <c r="K929" s="260"/>
      <c r="L929" s="260"/>
      <c r="M929" s="260"/>
      <c r="N929" s="260"/>
      <c r="O929" s="235"/>
      <c r="P929" s="235"/>
      <c r="Q929" s="235"/>
    </row>
    <row r="930" spans="2:17">
      <c r="B930" s="241"/>
      <c r="C930" s="241"/>
      <c r="D930" s="241"/>
      <c r="E930" s="241"/>
      <c r="F930" s="260"/>
      <c r="G930" s="260"/>
      <c r="H930" s="260"/>
      <c r="I930" s="260"/>
      <c r="J930" s="260"/>
      <c r="K930" s="260"/>
      <c r="L930" s="260"/>
      <c r="M930" s="260"/>
      <c r="N930" s="260"/>
      <c r="O930" s="235"/>
      <c r="P930" s="235"/>
      <c r="Q930" s="235"/>
    </row>
    <row r="931" spans="2:17">
      <c r="B931" s="241"/>
      <c r="C931" s="241"/>
      <c r="D931" s="241"/>
      <c r="E931" s="241"/>
      <c r="F931" s="260"/>
      <c r="G931" s="260"/>
      <c r="H931" s="260"/>
      <c r="I931" s="260"/>
      <c r="J931" s="260"/>
      <c r="K931" s="260"/>
      <c r="L931" s="260"/>
      <c r="M931" s="260"/>
      <c r="N931" s="260"/>
      <c r="O931" s="235"/>
      <c r="P931" s="235"/>
      <c r="Q931" s="235"/>
    </row>
    <row r="932" spans="2:17">
      <c r="B932" s="241"/>
      <c r="C932" s="241"/>
      <c r="D932" s="241"/>
      <c r="E932" s="241"/>
      <c r="F932" s="260"/>
      <c r="G932" s="260"/>
      <c r="H932" s="260"/>
      <c r="I932" s="260"/>
      <c r="J932" s="260"/>
      <c r="K932" s="260"/>
      <c r="L932" s="260"/>
      <c r="M932" s="260"/>
      <c r="N932" s="260"/>
      <c r="O932" s="235"/>
      <c r="P932" s="235"/>
      <c r="Q932" s="235"/>
    </row>
    <row r="933" spans="2:17">
      <c r="B933" s="241"/>
      <c r="C933" s="241"/>
      <c r="D933" s="241"/>
      <c r="E933" s="241"/>
      <c r="F933" s="260"/>
      <c r="G933" s="260"/>
      <c r="H933" s="260"/>
      <c r="I933" s="260"/>
      <c r="J933" s="260"/>
      <c r="K933" s="260"/>
      <c r="L933" s="260"/>
      <c r="M933" s="260"/>
      <c r="N933" s="260"/>
      <c r="O933" s="235"/>
      <c r="P933" s="235"/>
      <c r="Q933" s="235"/>
    </row>
    <row r="934" spans="2:17">
      <c r="B934" s="241"/>
      <c r="C934" s="241"/>
      <c r="D934" s="241"/>
      <c r="E934" s="241"/>
      <c r="F934" s="260"/>
      <c r="G934" s="260"/>
      <c r="H934" s="260"/>
      <c r="I934" s="260"/>
      <c r="J934" s="260"/>
      <c r="K934" s="260"/>
      <c r="L934" s="260"/>
      <c r="M934" s="260"/>
      <c r="N934" s="260"/>
      <c r="O934" s="235"/>
      <c r="P934" s="235"/>
      <c r="Q934" s="235"/>
    </row>
    <row r="935" spans="2:17">
      <c r="B935" s="241"/>
      <c r="C935" s="241"/>
      <c r="D935" s="241"/>
      <c r="E935" s="241"/>
      <c r="F935" s="260"/>
      <c r="G935" s="260"/>
      <c r="H935" s="260"/>
      <c r="I935" s="260"/>
      <c r="J935" s="260"/>
      <c r="K935" s="260"/>
      <c r="L935" s="260"/>
      <c r="M935" s="260"/>
      <c r="N935" s="260"/>
      <c r="O935" s="235"/>
      <c r="P935" s="235"/>
      <c r="Q935" s="235"/>
    </row>
    <row r="936" spans="2:17">
      <c r="B936" s="241"/>
      <c r="C936" s="241"/>
      <c r="D936" s="241"/>
      <c r="E936" s="241"/>
      <c r="F936" s="260"/>
      <c r="G936" s="260"/>
      <c r="H936" s="260"/>
      <c r="I936" s="260"/>
      <c r="J936" s="260"/>
      <c r="K936" s="260"/>
      <c r="L936" s="260"/>
      <c r="M936" s="260"/>
      <c r="N936" s="260"/>
      <c r="O936" s="235"/>
      <c r="P936" s="235"/>
      <c r="Q936" s="235"/>
    </row>
    <row r="937" spans="2:17">
      <c r="B937" s="241"/>
      <c r="C937" s="241"/>
      <c r="D937" s="241"/>
      <c r="E937" s="241"/>
      <c r="F937" s="260"/>
      <c r="G937" s="260"/>
      <c r="H937" s="260"/>
      <c r="I937" s="260"/>
      <c r="J937" s="260"/>
      <c r="K937" s="260"/>
      <c r="L937" s="260"/>
      <c r="M937" s="260"/>
      <c r="N937" s="260"/>
      <c r="O937" s="235"/>
      <c r="P937" s="235"/>
      <c r="Q937" s="235"/>
    </row>
    <row r="938" spans="2:17">
      <c r="B938" s="241"/>
      <c r="C938" s="241"/>
      <c r="D938" s="241"/>
      <c r="E938" s="241"/>
      <c r="F938" s="260"/>
      <c r="G938" s="260"/>
      <c r="H938" s="260"/>
      <c r="I938" s="260"/>
      <c r="J938" s="260"/>
      <c r="K938" s="260"/>
      <c r="L938" s="260"/>
      <c r="M938" s="260"/>
      <c r="N938" s="260"/>
      <c r="O938" s="235"/>
      <c r="P938" s="235"/>
      <c r="Q938" s="235"/>
    </row>
    <row r="939" spans="2:17">
      <c r="B939" s="241"/>
      <c r="C939" s="241"/>
      <c r="D939" s="241"/>
      <c r="E939" s="241"/>
      <c r="F939" s="260"/>
      <c r="G939" s="260"/>
      <c r="H939" s="260"/>
      <c r="I939" s="260"/>
      <c r="J939" s="260"/>
      <c r="K939" s="260"/>
      <c r="L939" s="260"/>
      <c r="M939" s="260"/>
      <c r="N939" s="260"/>
      <c r="O939" s="235"/>
      <c r="P939" s="235"/>
      <c r="Q939" s="235"/>
    </row>
    <row r="940" spans="2:17">
      <c r="B940" s="241"/>
      <c r="C940" s="241"/>
      <c r="D940" s="241"/>
      <c r="E940" s="241"/>
      <c r="F940" s="260"/>
      <c r="G940" s="260"/>
      <c r="H940" s="260"/>
      <c r="I940" s="260"/>
      <c r="J940" s="260"/>
      <c r="K940" s="260"/>
      <c r="L940" s="260"/>
      <c r="M940" s="260"/>
      <c r="N940" s="260"/>
      <c r="O940" s="235"/>
      <c r="P940" s="235"/>
      <c r="Q940" s="235"/>
    </row>
    <row r="941" spans="2:17">
      <c r="B941" s="241"/>
      <c r="C941" s="241"/>
      <c r="D941" s="241"/>
      <c r="E941" s="241"/>
      <c r="F941" s="260"/>
      <c r="G941" s="260"/>
      <c r="H941" s="260"/>
      <c r="I941" s="260"/>
      <c r="J941" s="260"/>
      <c r="K941" s="260"/>
      <c r="L941" s="260"/>
      <c r="M941" s="260"/>
      <c r="N941" s="260"/>
      <c r="O941" s="235"/>
      <c r="P941" s="235"/>
      <c r="Q941" s="235"/>
    </row>
    <row r="942" spans="2:17">
      <c r="B942" s="241"/>
      <c r="C942" s="241"/>
      <c r="D942" s="241"/>
      <c r="E942" s="241"/>
      <c r="F942" s="260"/>
      <c r="G942" s="260"/>
      <c r="H942" s="260"/>
      <c r="I942" s="260"/>
      <c r="J942" s="260"/>
      <c r="K942" s="260"/>
      <c r="L942" s="260"/>
      <c r="M942" s="260"/>
      <c r="N942" s="260"/>
      <c r="O942" s="235"/>
      <c r="P942" s="235"/>
      <c r="Q942" s="235"/>
    </row>
    <row r="943" spans="2:17">
      <c r="B943" s="241"/>
      <c r="C943" s="241"/>
      <c r="D943" s="241"/>
      <c r="E943" s="241"/>
      <c r="F943" s="260"/>
      <c r="G943" s="260"/>
      <c r="H943" s="260"/>
      <c r="I943" s="260"/>
      <c r="J943" s="260"/>
      <c r="K943" s="260"/>
      <c r="L943" s="260"/>
      <c r="M943" s="260"/>
      <c r="N943" s="260"/>
      <c r="O943" s="235"/>
      <c r="P943" s="235"/>
      <c r="Q943" s="235"/>
    </row>
    <row r="944" spans="2:17">
      <c r="B944" s="241"/>
      <c r="C944" s="241"/>
      <c r="D944" s="241"/>
      <c r="E944" s="241"/>
      <c r="F944" s="260"/>
      <c r="G944" s="260"/>
      <c r="H944" s="260"/>
      <c r="I944" s="260"/>
      <c r="J944" s="260"/>
      <c r="K944" s="260"/>
      <c r="L944" s="260"/>
      <c r="M944" s="260"/>
      <c r="N944" s="260"/>
      <c r="O944" s="235"/>
      <c r="P944" s="235"/>
      <c r="Q944" s="235"/>
    </row>
    <row r="945" spans="2:17">
      <c r="B945" s="241"/>
      <c r="C945" s="241"/>
      <c r="D945" s="241"/>
      <c r="E945" s="241"/>
      <c r="F945" s="260"/>
      <c r="G945" s="260"/>
      <c r="H945" s="260"/>
      <c r="I945" s="260"/>
      <c r="J945" s="260"/>
      <c r="K945" s="260"/>
      <c r="L945" s="260"/>
      <c r="M945" s="260"/>
      <c r="N945" s="260"/>
      <c r="O945" s="235"/>
      <c r="P945" s="235"/>
      <c r="Q945" s="235"/>
    </row>
    <row r="946" spans="2:17">
      <c r="B946" s="241"/>
      <c r="C946" s="241"/>
      <c r="D946" s="241"/>
      <c r="E946" s="241"/>
      <c r="F946" s="260"/>
      <c r="G946" s="260"/>
      <c r="H946" s="260"/>
      <c r="I946" s="260"/>
      <c r="J946" s="260"/>
      <c r="K946" s="260"/>
      <c r="L946" s="260"/>
      <c r="M946" s="260"/>
      <c r="N946" s="260"/>
      <c r="O946" s="235"/>
      <c r="P946" s="235"/>
      <c r="Q946" s="235"/>
    </row>
    <row r="947" spans="2:17">
      <c r="B947" s="241"/>
      <c r="C947" s="241"/>
      <c r="D947" s="241"/>
      <c r="E947" s="241"/>
      <c r="F947" s="260"/>
      <c r="G947" s="260"/>
      <c r="H947" s="260"/>
      <c r="I947" s="260"/>
      <c r="J947" s="260"/>
      <c r="K947" s="260"/>
      <c r="L947" s="260"/>
      <c r="M947" s="260"/>
      <c r="N947" s="260"/>
      <c r="O947" s="235"/>
      <c r="P947" s="235"/>
      <c r="Q947" s="235"/>
    </row>
    <row r="948" spans="2:17">
      <c r="B948" s="241"/>
      <c r="C948" s="241"/>
      <c r="D948" s="241"/>
      <c r="E948" s="241"/>
      <c r="F948" s="260"/>
      <c r="G948" s="260"/>
      <c r="H948" s="260"/>
      <c r="I948" s="260"/>
      <c r="J948" s="260"/>
      <c r="K948" s="260"/>
      <c r="L948" s="260"/>
      <c r="M948" s="260"/>
      <c r="N948" s="260"/>
      <c r="O948" s="235"/>
      <c r="P948" s="235"/>
      <c r="Q948" s="235"/>
    </row>
    <row r="949" spans="2:17">
      <c r="B949" s="241"/>
      <c r="C949" s="241"/>
      <c r="D949" s="241"/>
      <c r="E949" s="241"/>
      <c r="F949" s="260"/>
      <c r="G949" s="260"/>
      <c r="H949" s="260"/>
      <c r="I949" s="260"/>
      <c r="J949" s="260"/>
      <c r="K949" s="260"/>
      <c r="L949" s="260"/>
      <c r="M949" s="260"/>
      <c r="N949" s="260"/>
      <c r="O949" s="235"/>
      <c r="P949" s="235"/>
      <c r="Q949" s="235"/>
    </row>
    <row r="950" spans="2:17">
      <c r="B950" s="241"/>
      <c r="C950" s="241"/>
      <c r="D950" s="241"/>
      <c r="E950" s="241"/>
      <c r="F950" s="260"/>
      <c r="G950" s="260"/>
      <c r="H950" s="260"/>
      <c r="I950" s="260"/>
      <c r="J950" s="260"/>
      <c r="K950" s="260"/>
      <c r="L950" s="260"/>
      <c r="M950" s="260"/>
      <c r="N950" s="260"/>
      <c r="O950" s="235"/>
      <c r="P950" s="235"/>
      <c r="Q950" s="235"/>
    </row>
    <row r="951" spans="2:17">
      <c r="B951" s="241"/>
      <c r="C951" s="241"/>
      <c r="D951" s="241"/>
      <c r="E951" s="241"/>
      <c r="F951" s="260"/>
      <c r="G951" s="260"/>
      <c r="H951" s="260"/>
      <c r="I951" s="260"/>
      <c r="J951" s="260"/>
      <c r="K951" s="260"/>
      <c r="L951" s="260"/>
      <c r="M951" s="260"/>
      <c r="N951" s="260"/>
      <c r="O951" s="235"/>
      <c r="P951" s="235"/>
      <c r="Q951" s="235"/>
    </row>
    <row r="952" spans="2:17">
      <c r="B952" s="241"/>
      <c r="C952" s="241"/>
      <c r="D952" s="241"/>
      <c r="E952" s="241"/>
      <c r="F952" s="260"/>
      <c r="G952" s="260"/>
      <c r="H952" s="260"/>
      <c r="I952" s="260"/>
      <c r="J952" s="260"/>
      <c r="K952" s="260"/>
      <c r="L952" s="260"/>
      <c r="M952" s="260"/>
      <c r="N952" s="260"/>
      <c r="O952" s="235"/>
      <c r="P952" s="235"/>
      <c r="Q952" s="235"/>
    </row>
    <row r="953" spans="2:17">
      <c r="B953" s="241"/>
      <c r="C953" s="241"/>
      <c r="D953" s="241"/>
      <c r="E953" s="241"/>
      <c r="F953" s="260"/>
      <c r="G953" s="260"/>
      <c r="H953" s="260"/>
      <c r="I953" s="260"/>
      <c r="J953" s="260"/>
      <c r="K953" s="260"/>
      <c r="L953" s="260"/>
      <c r="M953" s="260"/>
      <c r="N953" s="260"/>
      <c r="O953" s="235"/>
      <c r="P953" s="235"/>
      <c r="Q953" s="235"/>
    </row>
    <row r="954" spans="2:17">
      <c r="B954" s="241"/>
      <c r="C954" s="241"/>
      <c r="D954" s="241"/>
      <c r="E954" s="241"/>
      <c r="F954" s="260"/>
      <c r="G954" s="260"/>
      <c r="H954" s="260"/>
      <c r="I954" s="260"/>
      <c r="J954" s="260"/>
      <c r="K954" s="260"/>
      <c r="L954" s="260"/>
      <c r="M954" s="260"/>
      <c r="N954" s="260"/>
      <c r="O954" s="235"/>
      <c r="P954" s="235"/>
      <c r="Q954" s="235"/>
    </row>
    <row r="955" spans="2:17">
      <c r="B955" s="241"/>
      <c r="C955" s="241"/>
      <c r="D955" s="241"/>
      <c r="E955" s="241"/>
      <c r="F955" s="260"/>
      <c r="G955" s="260"/>
      <c r="H955" s="260"/>
      <c r="I955" s="260"/>
      <c r="J955" s="260"/>
      <c r="K955" s="260"/>
      <c r="L955" s="260"/>
      <c r="M955" s="260"/>
      <c r="N955" s="260"/>
      <c r="O955" s="235"/>
      <c r="P955" s="235"/>
      <c r="Q955" s="235"/>
    </row>
    <row r="956" spans="2:17">
      <c r="B956" s="241"/>
      <c r="C956" s="241"/>
      <c r="D956" s="241"/>
      <c r="E956" s="241"/>
      <c r="F956" s="260"/>
      <c r="G956" s="260"/>
      <c r="H956" s="260"/>
      <c r="I956" s="260"/>
      <c r="J956" s="260"/>
      <c r="K956" s="260"/>
      <c r="L956" s="260"/>
      <c r="M956" s="260"/>
      <c r="N956" s="260"/>
      <c r="O956" s="235"/>
      <c r="P956" s="235"/>
      <c r="Q956" s="235"/>
    </row>
    <row r="957" spans="2:17">
      <c r="B957" s="241"/>
      <c r="C957" s="241"/>
      <c r="D957" s="241"/>
      <c r="E957" s="241"/>
      <c r="F957" s="260"/>
      <c r="G957" s="260"/>
      <c r="H957" s="260"/>
      <c r="I957" s="260"/>
      <c r="J957" s="260"/>
      <c r="K957" s="260"/>
      <c r="L957" s="260"/>
      <c r="M957" s="260"/>
      <c r="N957" s="260"/>
      <c r="O957" s="235"/>
      <c r="P957" s="235"/>
      <c r="Q957" s="235"/>
    </row>
    <row r="958" spans="2:17">
      <c r="B958" s="241"/>
      <c r="C958" s="241"/>
      <c r="D958" s="241"/>
      <c r="E958" s="241"/>
      <c r="F958" s="260"/>
      <c r="G958" s="260"/>
      <c r="H958" s="260"/>
      <c r="I958" s="260"/>
      <c r="J958" s="260"/>
      <c r="K958" s="260"/>
      <c r="L958" s="260"/>
      <c r="M958" s="260"/>
      <c r="N958" s="260"/>
      <c r="O958" s="235"/>
      <c r="P958" s="235"/>
      <c r="Q958" s="235"/>
    </row>
    <row r="959" spans="2:17">
      <c r="B959" s="241"/>
      <c r="C959" s="241"/>
      <c r="D959" s="241"/>
      <c r="E959" s="241"/>
      <c r="F959" s="260"/>
      <c r="G959" s="260"/>
      <c r="H959" s="260"/>
      <c r="I959" s="260"/>
      <c r="J959" s="260"/>
      <c r="K959" s="260"/>
      <c r="L959" s="260"/>
      <c r="M959" s="260"/>
      <c r="N959" s="260"/>
      <c r="O959" s="235"/>
      <c r="P959" s="235"/>
      <c r="Q959" s="235"/>
    </row>
    <row r="960" spans="2:17">
      <c r="B960" s="241"/>
      <c r="C960" s="241"/>
      <c r="D960" s="241"/>
      <c r="E960" s="241"/>
      <c r="F960" s="260"/>
      <c r="G960" s="260"/>
      <c r="H960" s="260"/>
      <c r="I960" s="260"/>
      <c r="J960" s="260"/>
      <c r="K960" s="260"/>
      <c r="L960" s="260"/>
      <c r="M960" s="260"/>
      <c r="N960" s="260"/>
      <c r="O960" s="235"/>
      <c r="P960" s="235"/>
      <c r="Q960" s="235"/>
    </row>
    <row r="961" spans="2:17">
      <c r="B961" s="241"/>
      <c r="C961" s="241"/>
      <c r="D961" s="241"/>
      <c r="E961" s="241"/>
      <c r="F961" s="260"/>
      <c r="G961" s="260"/>
      <c r="H961" s="260"/>
      <c r="I961" s="260"/>
      <c r="J961" s="260"/>
      <c r="K961" s="260"/>
      <c r="L961" s="260"/>
      <c r="M961" s="260"/>
      <c r="N961" s="260"/>
      <c r="O961" s="235"/>
      <c r="P961" s="235"/>
      <c r="Q961" s="235"/>
    </row>
    <row r="962" spans="2:17">
      <c r="B962" s="241"/>
      <c r="C962" s="241"/>
      <c r="D962" s="241"/>
      <c r="E962" s="241"/>
      <c r="F962" s="260"/>
      <c r="G962" s="260"/>
      <c r="H962" s="260"/>
      <c r="I962" s="260"/>
      <c r="J962" s="260"/>
      <c r="K962" s="260"/>
      <c r="L962" s="260"/>
      <c r="M962" s="260"/>
      <c r="N962" s="260"/>
      <c r="O962" s="235"/>
      <c r="P962" s="235"/>
      <c r="Q962" s="235"/>
    </row>
    <row r="963" spans="2:17">
      <c r="B963" s="241"/>
      <c r="C963" s="241"/>
      <c r="D963" s="241"/>
      <c r="E963" s="241"/>
      <c r="F963" s="260"/>
      <c r="G963" s="260"/>
      <c r="H963" s="260"/>
      <c r="I963" s="260"/>
      <c r="J963" s="260"/>
      <c r="K963" s="260"/>
      <c r="L963" s="260"/>
      <c r="M963" s="260"/>
      <c r="N963" s="260"/>
      <c r="O963" s="235"/>
      <c r="P963" s="235"/>
      <c r="Q963" s="235"/>
    </row>
    <row r="964" spans="2:17">
      <c r="B964" s="241"/>
      <c r="C964" s="241"/>
      <c r="D964" s="241"/>
      <c r="E964" s="241"/>
      <c r="F964" s="260"/>
      <c r="G964" s="260"/>
      <c r="H964" s="260"/>
      <c r="I964" s="260"/>
      <c r="J964" s="260"/>
      <c r="K964" s="260"/>
      <c r="L964" s="260"/>
      <c r="M964" s="260"/>
      <c r="N964" s="260"/>
      <c r="O964" s="235"/>
      <c r="P964" s="235"/>
      <c r="Q964" s="235"/>
    </row>
    <row r="965" spans="2:17">
      <c r="B965" s="241"/>
      <c r="C965" s="241"/>
      <c r="D965" s="241"/>
      <c r="E965" s="241"/>
      <c r="F965" s="260"/>
      <c r="G965" s="260"/>
      <c r="H965" s="260"/>
      <c r="I965" s="260"/>
      <c r="J965" s="260"/>
      <c r="K965" s="260"/>
      <c r="L965" s="260"/>
      <c r="M965" s="260"/>
      <c r="N965" s="260"/>
      <c r="O965" s="235"/>
      <c r="P965" s="235"/>
      <c r="Q965" s="235"/>
    </row>
    <row r="966" spans="2:17">
      <c r="B966" s="241"/>
      <c r="C966" s="241"/>
      <c r="D966" s="241"/>
      <c r="E966" s="241"/>
      <c r="F966" s="260"/>
      <c r="G966" s="260"/>
      <c r="H966" s="260"/>
      <c r="I966" s="260"/>
      <c r="J966" s="260"/>
      <c r="K966" s="260"/>
      <c r="L966" s="260"/>
      <c r="M966" s="260"/>
      <c r="N966" s="260"/>
      <c r="O966" s="235"/>
      <c r="P966" s="235"/>
      <c r="Q966" s="235"/>
    </row>
    <row r="967" spans="2:17">
      <c r="B967" s="241"/>
      <c r="C967" s="241"/>
      <c r="D967" s="241"/>
      <c r="E967" s="241"/>
      <c r="F967" s="260"/>
      <c r="G967" s="260"/>
      <c r="H967" s="260"/>
      <c r="I967" s="260"/>
      <c r="J967" s="260"/>
      <c r="K967" s="260"/>
      <c r="L967" s="260"/>
      <c r="M967" s="260"/>
      <c r="N967" s="260"/>
      <c r="O967" s="235"/>
      <c r="P967" s="235"/>
      <c r="Q967" s="235"/>
    </row>
    <row r="968" spans="2:17">
      <c r="B968" s="241"/>
      <c r="C968" s="241"/>
      <c r="D968" s="241"/>
      <c r="E968" s="241"/>
      <c r="F968" s="260"/>
      <c r="G968" s="260"/>
      <c r="H968" s="260"/>
      <c r="I968" s="260"/>
      <c r="J968" s="260"/>
      <c r="K968" s="260"/>
      <c r="L968" s="260"/>
      <c r="M968" s="260"/>
      <c r="N968" s="260"/>
      <c r="O968" s="235"/>
      <c r="P968" s="235"/>
      <c r="Q968" s="235"/>
    </row>
    <row r="969" spans="2:17">
      <c r="B969" s="241"/>
      <c r="C969" s="241"/>
      <c r="D969" s="241"/>
      <c r="E969" s="241"/>
      <c r="F969" s="260"/>
      <c r="G969" s="260"/>
      <c r="H969" s="260"/>
      <c r="I969" s="260"/>
      <c r="J969" s="260"/>
      <c r="K969" s="260"/>
      <c r="L969" s="260"/>
      <c r="M969" s="260"/>
      <c r="N969" s="260"/>
      <c r="O969" s="235"/>
      <c r="P969" s="235"/>
      <c r="Q969" s="235"/>
    </row>
    <row r="970" spans="2:17">
      <c r="B970" s="241"/>
      <c r="C970" s="241"/>
      <c r="D970" s="241"/>
      <c r="E970" s="241"/>
      <c r="F970" s="260"/>
      <c r="G970" s="260"/>
      <c r="H970" s="260"/>
      <c r="I970" s="260"/>
      <c r="J970" s="260"/>
      <c r="K970" s="260"/>
      <c r="L970" s="260"/>
      <c r="M970" s="260"/>
      <c r="N970" s="260"/>
      <c r="O970" s="235"/>
      <c r="P970" s="235"/>
      <c r="Q970" s="235"/>
    </row>
    <row r="971" spans="2:17">
      <c r="B971" s="241"/>
      <c r="C971" s="241"/>
      <c r="D971" s="241"/>
      <c r="E971" s="241"/>
      <c r="F971" s="260"/>
      <c r="G971" s="260"/>
      <c r="H971" s="260"/>
      <c r="I971" s="260"/>
      <c r="J971" s="260"/>
      <c r="K971" s="260"/>
      <c r="L971" s="260"/>
      <c r="M971" s="260"/>
      <c r="N971" s="260"/>
      <c r="O971" s="235"/>
      <c r="P971" s="235"/>
      <c r="Q971" s="235"/>
    </row>
    <row r="972" spans="2:17">
      <c r="B972" s="241"/>
      <c r="C972" s="241"/>
      <c r="D972" s="241"/>
      <c r="E972" s="241"/>
      <c r="F972" s="260"/>
      <c r="G972" s="260"/>
      <c r="H972" s="260"/>
      <c r="I972" s="260"/>
      <c r="J972" s="260"/>
      <c r="K972" s="260"/>
      <c r="L972" s="260"/>
      <c r="M972" s="260"/>
      <c r="N972" s="260"/>
      <c r="O972" s="235"/>
      <c r="P972" s="235"/>
      <c r="Q972" s="235"/>
    </row>
    <row r="973" spans="2:17">
      <c r="B973" s="241"/>
      <c r="C973" s="241"/>
      <c r="D973" s="241"/>
      <c r="E973" s="241"/>
      <c r="F973" s="260"/>
      <c r="G973" s="260"/>
      <c r="H973" s="260"/>
      <c r="I973" s="260"/>
      <c r="J973" s="260"/>
      <c r="K973" s="260"/>
      <c r="L973" s="260"/>
      <c r="M973" s="260"/>
      <c r="N973" s="260"/>
      <c r="O973" s="235"/>
      <c r="P973" s="235"/>
      <c r="Q973" s="235"/>
    </row>
    <row r="974" spans="2:17">
      <c r="B974" s="241"/>
      <c r="C974" s="241"/>
      <c r="D974" s="241"/>
      <c r="E974" s="241"/>
      <c r="F974" s="260"/>
      <c r="G974" s="260"/>
      <c r="H974" s="260"/>
      <c r="I974" s="260"/>
      <c r="J974" s="260"/>
      <c r="K974" s="260"/>
      <c r="L974" s="260"/>
      <c r="M974" s="260"/>
      <c r="N974" s="260"/>
      <c r="O974" s="235"/>
      <c r="P974" s="235"/>
      <c r="Q974" s="235"/>
    </row>
    <row r="975" spans="2:17">
      <c r="B975" s="241"/>
      <c r="C975" s="241"/>
      <c r="D975" s="241"/>
      <c r="E975" s="241"/>
      <c r="F975" s="260"/>
      <c r="G975" s="260"/>
      <c r="H975" s="260"/>
      <c r="I975" s="260"/>
      <c r="J975" s="260"/>
      <c r="K975" s="260"/>
      <c r="L975" s="260"/>
      <c r="M975" s="260"/>
      <c r="N975" s="260"/>
      <c r="O975" s="235"/>
      <c r="P975" s="235"/>
      <c r="Q975" s="235"/>
    </row>
    <row r="976" spans="2:17">
      <c r="B976" s="241"/>
      <c r="C976" s="241"/>
      <c r="D976" s="241"/>
      <c r="E976" s="241"/>
      <c r="F976" s="260"/>
      <c r="G976" s="260"/>
      <c r="H976" s="260"/>
      <c r="I976" s="260"/>
      <c r="J976" s="260"/>
      <c r="K976" s="260"/>
      <c r="L976" s="260"/>
      <c r="M976" s="260"/>
      <c r="N976" s="260"/>
      <c r="O976" s="235"/>
      <c r="P976" s="235"/>
      <c r="Q976" s="235"/>
    </row>
    <row r="977" spans="2:17">
      <c r="B977" s="241"/>
      <c r="C977" s="241"/>
      <c r="D977" s="241"/>
      <c r="E977" s="241"/>
      <c r="F977" s="260"/>
      <c r="G977" s="260"/>
      <c r="H977" s="260"/>
      <c r="I977" s="260"/>
      <c r="J977" s="260"/>
      <c r="K977" s="260"/>
      <c r="L977" s="260"/>
      <c r="M977" s="260"/>
      <c r="N977" s="260"/>
      <c r="O977" s="235"/>
      <c r="P977" s="235"/>
      <c r="Q977" s="235"/>
    </row>
    <row r="978" spans="2:17">
      <c r="B978" s="241"/>
      <c r="C978" s="241"/>
      <c r="D978" s="241"/>
      <c r="E978" s="241"/>
      <c r="F978" s="260"/>
      <c r="G978" s="260"/>
      <c r="H978" s="260"/>
      <c r="I978" s="260"/>
      <c r="J978" s="260"/>
      <c r="K978" s="260"/>
      <c r="L978" s="260"/>
      <c r="M978" s="260"/>
      <c r="N978" s="260"/>
      <c r="O978" s="235"/>
      <c r="P978" s="235"/>
      <c r="Q978" s="235"/>
    </row>
    <row r="979" spans="2:17">
      <c r="B979" s="241"/>
      <c r="C979" s="241"/>
      <c r="D979" s="241"/>
      <c r="E979" s="241"/>
      <c r="F979" s="260"/>
      <c r="G979" s="260"/>
      <c r="H979" s="260"/>
      <c r="I979" s="260"/>
      <c r="J979" s="260"/>
      <c r="K979" s="260"/>
      <c r="L979" s="260"/>
      <c r="M979" s="260"/>
      <c r="N979" s="260"/>
      <c r="O979" s="235"/>
      <c r="P979" s="235"/>
      <c r="Q979" s="235"/>
    </row>
    <row r="980" spans="2:17">
      <c r="B980" s="241"/>
      <c r="C980" s="241"/>
      <c r="D980" s="241"/>
      <c r="E980" s="241"/>
      <c r="F980" s="260"/>
      <c r="G980" s="260"/>
      <c r="H980" s="260"/>
      <c r="I980" s="260"/>
      <c r="J980" s="260"/>
      <c r="K980" s="260"/>
      <c r="L980" s="260"/>
      <c r="M980" s="260"/>
      <c r="N980" s="260"/>
      <c r="O980" s="235"/>
      <c r="P980" s="235"/>
      <c r="Q980" s="235"/>
    </row>
    <row r="981" spans="2:17">
      <c r="B981" s="241"/>
      <c r="C981" s="241"/>
      <c r="D981" s="241"/>
      <c r="E981" s="241"/>
      <c r="F981" s="260"/>
      <c r="G981" s="260"/>
      <c r="H981" s="260"/>
      <c r="I981" s="260"/>
      <c r="J981" s="260"/>
      <c r="K981" s="260"/>
      <c r="L981" s="260"/>
      <c r="M981" s="260"/>
      <c r="N981" s="260"/>
      <c r="O981" s="235"/>
      <c r="P981" s="235"/>
      <c r="Q981" s="235"/>
    </row>
    <row r="982" spans="2:17">
      <c r="B982" s="241"/>
      <c r="C982" s="241"/>
      <c r="D982" s="241"/>
      <c r="E982" s="241"/>
      <c r="F982" s="260"/>
      <c r="G982" s="260"/>
      <c r="H982" s="260"/>
      <c r="I982" s="260"/>
      <c r="J982" s="260"/>
      <c r="K982" s="260"/>
      <c r="L982" s="260"/>
      <c r="M982" s="260"/>
      <c r="N982" s="260"/>
      <c r="O982" s="235"/>
      <c r="P982" s="235"/>
      <c r="Q982" s="235"/>
    </row>
    <row r="983" spans="2:17">
      <c r="B983" s="241"/>
      <c r="C983" s="241"/>
      <c r="D983" s="241"/>
      <c r="E983" s="241"/>
      <c r="F983" s="260"/>
      <c r="G983" s="260"/>
      <c r="H983" s="260"/>
      <c r="I983" s="260"/>
      <c r="J983" s="260"/>
      <c r="K983" s="260"/>
      <c r="L983" s="260"/>
      <c r="M983" s="260"/>
      <c r="N983" s="260"/>
      <c r="O983" s="235"/>
      <c r="P983" s="235"/>
      <c r="Q983" s="235"/>
    </row>
    <row r="984" spans="2:17">
      <c r="B984" s="241"/>
      <c r="C984" s="241"/>
      <c r="D984" s="241"/>
      <c r="E984" s="241"/>
      <c r="F984" s="260"/>
      <c r="G984" s="260"/>
      <c r="H984" s="260"/>
      <c r="I984" s="260"/>
      <c r="J984" s="260"/>
      <c r="K984" s="260"/>
      <c r="L984" s="260"/>
      <c r="M984" s="260"/>
      <c r="N984" s="260"/>
      <c r="O984" s="235"/>
      <c r="P984" s="235"/>
      <c r="Q984" s="235"/>
    </row>
    <row r="985" spans="2:17">
      <c r="B985" s="241"/>
      <c r="C985" s="241"/>
      <c r="D985" s="241"/>
      <c r="E985" s="241"/>
      <c r="F985" s="260"/>
      <c r="G985" s="260"/>
      <c r="H985" s="260"/>
      <c r="I985" s="260"/>
      <c r="J985" s="260"/>
      <c r="K985" s="260"/>
      <c r="L985" s="260"/>
      <c r="M985" s="260"/>
      <c r="N985" s="260"/>
      <c r="O985" s="235"/>
      <c r="P985" s="235"/>
      <c r="Q985" s="235"/>
    </row>
    <row r="986" spans="2:17">
      <c r="B986" s="241"/>
      <c r="C986" s="241"/>
      <c r="D986" s="241"/>
      <c r="E986" s="241"/>
      <c r="F986" s="260"/>
      <c r="G986" s="260"/>
      <c r="H986" s="260"/>
      <c r="I986" s="260"/>
      <c r="J986" s="260"/>
      <c r="K986" s="260"/>
      <c r="L986" s="260"/>
      <c r="M986" s="260"/>
      <c r="N986" s="260"/>
      <c r="O986" s="235"/>
      <c r="P986" s="235"/>
      <c r="Q986" s="235"/>
    </row>
    <row r="987" spans="2:17">
      <c r="B987" s="241"/>
      <c r="C987" s="241"/>
      <c r="D987" s="241"/>
      <c r="E987" s="241"/>
      <c r="F987" s="260"/>
      <c r="G987" s="260"/>
      <c r="H987" s="260"/>
      <c r="I987" s="260"/>
      <c r="J987" s="260"/>
      <c r="K987" s="260"/>
      <c r="L987" s="260"/>
      <c r="M987" s="260"/>
      <c r="N987" s="260"/>
      <c r="O987" s="235"/>
      <c r="P987" s="235"/>
      <c r="Q987" s="235"/>
    </row>
    <row r="988" spans="2:17">
      <c r="B988" s="241"/>
      <c r="C988" s="241"/>
      <c r="D988" s="241"/>
      <c r="E988" s="241"/>
      <c r="F988" s="260"/>
      <c r="G988" s="260"/>
      <c r="H988" s="260"/>
      <c r="I988" s="260"/>
      <c r="J988" s="260"/>
      <c r="K988" s="260"/>
      <c r="L988" s="260"/>
      <c r="M988" s="260"/>
      <c r="N988" s="260"/>
      <c r="O988" s="235"/>
      <c r="P988" s="235"/>
      <c r="Q988" s="235"/>
    </row>
    <row r="989" spans="2:17">
      <c r="B989" s="241"/>
      <c r="C989" s="241"/>
      <c r="D989" s="241"/>
      <c r="E989" s="241"/>
      <c r="F989" s="260"/>
      <c r="G989" s="260"/>
      <c r="H989" s="260"/>
      <c r="I989" s="260"/>
      <c r="J989" s="260"/>
      <c r="K989" s="260"/>
      <c r="L989" s="260"/>
      <c r="M989" s="260"/>
      <c r="N989" s="260"/>
      <c r="O989" s="235"/>
      <c r="P989" s="235"/>
      <c r="Q989" s="235"/>
    </row>
    <row r="990" spans="2:17">
      <c r="B990" s="241"/>
      <c r="C990" s="241"/>
      <c r="D990" s="241"/>
      <c r="E990" s="241"/>
      <c r="F990" s="260"/>
      <c r="G990" s="260"/>
      <c r="H990" s="260"/>
      <c r="I990" s="260"/>
      <c r="J990" s="260"/>
      <c r="K990" s="260"/>
      <c r="L990" s="260"/>
      <c r="M990" s="260"/>
      <c r="N990" s="260"/>
      <c r="O990" s="235"/>
      <c r="P990" s="235"/>
      <c r="Q990" s="235"/>
    </row>
    <row r="991" spans="2:17">
      <c r="B991" s="241"/>
      <c r="C991" s="241"/>
      <c r="D991" s="241"/>
      <c r="E991" s="241"/>
      <c r="F991" s="260"/>
      <c r="G991" s="260"/>
      <c r="H991" s="260"/>
      <c r="I991" s="260"/>
      <c r="J991" s="260"/>
      <c r="K991" s="260"/>
      <c r="L991" s="260"/>
      <c r="M991" s="260"/>
      <c r="N991" s="260"/>
      <c r="O991" s="235"/>
      <c r="P991" s="235"/>
      <c r="Q991" s="235"/>
    </row>
    <row r="992" spans="2:17">
      <c r="B992" s="241"/>
      <c r="C992" s="241"/>
      <c r="D992" s="241"/>
      <c r="E992" s="241"/>
      <c r="F992" s="260"/>
      <c r="G992" s="260"/>
      <c r="H992" s="260"/>
      <c r="I992" s="260"/>
      <c r="J992" s="260"/>
      <c r="K992" s="260"/>
      <c r="L992" s="260"/>
      <c r="M992" s="260"/>
      <c r="N992" s="260"/>
      <c r="O992" s="235"/>
      <c r="P992" s="235"/>
      <c r="Q992" s="235"/>
    </row>
    <row r="993" spans="2:17">
      <c r="B993" s="241"/>
      <c r="C993" s="241"/>
      <c r="D993" s="241"/>
      <c r="E993" s="241"/>
      <c r="F993" s="260"/>
      <c r="G993" s="260"/>
      <c r="H993" s="260"/>
      <c r="I993" s="260"/>
      <c r="J993" s="260"/>
      <c r="K993" s="260"/>
      <c r="L993" s="260"/>
      <c r="M993" s="260"/>
      <c r="N993" s="260"/>
      <c r="O993" s="235"/>
      <c r="P993" s="235"/>
      <c r="Q993" s="235"/>
    </row>
    <row r="994" spans="2:17">
      <c r="B994" s="241"/>
      <c r="C994" s="241"/>
      <c r="D994" s="241"/>
      <c r="E994" s="241"/>
      <c r="F994" s="260"/>
      <c r="G994" s="260"/>
      <c r="H994" s="260"/>
      <c r="I994" s="260"/>
      <c r="J994" s="260"/>
      <c r="K994" s="260"/>
      <c r="L994" s="260"/>
      <c r="M994" s="260"/>
      <c r="N994" s="260"/>
      <c r="O994" s="235"/>
      <c r="P994" s="235"/>
      <c r="Q994" s="235"/>
    </row>
    <row r="995" spans="2:17">
      <c r="B995" s="241"/>
      <c r="C995" s="241"/>
      <c r="D995" s="241"/>
      <c r="E995" s="241"/>
      <c r="F995" s="260"/>
      <c r="G995" s="260"/>
      <c r="H995" s="260"/>
      <c r="I995" s="260"/>
      <c r="J995" s="260"/>
      <c r="K995" s="260"/>
      <c r="L995" s="260"/>
      <c r="M995" s="260"/>
      <c r="N995" s="260"/>
      <c r="O995" s="235"/>
      <c r="P995" s="235"/>
      <c r="Q995" s="235"/>
    </row>
    <row r="996" spans="2:17">
      <c r="B996" s="241"/>
      <c r="C996" s="241"/>
      <c r="D996" s="241"/>
      <c r="E996" s="241"/>
      <c r="F996" s="260"/>
      <c r="G996" s="260"/>
      <c r="H996" s="260"/>
      <c r="I996" s="260"/>
      <c r="J996" s="260"/>
      <c r="K996" s="260"/>
      <c r="L996" s="260"/>
      <c r="M996" s="260"/>
      <c r="N996" s="260"/>
      <c r="O996" s="235"/>
      <c r="P996" s="235"/>
      <c r="Q996" s="235"/>
    </row>
    <row r="997" spans="2:17">
      <c r="B997" s="241"/>
      <c r="C997" s="241"/>
      <c r="D997" s="241"/>
      <c r="E997" s="241"/>
      <c r="F997" s="260"/>
      <c r="G997" s="260"/>
      <c r="H997" s="260"/>
      <c r="I997" s="260"/>
      <c r="J997" s="260"/>
      <c r="K997" s="260"/>
      <c r="L997" s="260"/>
      <c r="M997" s="260"/>
      <c r="N997" s="260"/>
      <c r="O997" s="235"/>
      <c r="P997" s="235"/>
      <c r="Q997" s="235"/>
    </row>
    <row r="998" spans="2:17">
      <c r="B998" s="241"/>
      <c r="C998" s="241"/>
      <c r="D998" s="241"/>
      <c r="E998" s="241"/>
      <c r="F998" s="260"/>
      <c r="G998" s="260"/>
      <c r="H998" s="260"/>
      <c r="I998" s="260"/>
      <c r="J998" s="260"/>
      <c r="K998" s="260"/>
      <c r="L998" s="260"/>
      <c r="M998" s="260"/>
      <c r="N998" s="260"/>
      <c r="O998" s="235"/>
      <c r="P998" s="235"/>
      <c r="Q998" s="235"/>
    </row>
    <row r="999" spans="2:17">
      <c r="B999" s="241"/>
      <c r="C999" s="241"/>
      <c r="D999" s="241"/>
      <c r="E999" s="241"/>
      <c r="F999" s="260"/>
      <c r="G999" s="260"/>
      <c r="H999" s="260"/>
      <c r="I999" s="260"/>
      <c r="J999" s="260"/>
      <c r="K999" s="260"/>
      <c r="L999" s="260"/>
      <c r="M999" s="260"/>
      <c r="N999" s="260"/>
      <c r="O999" s="235"/>
      <c r="P999" s="235"/>
      <c r="Q999" s="235"/>
    </row>
    <row r="1000" spans="2:17">
      <c r="B1000" s="241"/>
      <c r="C1000" s="241"/>
      <c r="D1000" s="241"/>
      <c r="E1000" s="241"/>
      <c r="F1000" s="260"/>
      <c r="G1000" s="260"/>
      <c r="H1000" s="260"/>
      <c r="I1000" s="260"/>
      <c r="J1000" s="260"/>
      <c r="K1000" s="260"/>
      <c r="L1000" s="260"/>
      <c r="M1000" s="260"/>
      <c r="N1000" s="260"/>
      <c r="O1000" s="235"/>
      <c r="P1000" s="235"/>
      <c r="Q1000" s="235"/>
    </row>
    <row r="1001" spans="2:17">
      <c r="B1001" s="241"/>
      <c r="C1001" s="241"/>
      <c r="D1001" s="241"/>
      <c r="E1001" s="241"/>
      <c r="F1001" s="260"/>
      <c r="G1001" s="260"/>
      <c r="H1001" s="260"/>
      <c r="I1001" s="260"/>
      <c r="J1001" s="260"/>
      <c r="K1001" s="260"/>
      <c r="L1001" s="260"/>
      <c r="M1001" s="260"/>
      <c r="N1001" s="260"/>
      <c r="O1001" s="235"/>
      <c r="P1001" s="235"/>
      <c r="Q1001" s="235"/>
    </row>
    <row r="1002" spans="2:17">
      <c r="B1002" s="241"/>
      <c r="C1002" s="241"/>
      <c r="D1002" s="241"/>
      <c r="E1002" s="241"/>
      <c r="F1002" s="260"/>
      <c r="G1002" s="260"/>
      <c r="H1002" s="260"/>
      <c r="I1002" s="260"/>
      <c r="J1002" s="260"/>
      <c r="K1002" s="260"/>
      <c r="L1002" s="260"/>
      <c r="M1002" s="260"/>
      <c r="N1002" s="260"/>
      <c r="O1002" s="235"/>
      <c r="P1002" s="235"/>
      <c r="Q1002" s="235"/>
    </row>
    <row r="1003" spans="2:17">
      <c r="B1003" s="241"/>
      <c r="C1003" s="241"/>
      <c r="D1003" s="241"/>
      <c r="E1003" s="241"/>
      <c r="F1003" s="260"/>
      <c r="G1003" s="260"/>
      <c r="H1003" s="260"/>
      <c r="I1003" s="260"/>
      <c r="J1003" s="260"/>
      <c r="K1003" s="260"/>
      <c r="L1003" s="260"/>
      <c r="M1003" s="260"/>
      <c r="N1003" s="260"/>
      <c r="O1003" s="235"/>
      <c r="P1003" s="235"/>
      <c r="Q1003" s="235"/>
    </row>
    <row r="1004" spans="2:17">
      <c r="B1004" s="241"/>
      <c r="C1004" s="241"/>
      <c r="D1004" s="241"/>
      <c r="E1004" s="241"/>
      <c r="F1004" s="260"/>
      <c r="G1004" s="260"/>
      <c r="H1004" s="260"/>
      <c r="I1004" s="260"/>
      <c r="J1004" s="260"/>
      <c r="K1004" s="260"/>
      <c r="L1004" s="260"/>
      <c r="M1004" s="260"/>
      <c r="N1004" s="260"/>
      <c r="O1004" s="235"/>
      <c r="P1004" s="235"/>
      <c r="Q1004" s="235"/>
    </row>
    <row r="1005" spans="2:17">
      <c r="B1005" s="241"/>
      <c r="C1005" s="241"/>
      <c r="D1005" s="241"/>
      <c r="E1005" s="241"/>
      <c r="F1005" s="260"/>
      <c r="G1005" s="260"/>
      <c r="H1005" s="260"/>
      <c r="I1005" s="260"/>
      <c r="J1005" s="260"/>
      <c r="K1005" s="260"/>
      <c r="L1005" s="260"/>
      <c r="M1005" s="260"/>
      <c r="N1005" s="260"/>
      <c r="O1005" s="235"/>
      <c r="P1005" s="235"/>
      <c r="Q1005" s="235"/>
    </row>
    <row r="1006" spans="2:17">
      <c r="B1006" s="241"/>
      <c r="C1006" s="241"/>
      <c r="D1006" s="241"/>
      <c r="E1006" s="241"/>
      <c r="F1006" s="260"/>
      <c r="G1006" s="260"/>
      <c r="H1006" s="260"/>
      <c r="I1006" s="260"/>
      <c r="J1006" s="260"/>
      <c r="K1006" s="260"/>
      <c r="L1006" s="260"/>
      <c r="M1006" s="260"/>
      <c r="N1006" s="260"/>
      <c r="O1006" s="235"/>
      <c r="P1006" s="235"/>
      <c r="Q1006" s="235"/>
    </row>
    <row r="1007" spans="2:17">
      <c r="B1007" s="241"/>
      <c r="C1007" s="241"/>
      <c r="D1007" s="241"/>
      <c r="E1007" s="241"/>
      <c r="F1007" s="260"/>
      <c r="G1007" s="260"/>
      <c r="H1007" s="260"/>
      <c r="I1007" s="260"/>
      <c r="J1007" s="260"/>
      <c r="K1007" s="260"/>
      <c r="L1007" s="260"/>
      <c r="M1007" s="260"/>
      <c r="N1007" s="260"/>
      <c r="O1007" s="235"/>
      <c r="P1007" s="235"/>
      <c r="Q1007" s="235"/>
    </row>
    <row r="1008" spans="2:17">
      <c r="B1008" s="241"/>
      <c r="C1008" s="241"/>
      <c r="D1008" s="241"/>
      <c r="E1008" s="241"/>
      <c r="F1008" s="260"/>
      <c r="G1008" s="260"/>
      <c r="H1008" s="260"/>
      <c r="I1008" s="260"/>
      <c r="J1008" s="260"/>
      <c r="K1008" s="260"/>
      <c r="L1008" s="260"/>
      <c r="M1008" s="260"/>
      <c r="N1008" s="260"/>
      <c r="O1008" s="235"/>
      <c r="P1008" s="235"/>
      <c r="Q1008" s="235"/>
    </row>
    <row r="1009" spans="2:17">
      <c r="B1009" s="241"/>
      <c r="C1009" s="241"/>
      <c r="D1009" s="241"/>
      <c r="E1009" s="241"/>
      <c r="F1009" s="260"/>
      <c r="G1009" s="260"/>
      <c r="H1009" s="260"/>
      <c r="I1009" s="260"/>
      <c r="J1009" s="260"/>
      <c r="K1009" s="260"/>
      <c r="L1009" s="260"/>
      <c r="M1009" s="260"/>
      <c r="N1009" s="260"/>
      <c r="O1009" s="235"/>
      <c r="P1009" s="235"/>
      <c r="Q1009" s="235"/>
    </row>
    <row r="1010" spans="2:17">
      <c r="B1010" s="241"/>
      <c r="C1010" s="241"/>
      <c r="D1010" s="241"/>
      <c r="E1010" s="241"/>
      <c r="F1010" s="260"/>
      <c r="G1010" s="260"/>
      <c r="H1010" s="260"/>
      <c r="I1010" s="260"/>
      <c r="J1010" s="260"/>
      <c r="K1010" s="260"/>
      <c r="L1010" s="260"/>
      <c r="M1010" s="260"/>
      <c r="N1010" s="260"/>
      <c r="O1010" s="235"/>
      <c r="P1010" s="235"/>
      <c r="Q1010" s="235"/>
    </row>
    <row r="1011" spans="2:17">
      <c r="B1011" s="241"/>
      <c r="C1011" s="241"/>
      <c r="D1011" s="241"/>
      <c r="E1011" s="241"/>
      <c r="F1011" s="260"/>
      <c r="G1011" s="260"/>
      <c r="H1011" s="260"/>
      <c r="I1011" s="260"/>
      <c r="J1011" s="260"/>
      <c r="K1011" s="260"/>
      <c r="L1011" s="260"/>
      <c r="M1011" s="260"/>
      <c r="N1011" s="260"/>
      <c r="O1011" s="235"/>
      <c r="P1011" s="235"/>
      <c r="Q1011" s="235"/>
    </row>
    <row r="1012" spans="2:17">
      <c r="B1012" s="241"/>
      <c r="C1012" s="241"/>
      <c r="D1012" s="241"/>
      <c r="E1012" s="241"/>
      <c r="F1012" s="260"/>
      <c r="G1012" s="260"/>
      <c r="H1012" s="260"/>
      <c r="I1012" s="260"/>
      <c r="J1012" s="260"/>
      <c r="K1012" s="260"/>
      <c r="L1012" s="260"/>
      <c r="M1012" s="260"/>
      <c r="N1012" s="260"/>
      <c r="O1012" s="235"/>
      <c r="P1012" s="235"/>
      <c r="Q1012" s="235"/>
    </row>
    <row r="1013" spans="2:17">
      <c r="B1013" s="241"/>
      <c r="C1013" s="241"/>
      <c r="D1013" s="241"/>
      <c r="E1013" s="241"/>
      <c r="F1013" s="260"/>
      <c r="G1013" s="260"/>
      <c r="H1013" s="260"/>
      <c r="I1013" s="260"/>
      <c r="J1013" s="260"/>
      <c r="K1013" s="260"/>
      <c r="L1013" s="260"/>
      <c r="M1013" s="260"/>
      <c r="N1013" s="260"/>
      <c r="O1013" s="235"/>
      <c r="P1013" s="235"/>
      <c r="Q1013" s="235"/>
    </row>
    <row r="1014" spans="2:17">
      <c r="B1014" s="241"/>
      <c r="C1014" s="241"/>
      <c r="D1014" s="241"/>
      <c r="E1014" s="241"/>
      <c r="F1014" s="260"/>
      <c r="G1014" s="260"/>
      <c r="H1014" s="260"/>
      <c r="I1014" s="260"/>
      <c r="J1014" s="260"/>
      <c r="K1014" s="260"/>
      <c r="L1014" s="260"/>
      <c r="M1014" s="260"/>
      <c r="N1014" s="260"/>
      <c r="O1014" s="235"/>
      <c r="P1014" s="235"/>
      <c r="Q1014" s="235"/>
    </row>
    <row r="1015" spans="2:17">
      <c r="B1015" s="241"/>
      <c r="C1015" s="241"/>
      <c r="D1015" s="241"/>
      <c r="E1015" s="241"/>
      <c r="F1015" s="260"/>
      <c r="G1015" s="260"/>
      <c r="H1015" s="260"/>
      <c r="I1015" s="260"/>
      <c r="J1015" s="260"/>
      <c r="K1015" s="260"/>
      <c r="L1015" s="260"/>
      <c r="M1015" s="260"/>
      <c r="N1015" s="260"/>
      <c r="O1015" s="235"/>
      <c r="P1015" s="235"/>
      <c r="Q1015" s="235"/>
    </row>
    <row r="1016" spans="2:17">
      <c r="B1016" s="241"/>
      <c r="C1016" s="241"/>
      <c r="D1016" s="241"/>
      <c r="E1016" s="241"/>
      <c r="F1016" s="260"/>
      <c r="G1016" s="260"/>
      <c r="H1016" s="260"/>
      <c r="I1016" s="260"/>
      <c r="J1016" s="260"/>
      <c r="K1016" s="260"/>
      <c r="L1016" s="260"/>
      <c r="M1016" s="260"/>
      <c r="N1016" s="260"/>
      <c r="O1016" s="235"/>
      <c r="P1016" s="235"/>
      <c r="Q1016" s="235"/>
    </row>
    <row r="1017" spans="2:17">
      <c r="B1017" s="241"/>
      <c r="C1017" s="241"/>
      <c r="D1017" s="241"/>
      <c r="E1017" s="241"/>
      <c r="F1017" s="260"/>
      <c r="G1017" s="260"/>
      <c r="H1017" s="260"/>
      <c r="I1017" s="260"/>
      <c r="J1017" s="260"/>
      <c r="K1017" s="260"/>
      <c r="L1017" s="260"/>
      <c r="M1017" s="260"/>
      <c r="N1017" s="260"/>
      <c r="O1017" s="235"/>
      <c r="P1017" s="235"/>
      <c r="Q1017" s="235"/>
    </row>
    <row r="1018" spans="2:17">
      <c r="B1018" s="241"/>
      <c r="C1018" s="241"/>
      <c r="D1018" s="241"/>
      <c r="E1018" s="241"/>
      <c r="F1018" s="260"/>
      <c r="G1018" s="260"/>
      <c r="H1018" s="260"/>
      <c r="I1018" s="260"/>
      <c r="J1018" s="260"/>
      <c r="K1018" s="260"/>
      <c r="L1018" s="260"/>
      <c r="M1018" s="260"/>
      <c r="N1018" s="260"/>
      <c r="O1018" s="235"/>
      <c r="P1018" s="235"/>
      <c r="Q1018" s="235"/>
    </row>
    <row r="1019" spans="2:17">
      <c r="B1019" s="241"/>
      <c r="C1019" s="241"/>
      <c r="D1019" s="241"/>
      <c r="E1019" s="241"/>
      <c r="F1019" s="260"/>
      <c r="G1019" s="260"/>
      <c r="H1019" s="260"/>
      <c r="I1019" s="260"/>
      <c r="J1019" s="260"/>
      <c r="K1019" s="260"/>
      <c r="L1019" s="260"/>
      <c r="M1019" s="260"/>
      <c r="N1019" s="260"/>
      <c r="O1019" s="235"/>
      <c r="P1019" s="235"/>
      <c r="Q1019" s="235"/>
    </row>
    <row r="1020" spans="2:17">
      <c r="B1020" s="241"/>
      <c r="C1020" s="241"/>
      <c r="D1020" s="241"/>
      <c r="E1020" s="241"/>
      <c r="F1020" s="260"/>
      <c r="G1020" s="260"/>
      <c r="H1020" s="260"/>
      <c r="I1020" s="260"/>
      <c r="J1020" s="260"/>
      <c r="K1020" s="260"/>
      <c r="L1020" s="260"/>
      <c r="M1020" s="260"/>
      <c r="N1020" s="260"/>
      <c r="O1020" s="235"/>
      <c r="P1020" s="235"/>
      <c r="Q1020" s="235"/>
    </row>
    <row r="1021" spans="2:17">
      <c r="B1021" s="241"/>
      <c r="C1021" s="241"/>
      <c r="D1021" s="241"/>
      <c r="E1021" s="241"/>
      <c r="F1021" s="260"/>
      <c r="G1021" s="260"/>
      <c r="H1021" s="260"/>
      <c r="I1021" s="260"/>
      <c r="J1021" s="260"/>
      <c r="K1021" s="260"/>
      <c r="L1021" s="260"/>
      <c r="M1021" s="260"/>
      <c r="N1021" s="260"/>
      <c r="O1021" s="235"/>
      <c r="P1021" s="235"/>
      <c r="Q1021" s="235"/>
    </row>
    <row r="1022" spans="2:17">
      <c r="B1022" s="241"/>
      <c r="C1022" s="241"/>
      <c r="D1022" s="241"/>
      <c r="E1022" s="241"/>
      <c r="F1022" s="260"/>
      <c r="G1022" s="260"/>
      <c r="H1022" s="260"/>
      <c r="I1022" s="260"/>
      <c r="J1022" s="260"/>
      <c r="K1022" s="260"/>
      <c r="L1022" s="260"/>
      <c r="M1022" s="260"/>
      <c r="N1022" s="260"/>
      <c r="O1022" s="235"/>
      <c r="P1022" s="235"/>
      <c r="Q1022" s="235"/>
    </row>
    <row r="1023" spans="2:17">
      <c r="B1023" s="241"/>
      <c r="C1023" s="241"/>
      <c r="D1023" s="241"/>
      <c r="E1023" s="241"/>
      <c r="F1023" s="260"/>
      <c r="G1023" s="260"/>
      <c r="H1023" s="260"/>
      <c r="I1023" s="260"/>
      <c r="J1023" s="260"/>
      <c r="K1023" s="260"/>
      <c r="L1023" s="260"/>
      <c r="M1023" s="260"/>
      <c r="N1023" s="260"/>
      <c r="O1023" s="235"/>
      <c r="P1023" s="235"/>
      <c r="Q1023" s="235"/>
    </row>
    <row r="1024" spans="2:17">
      <c r="B1024" s="241"/>
      <c r="C1024" s="241"/>
      <c r="D1024" s="241"/>
      <c r="E1024" s="241"/>
      <c r="F1024" s="260"/>
      <c r="G1024" s="260"/>
      <c r="H1024" s="260"/>
      <c r="I1024" s="260"/>
      <c r="J1024" s="260"/>
      <c r="K1024" s="260"/>
      <c r="L1024" s="260"/>
      <c r="M1024" s="260"/>
      <c r="N1024" s="260"/>
      <c r="O1024" s="235"/>
      <c r="P1024" s="235"/>
      <c r="Q1024" s="235"/>
    </row>
    <row r="1025" spans="2:17">
      <c r="B1025" s="241"/>
      <c r="C1025" s="241"/>
      <c r="D1025" s="241"/>
      <c r="E1025" s="241"/>
      <c r="F1025" s="260"/>
      <c r="G1025" s="260"/>
      <c r="H1025" s="260"/>
      <c r="I1025" s="260"/>
      <c r="J1025" s="260"/>
      <c r="K1025" s="260"/>
      <c r="L1025" s="260"/>
      <c r="M1025" s="260"/>
      <c r="N1025" s="260"/>
      <c r="O1025" s="235"/>
      <c r="P1025" s="235"/>
      <c r="Q1025" s="235"/>
    </row>
    <row r="1026" spans="2:17">
      <c r="B1026" s="241"/>
      <c r="C1026" s="241"/>
      <c r="D1026" s="241"/>
      <c r="E1026" s="241"/>
      <c r="F1026" s="260"/>
      <c r="G1026" s="260"/>
      <c r="H1026" s="260"/>
      <c r="I1026" s="260"/>
      <c r="J1026" s="260"/>
      <c r="K1026" s="260"/>
      <c r="L1026" s="260"/>
      <c r="M1026" s="260"/>
      <c r="N1026" s="260"/>
      <c r="O1026" s="235"/>
      <c r="P1026" s="235"/>
      <c r="Q1026" s="235"/>
    </row>
    <row r="1027" spans="2:17">
      <c r="B1027" s="241"/>
      <c r="C1027" s="241"/>
      <c r="D1027" s="241"/>
      <c r="E1027" s="241"/>
      <c r="F1027" s="260"/>
      <c r="G1027" s="260"/>
      <c r="H1027" s="260"/>
      <c r="I1027" s="260"/>
      <c r="J1027" s="260"/>
      <c r="K1027" s="260"/>
      <c r="L1027" s="260"/>
      <c r="M1027" s="260"/>
      <c r="N1027" s="260"/>
      <c r="O1027" s="235"/>
      <c r="P1027" s="235"/>
      <c r="Q1027" s="235"/>
    </row>
    <row r="1028" spans="2:17">
      <c r="B1028" s="241"/>
      <c r="C1028" s="241"/>
      <c r="D1028" s="241"/>
      <c r="E1028" s="241"/>
      <c r="F1028" s="260"/>
      <c r="G1028" s="260"/>
      <c r="H1028" s="260"/>
      <c r="I1028" s="260"/>
      <c r="J1028" s="260"/>
      <c r="K1028" s="260"/>
      <c r="L1028" s="260"/>
      <c r="M1028" s="260"/>
      <c r="N1028" s="260"/>
      <c r="O1028" s="235"/>
      <c r="P1028" s="235"/>
      <c r="Q1028" s="235"/>
    </row>
    <row r="1029" spans="2:17">
      <c r="B1029" s="241"/>
      <c r="C1029" s="241"/>
      <c r="D1029" s="241"/>
      <c r="E1029" s="241"/>
      <c r="F1029" s="260"/>
      <c r="G1029" s="260"/>
      <c r="H1029" s="260"/>
      <c r="I1029" s="260"/>
      <c r="J1029" s="260"/>
      <c r="K1029" s="260"/>
      <c r="L1029" s="260"/>
      <c r="M1029" s="260"/>
      <c r="N1029" s="260"/>
      <c r="O1029" s="235"/>
      <c r="P1029" s="235"/>
      <c r="Q1029" s="235"/>
    </row>
    <row r="1030" spans="2:17">
      <c r="B1030" s="241"/>
      <c r="C1030" s="241"/>
      <c r="D1030" s="241"/>
      <c r="E1030" s="241"/>
      <c r="F1030" s="260"/>
      <c r="G1030" s="260"/>
      <c r="H1030" s="260"/>
      <c r="I1030" s="260"/>
      <c r="J1030" s="260"/>
      <c r="K1030" s="260"/>
      <c r="L1030" s="260"/>
      <c r="M1030" s="260"/>
      <c r="N1030" s="260"/>
      <c r="O1030" s="235"/>
      <c r="P1030" s="235"/>
      <c r="Q1030" s="235"/>
    </row>
    <row r="1031" spans="2:17">
      <c r="B1031" s="241"/>
      <c r="C1031" s="241"/>
      <c r="D1031" s="241"/>
      <c r="E1031" s="241"/>
      <c r="F1031" s="260"/>
      <c r="G1031" s="260"/>
      <c r="H1031" s="260"/>
      <c r="I1031" s="260"/>
      <c r="J1031" s="260"/>
      <c r="K1031" s="260"/>
      <c r="L1031" s="260"/>
      <c r="M1031" s="260"/>
      <c r="N1031" s="260"/>
      <c r="O1031" s="235"/>
      <c r="P1031" s="235"/>
      <c r="Q1031" s="235"/>
    </row>
    <row r="1032" spans="2:17">
      <c r="B1032" s="241"/>
      <c r="C1032" s="241"/>
      <c r="D1032" s="241"/>
      <c r="E1032" s="241"/>
      <c r="F1032" s="260"/>
      <c r="G1032" s="260"/>
      <c r="H1032" s="260"/>
      <c r="I1032" s="260"/>
      <c r="J1032" s="260"/>
      <c r="K1032" s="260"/>
      <c r="L1032" s="260"/>
      <c r="M1032" s="260"/>
      <c r="N1032" s="260"/>
      <c r="O1032" s="235"/>
      <c r="P1032" s="235"/>
      <c r="Q1032" s="235"/>
    </row>
    <row r="1033" spans="2:17">
      <c r="B1033" s="241"/>
      <c r="C1033" s="241"/>
      <c r="D1033" s="241"/>
      <c r="E1033" s="241"/>
      <c r="F1033" s="260"/>
      <c r="G1033" s="260"/>
      <c r="H1033" s="260"/>
      <c r="I1033" s="260"/>
      <c r="J1033" s="260"/>
      <c r="K1033" s="260"/>
      <c r="L1033" s="260"/>
      <c r="M1033" s="260"/>
      <c r="N1033" s="260"/>
      <c r="O1033" s="235"/>
      <c r="P1033" s="235"/>
      <c r="Q1033" s="235"/>
    </row>
    <row r="1034" spans="2:17">
      <c r="B1034" s="241"/>
      <c r="C1034" s="241"/>
      <c r="D1034" s="241"/>
      <c r="E1034" s="241"/>
      <c r="F1034" s="260"/>
      <c r="G1034" s="260"/>
      <c r="H1034" s="260"/>
      <c r="I1034" s="260"/>
      <c r="J1034" s="260"/>
      <c r="K1034" s="260"/>
      <c r="L1034" s="260"/>
      <c r="M1034" s="260"/>
      <c r="N1034" s="260"/>
      <c r="O1034" s="235"/>
      <c r="P1034" s="235"/>
      <c r="Q1034" s="235"/>
    </row>
    <row r="1035" spans="2:17">
      <c r="B1035" s="241"/>
      <c r="C1035" s="241"/>
      <c r="D1035" s="241"/>
      <c r="E1035" s="241"/>
      <c r="F1035" s="260"/>
      <c r="G1035" s="260"/>
      <c r="H1035" s="260"/>
      <c r="I1035" s="260"/>
      <c r="J1035" s="260"/>
      <c r="K1035" s="260"/>
      <c r="L1035" s="260"/>
      <c r="M1035" s="260"/>
      <c r="N1035" s="260"/>
      <c r="O1035" s="235"/>
      <c r="P1035" s="235"/>
      <c r="Q1035" s="235"/>
    </row>
    <row r="1036" spans="2:17">
      <c r="B1036" s="241"/>
      <c r="C1036" s="241"/>
      <c r="D1036" s="241"/>
      <c r="E1036" s="241"/>
      <c r="F1036" s="260"/>
      <c r="G1036" s="260"/>
      <c r="H1036" s="260"/>
      <c r="I1036" s="260"/>
      <c r="J1036" s="260"/>
      <c r="K1036" s="260"/>
      <c r="L1036" s="260"/>
      <c r="M1036" s="260"/>
      <c r="N1036" s="260"/>
      <c r="O1036" s="235"/>
      <c r="P1036" s="235"/>
      <c r="Q1036" s="235"/>
    </row>
    <row r="1037" spans="2:17">
      <c r="B1037" s="241"/>
      <c r="C1037" s="241"/>
      <c r="D1037" s="241"/>
      <c r="E1037" s="241"/>
      <c r="F1037" s="260"/>
      <c r="G1037" s="260"/>
      <c r="H1037" s="260"/>
      <c r="I1037" s="260"/>
      <c r="J1037" s="260"/>
      <c r="K1037" s="260"/>
      <c r="L1037" s="260"/>
      <c r="M1037" s="260"/>
      <c r="N1037" s="260"/>
      <c r="O1037" s="235"/>
      <c r="P1037" s="235"/>
      <c r="Q1037" s="235"/>
    </row>
    <row r="1038" spans="2:17">
      <c r="B1038" s="241"/>
      <c r="C1038" s="241"/>
      <c r="D1038" s="241"/>
      <c r="E1038" s="241"/>
      <c r="F1038" s="260"/>
      <c r="G1038" s="260"/>
      <c r="H1038" s="260"/>
      <c r="I1038" s="260"/>
      <c r="J1038" s="260"/>
      <c r="K1038" s="260"/>
      <c r="L1038" s="260"/>
      <c r="M1038" s="260"/>
      <c r="N1038" s="260"/>
      <c r="O1038" s="235"/>
      <c r="P1038" s="235"/>
      <c r="Q1038" s="235"/>
    </row>
    <row r="1039" spans="2:17">
      <c r="B1039" s="241"/>
      <c r="C1039" s="241"/>
      <c r="D1039" s="241"/>
      <c r="E1039" s="241"/>
      <c r="F1039" s="260"/>
      <c r="G1039" s="260"/>
      <c r="H1039" s="260"/>
      <c r="I1039" s="260"/>
      <c r="J1039" s="260"/>
      <c r="K1039" s="260"/>
      <c r="L1039" s="260"/>
      <c r="M1039" s="260"/>
      <c r="N1039" s="260"/>
      <c r="O1039" s="235"/>
      <c r="P1039" s="235"/>
      <c r="Q1039" s="235"/>
    </row>
    <row r="1040" spans="2:17">
      <c r="B1040" s="241"/>
      <c r="C1040" s="241"/>
      <c r="D1040" s="241"/>
      <c r="E1040" s="241"/>
      <c r="F1040" s="260"/>
      <c r="G1040" s="260"/>
      <c r="H1040" s="260"/>
      <c r="I1040" s="260"/>
      <c r="J1040" s="260"/>
      <c r="K1040" s="260"/>
      <c r="L1040" s="260"/>
      <c r="M1040" s="260"/>
      <c r="N1040" s="260"/>
      <c r="O1040" s="235"/>
      <c r="P1040" s="235"/>
      <c r="Q1040" s="235"/>
    </row>
    <row r="1041" spans="2:17">
      <c r="B1041" s="241"/>
      <c r="C1041" s="241"/>
      <c r="D1041" s="241"/>
      <c r="E1041" s="241"/>
      <c r="F1041" s="260"/>
      <c r="G1041" s="260"/>
      <c r="H1041" s="260"/>
      <c r="I1041" s="260"/>
      <c r="J1041" s="260"/>
      <c r="K1041" s="260"/>
      <c r="L1041" s="260"/>
      <c r="M1041" s="260"/>
      <c r="N1041" s="260"/>
      <c r="O1041" s="235"/>
      <c r="P1041" s="235"/>
      <c r="Q1041" s="235"/>
    </row>
    <row r="1042" spans="2:17">
      <c r="B1042" s="241"/>
      <c r="C1042" s="241"/>
      <c r="D1042" s="241"/>
      <c r="E1042" s="241"/>
      <c r="F1042" s="260"/>
      <c r="G1042" s="260"/>
      <c r="H1042" s="260"/>
      <c r="I1042" s="260"/>
      <c r="J1042" s="260"/>
      <c r="K1042" s="260"/>
      <c r="L1042" s="260"/>
      <c r="M1042" s="260"/>
      <c r="N1042" s="260"/>
      <c r="O1042" s="235"/>
      <c r="P1042" s="235"/>
      <c r="Q1042" s="235"/>
    </row>
    <row r="1043" spans="2:17">
      <c r="B1043" s="241"/>
      <c r="C1043" s="241"/>
      <c r="D1043" s="241"/>
      <c r="E1043" s="241"/>
      <c r="F1043" s="260"/>
      <c r="G1043" s="260"/>
      <c r="H1043" s="260"/>
      <c r="I1043" s="260"/>
      <c r="J1043" s="260"/>
      <c r="K1043" s="260"/>
      <c r="L1043" s="260"/>
      <c r="M1043" s="260"/>
      <c r="N1043" s="260"/>
      <c r="O1043" s="235"/>
      <c r="P1043" s="235"/>
      <c r="Q1043" s="235"/>
    </row>
    <row r="1044" spans="2:17">
      <c r="B1044" s="241"/>
      <c r="C1044" s="241"/>
      <c r="D1044" s="241"/>
      <c r="E1044" s="241"/>
      <c r="F1044" s="260"/>
      <c r="G1044" s="260"/>
      <c r="H1044" s="260"/>
      <c r="I1044" s="260"/>
      <c r="J1044" s="260"/>
      <c r="K1044" s="260"/>
      <c r="L1044" s="260"/>
      <c r="M1044" s="260"/>
      <c r="N1044" s="260"/>
      <c r="O1044" s="235"/>
      <c r="P1044" s="235"/>
      <c r="Q1044" s="235"/>
    </row>
    <row r="1045" spans="2:17">
      <c r="B1045" s="241"/>
      <c r="C1045" s="241"/>
      <c r="D1045" s="241"/>
      <c r="E1045" s="241"/>
      <c r="F1045" s="260"/>
      <c r="G1045" s="260"/>
      <c r="H1045" s="260"/>
      <c r="I1045" s="260"/>
      <c r="J1045" s="260"/>
      <c r="K1045" s="260"/>
      <c r="L1045" s="260"/>
      <c r="M1045" s="260"/>
      <c r="N1045" s="260"/>
      <c r="O1045" s="235"/>
      <c r="P1045" s="235"/>
      <c r="Q1045" s="235"/>
    </row>
    <row r="1046" spans="2:17">
      <c r="B1046" s="241"/>
      <c r="C1046" s="241"/>
      <c r="D1046" s="241"/>
      <c r="E1046" s="241"/>
      <c r="F1046" s="260"/>
      <c r="G1046" s="260"/>
      <c r="H1046" s="260"/>
      <c r="I1046" s="260"/>
      <c r="J1046" s="260"/>
      <c r="K1046" s="260"/>
      <c r="L1046" s="260"/>
      <c r="M1046" s="260"/>
      <c r="N1046" s="260"/>
      <c r="O1046" s="235"/>
      <c r="P1046" s="235"/>
      <c r="Q1046" s="235"/>
    </row>
    <row r="1047" spans="2:17">
      <c r="B1047" s="241"/>
      <c r="C1047" s="241"/>
      <c r="D1047" s="241"/>
      <c r="E1047" s="241"/>
      <c r="F1047" s="260"/>
      <c r="G1047" s="260"/>
      <c r="H1047" s="260"/>
      <c r="I1047" s="260"/>
      <c r="J1047" s="260"/>
      <c r="K1047" s="260"/>
      <c r="L1047" s="260"/>
      <c r="M1047" s="260"/>
      <c r="N1047" s="260"/>
      <c r="O1047" s="235"/>
      <c r="P1047" s="235"/>
      <c r="Q1047" s="235"/>
    </row>
    <row r="1048" spans="2:17">
      <c r="B1048" s="241"/>
      <c r="C1048" s="241"/>
      <c r="D1048" s="241"/>
      <c r="E1048" s="241"/>
      <c r="F1048" s="260"/>
      <c r="G1048" s="260"/>
      <c r="H1048" s="260"/>
      <c r="I1048" s="260"/>
      <c r="J1048" s="260"/>
      <c r="K1048" s="260"/>
      <c r="L1048" s="260"/>
      <c r="M1048" s="260"/>
      <c r="N1048" s="260"/>
      <c r="O1048" s="235"/>
      <c r="P1048" s="235"/>
      <c r="Q1048" s="235"/>
    </row>
    <row r="1049" spans="2:17">
      <c r="B1049" s="241"/>
      <c r="C1049" s="241"/>
      <c r="D1049" s="241"/>
      <c r="E1049" s="241"/>
      <c r="F1049" s="260"/>
      <c r="G1049" s="260"/>
      <c r="H1049" s="260"/>
      <c r="I1049" s="260"/>
      <c r="J1049" s="260"/>
      <c r="K1049" s="260"/>
      <c r="L1049" s="260"/>
      <c r="M1049" s="260"/>
      <c r="N1049" s="260"/>
      <c r="O1049" s="235"/>
      <c r="P1049" s="235"/>
      <c r="Q1049" s="235"/>
    </row>
    <row r="1050" spans="2:17">
      <c r="B1050" s="241"/>
      <c r="C1050" s="241"/>
      <c r="D1050" s="241"/>
      <c r="E1050" s="241"/>
      <c r="F1050" s="260"/>
      <c r="G1050" s="260"/>
      <c r="H1050" s="260"/>
      <c r="I1050" s="260"/>
      <c r="J1050" s="260"/>
      <c r="K1050" s="260"/>
      <c r="L1050" s="260"/>
      <c r="M1050" s="260"/>
      <c r="N1050" s="260"/>
      <c r="O1050" s="235"/>
      <c r="P1050" s="235"/>
      <c r="Q1050" s="235"/>
    </row>
    <row r="1051" spans="2:17">
      <c r="B1051" s="241"/>
      <c r="C1051" s="241"/>
      <c r="D1051" s="241"/>
      <c r="E1051" s="241"/>
      <c r="F1051" s="260"/>
      <c r="G1051" s="260"/>
      <c r="H1051" s="260"/>
      <c r="I1051" s="260"/>
      <c r="J1051" s="260"/>
      <c r="K1051" s="260"/>
      <c r="L1051" s="260"/>
      <c r="M1051" s="260"/>
      <c r="N1051" s="260"/>
      <c r="O1051" s="235"/>
      <c r="P1051" s="235"/>
      <c r="Q1051" s="235"/>
    </row>
    <row r="1052" spans="2:17">
      <c r="B1052" s="241"/>
      <c r="C1052" s="241"/>
      <c r="D1052" s="241"/>
      <c r="E1052" s="241"/>
      <c r="F1052" s="260"/>
      <c r="G1052" s="260"/>
      <c r="H1052" s="260"/>
      <c r="I1052" s="260"/>
      <c r="J1052" s="260"/>
      <c r="K1052" s="260"/>
      <c r="L1052" s="260"/>
      <c r="M1052" s="260"/>
      <c r="N1052" s="260"/>
      <c r="O1052" s="235"/>
      <c r="P1052" s="235"/>
      <c r="Q1052" s="235"/>
    </row>
    <row r="1053" spans="2:17">
      <c r="B1053" s="241"/>
      <c r="C1053" s="241"/>
      <c r="D1053" s="241"/>
      <c r="E1053" s="241"/>
      <c r="F1053" s="260"/>
      <c r="G1053" s="260"/>
      <c r="H1053" s="260"/>
      <c r="I1053" s="260"/>
      <c r="J1053" s="260"/>
      <c r="K1053" s="260"/>
      <c r="L1053" s="260"/>
      <c r="M1053" s="260"/>
      <c r="N1053" s="260"/>
      <c r="O1053" s="235"/>
      <c r="P1053" s="235"/>
      <c r="Q1053" s="235"/>
    </row>
    <row r="1054" spans="2:17">
      <c r="B1054" s="241"/>
      <c r="C1054" s="241"/>
      <c r="D1054" s="241"/>
      <c r="E1054" s="241"/>
      <c r="F1054" s="260"/>
      <c r="G1054" s="260"/>
      <c r="H1054" s="260"/>
      <c r="I1054" s="260"/>
      <c r="J1054" s="260"/>
      <c r="K1054" s="260"/>
      <c r="L1054" s="260"/>
      <c r="M1054" s="260"/>
      <c r="N1054" s="260"/>
      <c r="O1054" s="235"/>
      <c r="P1054" s="235"/>
      <c r="Q1054" s="235"/>
    </row>
    <row r="1055" spans="2:17">
      <c r="B1055" s="241"/>
      <c r="C1055" s="241"/>
      <c r="D1055" s="241"/>
      <c r="E1055" s="241"/>
      <c r="F1055" s="260"/>
      <c r="G1055" s="260"/>
      <c r="H1055" s="260"/>
      <c r="I1055" s="260"/>
      <c r="J1055" s="260"/>
      <c r="K1055" s="260"/>
      <c r="L1055" s="260"/>
      <c r="M1055" s="260"/>
      <c r="N1055" s="260"/>
      <c r="O1055" s="235"/>
      <c r="P1055" s="235"/>
      <c r="Q1055" s="235"/>
    </row>
    <row r="1056" spans="2:17">
      <c r="B1056" s="241"/>
      <c r="C1056" s="241"/>
      <c r="D1056" s="241"/>
      <c r="E1056" s="241"/>
      <c r="F1056" s="260"/>
      <c r="G1056" s="260"/>
      <c r="H1056" s="260"/>
      <c r="I1056" s="260"/>
      <c r="J1056" s="260"/>
      <c r="K1056" s="260"/>
      <c r="L1056" s="260"/>
      <c r="M1056" s="260"/>
      <c r="N1056" s="260"/>
      <c r="O1056" s="235"/>
      <c r="P1056" s="235"/>
      <c r="Q1056" s="235"/>
    </row>
    <row r="1057" spans="2:17">
      <c r="B1057" s="241"/>
      <c r="C1057" s="241"/>
      <c r="D1057" s="241"/>
      <c r="E1057" s="241"/>
      <c r="F1057" s="260"/>
      <c r="G1057" s="260"/>
      <c r="H1057" s="260"/>
      <c r="I1057" s="260"/>
      <c r="J1057" s="260"/>
      <c r="K1057" s="260"/>
      <c r="L1057" s="260"/>
      <c r="M1057" s="260"/>
      <c r="N1057" s="260"/>
      <c r="O1057" s="235"/>
      <c r="P1057" s="235"/>
      <c r="Q1057" s="235"/>
    </row>
    <row r="1058" spans="2:17">
      <c r="B1058" s="241"/>
      <c r="C1058" s="241"/>
      <c r="D1058" s="241"/>
      <c r="E1058" s="241"/>
      <c r="F1058" s="260"/>
      <c r="G1058" s="260"/>
      <c r="H1058" s="260"/>
      <c r="I1058" s="260"/>
      <c r="J1058" s="260"/>
      <c r="K1058" s="260"/>
      <c r="L1058" s="260"/>
      <c r="M1058" s="260"/>
      <c r="N1058" s="260"/>
      <c r="O1058" s="235"/>
      <c r="P1058" s="235"/>
      <c r="Q1058" s="235"/>
    </row>
    <row r="1059" spans="2:17">
      <c r="B1059" s="241"/>
      <c r="C1059" s="241"/>
      <c r="D1059" s="241"/>
      <c r="E1059" s="241"/>
      <c r="F1059" s="260"/>
      <c r="G1059" s="260"/>
      <c r="H1059" s="260"/>
      <c r="I1059" s="260"/>
      <c r="J1059" s="260"/>
      <c r="K1059" s="260"/>
      <c r="L1059" s="260"/>
      <c r="M1059" s="260"/>
      <c r="N1059" s="260"/>
      <c r="O1059" s="235"/>
      <c r="P1059" s="235"/>
      <c r="Q1059" s="235"/>
    </row>
    <row r="1060" spans="2:17">
      <c r="B1060" s="241"/>
      <c r="C1060" s="241"/>
      <c r="D1060" s="241"/>
      <c r="E1060" s="241"/>
      <c r="F1060" s="260"/>
      <c r="G1060" s="260"/>
      <c r="H1060" s="260"/>
      <c r="I1060" s="260"/>
      <c r="J1060" s="260"/>
      <c r="K1060" s="260"/>
      <c r="L1060" s="260"/>
      <c r="M1060" s="260"/>
      <c r="N1060" s="260"/>
      <c r="O1060" s="235"/>
      <c r="P1060" s="235"/>
      <c r="Q1060" s="235"/>
    </row>
    <row r="1061" spans="2:17">
      <c r="B1061" s="241"/>
      <c r="C1061" s="241"/>
      <c r="D1061" s="241"/>
      <c r="E1061" s="241"/>
      <c r="F1061" s="260"/>
      <c r="G1061" s="260"/>
      <c r="H1061" s="260"/>
      <c r="I1061" s="260"/>
      <c r="J1061" s="260"/>
      <c r="K1061" s="260"/>
      <c r="L1061" s="260"/>
      <c r="M1061" s="260"/>
      <c r="N1061" s="260"/>
      <c r="O1061" s="235"/>
      <c r="P1061" s="235"/>
      <c r="Q1061" s="235"/>
    </row>
    <row r="1062" spans="2:17">
      <c r="B1062" s="241"/>
      <c r="C1062" s="241"/>
      <c r="D1062" s="241"/>
      <c r="E1062" s="241"/>
      <c r="F1062" s="260"/>
      <c r="G1062" s="260"/>
      <c r="H1062" s="260"/>
      <c r="I1062" s="260"/>
      <c r="J1062" s="260"/>
      <c r="K1062" s="260"/>
      <c r="L1062" s="260"/>
      <c r="M1062" s="260"/>
      <c r="N1062" s="260"/>
      <c r="O1062" s="235"/>
      <c r="P1062" s="235"/>
      <c r="Q1062" s="235"/>
    </row>
    <row r="1063" spans="2:17">
      <c r="B1063" s="241"/>
      <c r="C1063" s="241"/>
      <c r="D1063" s="241"/>
      <c r="E1063" s="241"/>
      <c r="F1063" s="260"/>
      <c r="G1063" s="260"/>
      <c r="H1063" s="260"/>
      <c r="I1063" s="260"/>
      <c r="J1063" s="260"/>
      <c r="K1063" s="260"/>
      <c r="L1063" s="260"/>
      <c r="M1063" s="260"/>
      <c r="N1063" s="260"/>
      <c r="O1063" s="235"/>
      <c r="P1063" s="235"/>
      <c r="Q1063" s="235"/>
    </row>
    <row r="1064" spans="2:17">
      <c r="B1064" s="241"/>
      <c r="C1064" s="241"/>
      <c r="D1064" s="241"/>
      <c r="E1064" s="241"/>
      <c r="F1064" s="260"/>
      <c r="G1064" s="260"/>
      <c r="H1064" s="260"/>
      <c r="I1064" s="260"/>
      <c r="J1064" s="260"/>
      <c r="K1064" s="260"/>
      <c r="L1064" s="260"/>
      <c r="M1064" s="260"/>
      <c r="N1064" s="260"/>
      <c r="O1064" s="235"/>
      <c r="P1064" s="235"/>
      <c r="Q1064" s="235"/>
    </row>
    <row r="1065" spans="2:17">
      <c r="B1065" s="241"/>
      <c r="C1065" s="241"/>
      <c r="D1065" s="241"/>
      <c r="E1065" s="241"/>
      <c r="F1065" s="260"/>
      <c r="G1065" s="260"/>
      <c r="H1065" s="260"/>
      <c r="I1065" s="260"/>
      <c r="J1065" s="260"/>
      <c r="K1065" s="260"/>
      <c r="L1065" s="260"/>
      <c r="M1065" s="260"/>
      <c r="N1065" s="260"/>
      <c r="O1065" s="235"/>
      <c r="P1065" s="235"/>
      <c r="Q1065" s="235"/>
    </row>
    <row r="1066" spans="2:17">
      <c r="B1066" s="241"/>
      <c r="C1066" s="241"/>
      <c r="D1066" s="241"/>
      <c r="E1066" s="241"/>
      <c r="F1066" s="260"/>
      <c r="G1066" s="260"/>
      <c r="H1066" s="260"/>
      <c r="I1066" s="260"/>
      <c r="J1066" s="260"/>
      <c r="K1066" s="260"/>
      <c r="L1066" s="260"/>
      <c r="M1066" s="260"/>
      <c r="N1066" s="260"/>
      <c r="O1066" s="235"/>
      <c r="P1066" s="235"/>
      <c r="Q1066" s="235"/>
    </row>
    <row r="1067" spans="2:17">
      <c r="B1067" s="241"/>
      <c r="C1067" s="241"/>
      <c r="D1067" s="241"/>
      <c r="E1067" s="241"/>
      <c r="F1067" s="260"/>
      <c r="G1067" s="260"/>
      <c r="H1067" s="260"/>
      <c r="I1067" s="260"/>
      <c r="J1067" s="260"/>
      <c r="K1067" s="260"/>
      <c r="L1067" s="260"/>
      <c r="M1067" s="260"/>
      <c r="N1067" s="260"/>
      <c r="O1067" s="235"/>
      <c r="P1067" s="235"/>
      <c r="Q1067" s="235"/>
    </row>
    <row r="1068" spans="2:17">
      <c r="B1068" s="241"/>
      <c r="C1068" s="241"/>
      <c r="D1068" s="241"/>
      <c r="E1068" s="241"/>
      <c r="F1068" s="260"/>
      <c r="G1068" s="260"/>
      <c r="H1068" s="260"/>
      <c r="I1068" s="260"/>
      <c r="J1068" s="260"/>
      <c r="K1068" s="260"/>
      <c r="L1068" s="260"/>
      <c r="M1068" s="260"/>
      <c r="N1068" s="260"/>
      <c r="O1068" s="235"/>
      <c r="P1068" s="235"/>
      <c r="Q1068" s="235"/>
    </row>
    <row r="1069" spans="2:17">
      <c r="B1069" s="241"/>
      <c r="C1069" s="241"/>
      <c r="D1069" s="241"/>
      <c r="E1069" s="241"/>
      <c r="F1069" s="260"/>
      <c r="G1069" s="260"/>
      <c r="H1069" s="260"/>
      <c r="I1069" s="260"/>
      <c r="J1069" s="260"/>
      <c r="K1069" s="260"/>
      <c r="L1069" s="260"/>
      <c r="M1069" s="260"/>
      <c r="N1069" s="260"/>
      <c r="O1069" s="235"/>
      <c r="P1069" s="235"/>
      <c r="Q1069" s="235"/>
    </row>
    <row r="1070" spans="2:17">
      <c r="B1070" s="241"/>
      <c r="C1070" s="241"/>
      <c r="D1070" s="241"/>
      <c r="E1070" s="241"/>
      <c r="F1070" s="260"/>
      <c r="G1070" s="260"/>
      <c r="H1070" s="260"/>
      <c r="I1070" s="260"/>
      <c r="J1070" s="260"/>
      <c r="K1070" s="260"/>
      <c r="L1070" s="260"/>
      <c r="M1070" s="260"/>
      <c r="N1070" s="260"/>
      <c r="O1070" s="235"/>
      <c r="P1070" s="235"/>
      <c r="Q1070" s="235"/>
    </row>
    <row r="1071" spans="2:17">
      <c r="B1071" s="241"/>
      <c r="C1071" s="241"/>
      <c r="D1071" s="241"/>
      <c r="E1071" s="241"/>
      <c r="F1071" s="260"/>
      <c r="G1071" s="260"/>
      <c r="H1071" s="260"/>
      <c r="I1071" s="260"/>
      <c r="J1071" s="260"/>
      <c r="K1071" s="260"/>
      <c r="L1071" s="260"/>
      <c r="M1071" s="260"/>
      <c r="N1071" s="260"/>
      <c r="O1071" s="235"/>
      <c r="P1071" s="235"/>
      <c r="Q1071" s="235"/>
    </row>
    <row r="1072" spans="2:17">
      <c r="B1072" s="241"/>
      <c r="C1072" s="241"/>
      <c r="D1072" s="241"/>
      <c r="E1072" s="241"/>
      <c r="F1072" s="260"/>
      <c r="G1072" s="260"/>
      <c r="H1072" s="260"/>
      <c r="I1072" s="260"/>
      <c r="J1072" s="260"/>
      <c r="K1072" s="260"/>
      <c r="L1072" s="260"/>
      <c r="M1072" s="260"/>
      <c r="N1072" s="260"/>
      <c r="O1072" s="235"/>
      <c r="P1072" s="235"/>
      <c r="Q1072" s="235"/>
    </row>
    <row r="1073" spans="2:17">
      <c r="B1073" s="241"/>
      <c r="C1073" s="241"/>
      <c r="D1073" s="241"/>
      <c r="E1073" s="241"/>
      <c r="F1073" s="260"/>
      <c r="G1073" s="260"/>
      <c r="H1073" s="260"/>
      <c r="I1073" s="260"/>
      <c r="J1073" s="260"/>
      <c r="K1073" s="260"/>
      <c r="L1073" s="260"/>
      <c r="M1073" s="260"/>
      <c r="N1073" s="260"/>
      <c r="O1073" s="235"/>
      <c r="P1073" s="235"/>
      <c r="Q1073" s="235"/>
    </row>
    <row r="1074" spans="2:17">
      <c r="B1074" s="241"/>
      <c r="C1074" s="241"/>
      <c r="D1074" s="241"/>
      <c r="E1074" s="241"/>
      <c r="F1074" s="260"/>
      <c r="G1074" s="260"/>
      <c r="H1074" s="260"/>
      <c r="I1074" s="260"/>
      <c r="J1074" s="260"/>
      <c r="K1074" s="260"/>
      <c r="L1074" s="260"/>
      <c r="M1074" s="260"/>
      <c r="N1074" s="260"/>
      <c r="O1074" s="235"/>
      <c r="P1074" s="235"/>
      <c r="Q1074" s="235"/>
    </row>
    <row r="1075" spans="2:17">
      <c r="B1075" s="241"/>
      <c r="C1075" s="241"/>
      <c r="D1075" s="241"/>
      <c r="E1075" s="241"/>
      <c r="F1075" s="260"/>
      <c r="G1075" s="260"/>
      <c r="H1075" s="260"/>
      <c r="I1075" s="260"/>
      <c r="J1075" s="260"/>
      <c r="K1075" s="260"/>
      <c r="L1075" s="260"/>
      <c r="M1075" s="260"/>
      <c r="N1075" s="260"/>
      <c r="O1075" s="235"/>
      <c r="P1075" s="235"/>
      <c r="Q1075" s="235"/>
    </row>
    <row r="1076" spans="2:17">
      <c r="B1076" s="241"/>
      <c r="C1076" s="241"/>
      <c r="D1076" s="241"/>
      <c r="E1076" s="241"/>
      <c r="F1076" s="260"/>
      <c r="G1076" s="260"/>
      <c r="H1076" s="260"/>
      <c r="I1076" s="260"/>
      <c r="J1076" s="260"/>
      <c r="K1076" s="260"/>
      <c r="L1076" s="260"/>
      <c r="M1076" s="260"/>
      <c r="N1076" s="260"/>
      <c r="O1076" s="235"/>
      <c r="P1076" s="235"/>
      <c r="Q1076" s="235"/>
    </row>
    <row r="1077" spans="2:17">
      <c r="B1077" s="241"/>
      <c r="C1077" s="241"/>
      <c r="D1077" s="241"/>
      <c r="E1077" s="241"/>
      <c r="F1077" s="260"/>
      <c r="G1077" s="260"/>
      <c r="H1077" s="260"/>
      <c r="I1077" s="260"/>
      <c r="J1077" s="260"/>
      <c r="K1077" s="260"/>
      <c r="L1077" s="260"/>
      <c r="M1077" s="260"/>
      <c r="N1077" s="260"/>
      <c r="O1077" s="235"/>
      <c r="P1077" s="235"/>
      <c r="Q1077" s="235"/>
    </row>
    <row r="1078" spans="2:17">
      <c r="B1078" s="241"/>
      <c r="C1078" s="241"/>
      <c r="D1078" s="241"/>
      <c r="E1078" s="241"/>
      <c r="F1078" s="260"/>
      <c r="G1078" s="260"/>
      <c r="H1078" s="260"/>
      <c r="I1078" s="260"/>
      <c r="J1078" s="260"/>
      <c r="K1078" s="260"/>
      <c r="L1078" s="260"/>
      <c r="M1078" s="260"/>
      <c r="N1078" s="260"/>
      <c r="O1078" s="235"/>
      <c r="P1078" s="235"/>
      <c r="Q1078" s="235"/>
    </row>
    <row r="1079" spans="2:17">
      <c r="B1079" s="241"/>
      <c r="C1079" s="241"/>
      <c r="D1079" s="241"/>
      <c r="E1079" s="241"/>
      <c r="F1079" s="260"/>
      <c r="G1079" s="260"/>
      <c r="H1079" s="260"/>
      <c r="I1079" s="260"/>
      <c r="J1079" s="260"/>
      <c r="K1079" s="260"/>
      <c r="L1079" s="260"/>
      <c r="M1079" s="260"/>
      <c r="N1079" s="260"/>
      <c r="O1079" s="235"/>
      <c r="P1079" s="235"/>
      <c r="Q1079" s="235"/>
    </row>
    <row r="1080" spans="2:17">
      <c r="B1080" s="241"/>
      <c r="C1080" s="241"/>
      <c r="D1080" s="241"/>
      <c r="E1080" s="241"/>
      <c r="F1080" s="260"/>
      <c r="G1080" s="260"/>
      <c r="H1080" s="260"/>
      <c r="I1080" s="260"/>
      <c r="J1080" s="260"/>
      <c r="K1080" s="260"/>
      <c r="L1080" s="260"/>
      <c r="M1080" s="260"/>
      <c r="N1080" s="260"/>
      <c r="O1080" s="235"/>
      <c r="P1080" s="235"/>
      <c r="Q1080" s="235"/>
    </row>
    <row r="1081" spans="2:17">
      <c r="B1081" s="241"/>
      <c r="C1081" s="241"/>
      <c r="D1081" s="241"/>
      <c r="E1081" s="241"/>
      <c r="F1081" s="260"/>
      <c r="G1081" s="260"/>
      <c r="H1081" s="260"/>
      <c r="I1081" s="260"/>
      <c r="J1081" s="260"/>
      <c r="K1081" s="260"/>
      <c r="L1081" s="260"/>
      <c r="M1081" s="260"/>
      <c r="N1081" s="260"/>
      <c r="O1081" s="235"/>
      <c r="P1081" s="235"/>
      <c r="Q1081" s="235"/>
    </row>
    <row r="1082" spans="2:17">
      <c r="B1082" s="241"/>
      <c r="C1082" s="241"/>
      <c r="D1082" s="241"/>
      <c r="E1082" s="241"/>
      <c r="F1082" s="260"/>
      <c r="G1082" s="260"/>
      <c r="H1082" s="260"/>
      <c r="I1082" s="260"/>
      <c r="J1082" s="260"/>
      <c r="K1082" s="260"/>
      <c r="L1082" s="260"/>
      <c r="M1082" s="260"/>
      <c r="N1082" s="260"/>
      <c r="O1082" s="235"/>
      <c r="P1082" s="235"/>
      <c r="Q1082" s="235"/>
    </row>
    <row r="1083" spans="2:17">
      <c r="B1083" s="241"/>
      <c r="C1083" s="241"/>
      <c r="D1083" s="241"/>
      <c r="E1083" s="241"/>
      <c r="F1083" s="260"/>
      <c r="G1083" s="260"/>
      <c r="H1083" s="260"/>
      <c r="I1083" s="260"/>
      <c r="J1083" s="260"/>
      <c r="K1083" s="260"/>
      <c r="L1083" s="260"/>
      <c r="M1083" s="260"/>
      <c r="N1083" s="260"/>
      <c r="O1083" s="235"/>
      <c r="P1083" s="235"/>
      <c r="Q1083" s="235"/>
    </row>
    <row r="1084" spans="2:17">
      <c r="B1084" s="241"/>
      <c r="C1084" s="241"/>
      <c r="D1084" s="241"/>
      <c r="E1084" s="241"/>
      <c r="F1084" s="260"/>
      <c r="G1084" s="260"/>
      <c r="H1084" s="260"/>
      <c r="I1084" s="260"/>
      <c r="J1084" s="260"/>
      <c r="K1084" s="260"/>
      <c r="L1084" s="260"/>
      <c r="M1084" s="260"/>
      <c r="N1084" s="260"/>
      <c r="O1084" s="235"/>
      <c r="P1084" s="235"/>
      <c r="Q1084" s="235"/>
    </row>
    <row r="1085" spans="2:17">
      <c r="B1085" s="241"/>
      <c r="C1085" s="241"/>
      <c r="D1085" s="241"/>
      <c r="E1085" s="241"/>
      <c r="F1085" s="260"/>
      <c r="G1085" s="260"/>
      <c r="H1085" s="260"/>
      <c r="I1085" s="260"/>
      <c r="J1085" s="260"/>
      <c r="K1085" s="260"/>
      <c r="L1085" s="260"/>
      <c r="M1085" s="260"/>
      <c r="N1085" s="260"/>
      <c r="O1085" s="235"/>
      <c r="P1085" s="235"/>
      <c r="Q1085" s="235"/>
    </row>
    <row r="1086" spans="2:17">
      <c r="B1086" s="241"/>
      <c r="C1086" s="241"/>
      <c r="D1086" s="241"/>
      <c r="E1086" s="241"/>
      <c r="F1086" s="260"/>
      <c r="G1086" s="260"/>
      <c r="H1086" s="260"/>
      <c r="I1086" s="260"/>
      <c r="J1086" s="260"/>
      <c r="K1086" s="260"/>
      <c r="L1086" s="260"/>
      <c r="M1086" s="260"/>
      <c r="N1086" s="260"/>
      <c r="O1086" s="235"/>
      <c r="P1086" s="235"/>
      <c r="Q1086" s="235"/>
    </row>
    <row r="1087" spans="2:17">
      <c r="B1087" s="241"/>
      <c r="C1087" s="241"/>
      <c r="D1087" s="241"/>
      <c r="E1087" s="241"/>
      <c r="F1087" s="260"/>
      <c r="G1087" s="260"/>
      <c r="H1087" s="260"/>
      <c r="I1087" s="260"/>
      <c r="J1087" s="260"/>
      <c r="K1087" s="260"/>
      <c r="L1087" s="260"/>
      <c r="M1087" s="260"/>
      <c r="N1087" s="260"/>
      <c r="O1087" s="235"/>
      <c r="P1087" s="235"/>
      <c r="Q1087" s="235"/>
    </row>
    <row r="1088" spans="2:17">
      <c r="B1088" s="241"/>
      <c r="C1088" s="241"/>
      <c r="D1088" s="241"/>
      <c r="E1088" s="241"/>
      <c r="F1088" s="260"/>
      <c r="G1088" s="260"/>
      <c r="H1088" s="260"/>
      <c r="I1088" s="260"/>
      <c r="J1088" s="260"/>
      <c r="K1088" s="260"/>
      <c r="L1088" s="260"/>
      <c r="M1088" s="260"/>
      <c r="N1088" s="260"/>
      <c r="O1088" s="235"/>
      <c r="P1088" s="235"/>
      <c r="Q1088" s="235"/>
    </row>
    <row r="1089" spans="2:17">
      <c r="B1089" s="241"/>
      <c r="C1089" s="241"/>
      <c r="D1089" s="241"/>
      <c r="E1089" s="241"/>
      <c r="F1089" s="260"/>
      <c r="G1089" s="260"/>
      <c r="H1089" s="260"/>
      <c r="I1089" s="260"/>
      <c r="J1089" s="260"/>
      <c r="K1089" s="260"/>
      <c r="L1089" s="260"/>
      <c r="M1089" s="260"/>
      <c r="N1089" s="260"/>
      <c r="O1089" s="235"/>
      <c r="P1089" s="235"/>
      <c r="Q1089" s="235"/>
    </row>
    <row r="1090" spans="2:17">
      <c r="B1090" s="241"/>
      <c r="C1090" s="241"/>
      <c r="D1090" s="241"/>
      <c r="E1090" s="241"/>
      <c r="F1090" s="260"/>
      <c r="G1090" s="260"/>
      <c r="H1090" s="260"/>
      <c r="I1090" s="260"/>
      <c r="J1090" s="260"/>
      <c r="K1090" s="260"/>
      <c r="L1090" s="260"/>
      <c r="M1090" s="260"/>
      <c r="N1090" s="260"/>
      <c r="O1090" s="235"/>
      <c r="P1090" s="235"/>
      <c r="Q1090" s="235"/>
    </row>
    <row r="1091" spans="2:17">
      <c r="B1091" s="241"/>
      <c r="C1091" s="241"/>
      <c r="D1091" s="241"/>
      <c r="E1091" s="241"/>
      <c r="F1091" s="260"/>
      <c r="G1091" s="260"/>
      <c r="H1091" s="260"/>
      <c r="I1091" s="260"/>
      <c r="J1091" s="260"/>
      <c r="K1091" s="260"/>
      <c r="L1091" s="260"/>
      <c r="M1091" s="260"/>
      <c r="N1091" s="260"/>
      <c r="O1091" s="235"/>
      <c r="P1091" s="235"/>
      <c r="Q1091" s="235"/>
    </row>
    <row r="1092" spans="2:17">
      <c r="B1092" s="241"/>
      <c r="C1092" s="241"/>
      <c r="D1092" s="241"/>
      <c r="E1092" s="241"/>
      <c r="F1092" s="260"/>
      <c r="G1092" s="260"/>
      <c r="H1092" s="260"/>
      <c r="I1092" s="260"/>
      <c r="J1092" s="260"/>
      <c r="K1092" s="260"/>
      <c r="L1092" s="260"/>
      <c r="M1092" s="260"/>
      <c r="N1092" s="260"/>
      <c r="O1092" s="235"/>
      <c r="P1092" s="235"/>
      <c r="Q1092" s="235"/>
    </row>
    <row r="1093" spans="2:17">
      <c r="B1093" s="241"/>
      <c r="C1093" s="241"/>
      <c r="D1093" s="241"/>
      <c r="E1093" s="241"/>
      <c r="F1093" s="260"/>
      <c r="G1093" s="260"/>
      <c r="H1093" s="260"/>
      <c r="I1093" s="260"/>
      <c r="J1093" s="260"/>
      <c r="K1093" s="260"/>
      <c r="L1093" s="260"/>
      <c r="M1093" s="260"/>
      <c r="N1093" s="260"/>
      <c r="O1093" s="235"/>
      <c r="P1093" s="235"/>
      <c r="Q1093" s="235"/>
    </row>
    <row r="1094" spans="2:17">
      <c r="B1094" s="241"/>
      <c r="C1094" s="241"/>
      <c r="D1094" s="241"/>
      <c r="E1094" s="241"/>
      <c r="F1094" s="260"/>
      <c r="G1094" s="260"/>
      <c r="H1094" s="260"/>
      <c r="I1094" s="260"/>
      <c r="J1094" s="260"/>
      <c r="K1094" s="260"/>
      <c r="L1094" s="260"/>
      <c r="M1094" s="260"/>
      <c r="N1094" s="260"/>
      <c r="O1094" s="235"/>
      <c r="P1094" s="235"/>
      <c r="Q1094" s="235"/>
    </row>
    <row r="1095" spans="2:17">
      <c r="B1095" s="241"/>
      <c r="C1095" s="241"/>
      <c r="D1095" s="241"/>
      <c r="E1095" s="241"/>
      <c r="F1095" s="260"/>
      <c r="G1095" s="260"/>
      <c r="H1095" s="260"/>
      <c r="I1095" s="260"/>
      <c r="J1095" s="260"/>
      <c r="K1095" s="260"/>
      <c r="L1095" s="260"/>
      <c r="M1095" s="260"/>
      <c r="N1095" s="260"/>
      <c r="O1095" s="235"/>
      <c r="P1095" s="235"/>
      <c r="Q1095" s="235"/>
    </row>
    <row r="1096" spans="2:17">
      <c r="B1096" s="241"/>
      <c r="C1096" s="241"/>
      <c r="D1096" s="241"/>
      <c r="E1096" s="241"/>
      <c r="F1096" s="260"/>
      <c r="G1096" s="260"/>
      <c r="H1096" s="260"/>
      <c r="I1096" s="260"/>
      <c r="J1096" s="260"/>
      <c r="K1096" s="260"/>
      <c r="L1096" s="260"/>
      <c r="M1096" s="260"/>
      <c r="N1096" s="260"/>
      <c r="O1096" s="235"/>
      <c r="P1096" s="235"/>
      <c r="Q1096" s="235"/>
    </row>
    <row r="1097" spans="2:17">
      <c r="B1097" s="241"/>
      <c r="C1097" s="241"/>
      <c r="D1097" s="241"/>
      <c r="E1097" s="241"/>
      <c r="F1097" s="260"/>
      <c r="G1097" s="260"/>
      <c r="H1097" s="260"/>
      <c r="I1097" s="260"/>
      <c r="J1097" s="260"/>
      <c r="K1097" s="260"/>
      <c r="L1097" s="260"/>
      <c r="M1097" s="260"/>
      <c r="N1097" s="260"/>
      <c r="O1097" s="235"/>
      <c r="P1097" s="235"/>
      <c r="Q1097" s="235"/>
    </row>
    <row r="1098" spans="2:17">
      <c r="B1098" s="241"/>
      <c r="C1098" s="241"/>
      <c r="D1098" s="241"/>
      <c r="E1098" s="241"/>
      <c r="F1098" s="260"/>
      <c r="G1098" s="260"/>
      <c r="H1098" s="260"/>
      <c r="I1098" s="260"/>
      <c r="J1098" s="260"/>
      <c r="K1098" s="260"/>
      <c r="L1098" s="260"/>
      <c r="M1098" s="260"/>
      <c r="N1098" s="260"/>
      <c r="O1098" s="235"/>
      <c r="P1098" s="235"/>
      <c r="Q1098" s="235"/>
    </row>
    <row r="1099" spans="2:17">
      <c r="B1099" s="241"/>
      <c r="C1099" s="241"/>
      <c r="D1099" s="241"/>
      <c r="E1099" s="241"/>
      <c r="F1099" s="260"/>
      <c r="G1099" s="260"/>
      <c r="H1099" s="260"/>
      <c r="I1099" s="260"/>
      <c r="J1099" s="260"/>
      <c r="K1099" s="260"/>
      <c r="L1099" s="260"/>
      <c r="M1099" s="260"/>
      <c r="N1099" s="260"/>
      <c r="O1099" s="235"/>
      <c r="P1099" s="235"/>
      <c r="Q1099" s="235"/>
    </row>
    <row r="1100" spans="2:17">
      <c r="B1100" s="241"/>
      <c r="C1100" s="241"/>
      <c r="D1100" s="241"/>
      <c r="E1100" s="241"/>
      <c r="F1100" s="260"/>
      <c r="G1100" s="260"/>
      <c r="H1100" s="260"/>
      <c r="I1100" s="260"/>
      <c r="J1100" s="260"/>
      <c r="K1100" s="260"/>
      <c r="L1100" s="260"/>
      <c r="M1100" s="260"/>
      <c r="N1100" s="260"/>
      <c r="O1100" s="235"/>
      <c r="P1100" s="235"/>
      <c r="Q1100" s="235"/>
    </row>
    <row r="1101" spans="2:17">
      <c r="B1101" s="241"/>
      <c r="C1101" s="241"/>
      <c r="D1101" s="241"/>
      <c r="E1101" s="241"/>
      <c r="F1101" s="260"/>
      <c r="G1101" s="260"/>
      <c r="H1101" s="260"/>
      <c r="I1101" s="260"/>
      <c r="J1101" s="260"/>
      <c r="K1101" s="260"/>
      <c r="L1101" s="260"/>
      <c r="M1101" s="260"/>
      <c r="N1101" s="260"/>
      <c r="O1101" s="235"/>
      <c r="P1101" s="235"/>
      <c r="Q1101" s="235"/>
    </row>
    <row r="1102" spans="2:17">
      <c r="B1102" s="241"/>
      <c r="C1102" s="241"/>
      <c r="D1102" s="241"/>
      <c r="E1102" s="241"/>
      <c r="F1102" s="260"/>
      <c r="G1102" s="260"/>
      <c r="H1102" s="260"/>
      <c r="I1102" s="260"/>
      <c r="J1102" s="260"/>
      <c r="K1102" s="260"/>
      <c r="L1102" s="260"/>
      <c r="M1102" s="260"/>
      <c r="N1102" s="260"/>
      <c r="O1102" s="235"/>
      <c r="P1102" s="235"/>
      <c r="Q1102" s="235"/>
    </row>
    <row r="1103" spans="2:17">
      <c r="B1103" s="241"/>
      <c r="C1103" s="241"/>
      <c r="D1103" s="241"/>
      <c r="E1103" s="241"/>
      <c r="F1103" s="260"/>
      <c r="G1103" s="260"/>
      <c r="H1103" s="260"/>
      <c r="I1103" s="260"/>
      <c r="J1103" s="260"/>
      <c r="K1103" s="260"/>
      <c r="L1103" s="260"/>
      <c r="M1103" s="260"/>
      <c r="N1103" s="260"/>
      <c r="O1103" s="235"/>
      <c r="P1103" s="235"/>
      <c r="Q1103" s="235"/>
    </row>
    <row r="1104" spans="2:17">
      <c r="B1104" s="241"/>
      <c r="C1104" s="241"/>
      <c r="D1104" s="241"/>
      <c r="E1104" s="241"/>
      <c r="F1104" s="260"/>
      <c r="G1104" s="260"/>
      <c r="H1104" s="260"/>
      <c r="I1104" s="260"/>
      <c r="J1104" s="260"/>
      <c r="K1104" s="260"/>
      <c r="L1104" s="260"/>
      <c r="M1104" s="260"/>
      <c r="N1104" s="260"/>
      <c r="O1104" s="235"/>
      <c r="P1104" s="235"/>
      <c r="Q1104" s="235"/>
    </row>
    <row r="1105" spans="2:17">
      <c r="B1105" s="241"/>
      <c r="C1105" s="241"/>
      <c r="D1105" s="241"/>
      <c r="E1105" s="241"/>
      <c r="F1105" s="260"/>
      <c r="G1105" s="260"/>
      <c r="H1105" s="260"/>
      <c r="I1105" s="260"/>
      <c r="J1105" s="260"/>
      <c r="K1105" s="260"/>
      <c r="L1105" s="260"/>
      <c r="M1105" s="260"/>
      <c r="N1105" s="260"/>
      <c r="O1105" s="235"/>
      <c r="P1105" s="235"/>
      <c r="Q1105" s="235"/>
    </row>
    <row r="1106" spans="2:17">
      <c r="B1106" s="241"/>
      <c r="C1106" s="241"/>
      <c r="D1106" s="241"/>
      <c r="E1106" s="241"/>
      <c r="F1106" s="260"/>
      <c r="G1106" s="260"/>
      <c r="H1106" s="260"/>
      <c r="I1106" s="260"/>
      <c r="J1106" s="260"/>
      <c r="K1106" s="260"/>
      <c r="L1106" s="260"/>
      <c r="M1106" s="260"/>
      <c r="N1106" s="260"/>
      <c r="O1106" s="235"/>
      <c r="P1106" s="235"/>
      <c r="Q1106" s="235"/>
    </row>
    <row r="1107" spans="2:17">
      <c r="B1107" s="241"/>
      <c r="C1107" s="241"/>
      <c r="D1107" s="241"/>
      <c r="E1107" s="241"/>
      <c r="F1107" s="260"/>
      <c r="G1107" s="260"/>
      <c r="H1107" s="260"/>
      <c r="I1107" s="260"/>
      <c r="J1107" s="260"/>
      <c r="K1107" s="260"/>
      <c r="L1107" s="260"/>
      <c r="M1107" s="260"/>
      <c r="N1107" s="260"/>
      <c r="O1107" s="235"/>
      <c r="P1107" s="235"/>
      <c r="Q1107" s="235"/>
    </row>
    <row r="1108" spans="2:17">
      <c r="B1108" s="241"/>
      <c r="C1108" s="241"/>
      <c r="D1108" s="241"/>
      <c r="E1108" s="241"/>
      <c r="F1108" s="260"/>
      <c r="G1108" s="260"/>
      <c r="H1108" s="260"/>
      <c r="I1108" s="260"/>
      <c r="J1108" s="260"/>
      <c r="K1108" s="260"/>
      <c r="L1108" s="260"/>
      <c r="M1108" s="260"/>
      <c r="N1108" s="260"/>
      <c r="O1108" s="235"/>
      <c r="P1108" s="235"/>
      <c r="Q1108" s="235"/>
    </row>
    <row r="1109" spans="2:17">
      <c r="B1109" s="241"/>
      <c r="C1109" s="241"/>
      <c r="D1109" s="241"/>
      <c r="E1109" s="241"/>
      <c r="F1109" s="260"/>
      <c r="G1109" s="260"/>
      <c r="H1109" s="260"/>
      <c r="I1109" s="260"/>
      <c r="J1109" s="260"/>
      <c r="K1109" s="260"/>
      <c r="L1109" s="260"/>
      <c r="M1109" s="260"/>
      <c r="N1109" s="260"/>
      <c r="O1109" s="235"/>
      <c r="P1109" s="235"/>
      <c r="Q1109" s="235"/>
    </row>
    <row r="1110" spans="2:17">
      <c r="B1110" s="241"/>
      <c r="C1110" s="241"/>
      <c r="D1110" s="241"/>
      <c r="E1110" s="241"/>
      <c r="F1110" s="260"/>
      <c r="G1110" s="260"/>
      <c r="H1110" s="260"/>
      <c r="I1110" s="260"/>
      <c r="J1110" s="260"/>
      <c r="K1110" s="260"/>
      <c r="L1110" s="260"/>
      <c r="M1110" s="260"/>
      <c r="N1110" s="260"/>
      <c r="O1110" s="235"/>
      <c r="P1110" s="235"/>
      <c r="Q1110" s="235"/>
    </row>
    <row r="1111" spans="2:17">
      <c r="B1111" s="241"/>
      <c r="C1111" s="241"/>
      <c r="D1111" s="241"/>
      <c r="E1111" s="241"/>
      <c r="F1111" s="260"/>
      <c r="G1111" s="260"/>
      <c r="H1111" s="260"/>
      <c r="I1111" s="260"/>
      <c r="J1111" s="260"/>
      <c r="K1111" s="260"/>
      <c r="L1111" s="260"/>
      <c r="M1111" s="260"/>
      <c r="N1111" s="260"/>
      <c r="O1111" s="235"/>
      <c r="P1111" s="235"/>
      <c r="Q1111" s="235"/>
    </row>
    <row r="1112" spans="2:17">
      <c r="B1112" s="241"/>
      <c r="C1112" s="241"/>
      <c r="D1112" s="241"/>
      <c r="E1112" s="241"/>
      <c r="F1112" s="260"/>
      <c r="G1112" s="260"/>
      <c r="H1112" s="260"/>
      <c r="I1112" s="260"/>
      <c r="J1112" s="260"/>
      <c r="K1112" s="260"/>
      <c r="L1112" s="260"/>
      <c r="M1112" s="260"/>
      <c r="N1112" s="260"/>
      <c r="O1112" s="235"/>
      <c r="P1112" s="235"/>
      <c r="Q1112" s="235"/>
    </row>
    <row r="1113" spans="2:17">
      <c r="B1113" s="241"/>
      <c r="C1113" s="241"/>
      <c r="D1113" s="241"/>
      <c r="E1113" s="241"/>
      <c r="F1113" s="260"/>
      <c r="G1113" s="260"/>
      <c r="H1113" s="260"/>
      <c r="I1113" s="260"/>
      <c r="J1113" s="260"/>
      <c r="K1113" s="260"/>
      <c r="L1113" s="260"/>
      <c r="M1113" s="260"/>
      <c r="N1113" s="260"/>
      <c r="O1113" s="235"/>
      <c r="P1113" s="235"/>
      <c r="Q1113" s="235"/>
    </row>
    <row r="1114" spans="2:17">
      <c r="B1114" s="241"/>
      <c r="C1114" s="241"/>
      <c r="D1114" s="241"/>
      <c r="E1114" s="241"/>
      <c r="F1114" s="260"/>
      <c r="G1114" s="260"/>
      <c r="H1114" s="260"/>
      <c r="I1114" s="260"/>
      <c r="J1114" s="260"/>
      <c r="K1114" s="260"/>
      <c r="L1114" s="260"/>
      <c r="M1114" s="260"/>
      <c r="N1114" s="260"/>
      <c r="O1114" s="235"/>
      <c r="P1114" s="235"/>
      <c r="Q1114" s="235"/>
    </row>
    <row r="1115" spans="2:17">
      <c r="B1115" s="241"/>
      <c r="C1115" s="241"/>
      <c r="D1115" s="241"/>
      <c r="E1115" s="241"/>
      <c r="F1115" s="260"/>
      <c r="G1115" s="260"/>
      <c r="H1115" s="260"/>
      <c r="I1115" s="260"/>
      <c r="J1115" s="260"/>
      <c r="K1115" s="260"/>
      <c r="L1115" s="260"/>
      <c r="M1115" s="260"/>
      <c r="N1115" s="260"/>
      <c r="O1115" s="235"/>
      <c r="P1115" s="235"/>
      <c r="Q1115" s="235"/>
    </row>
    <row r="1116" spans="2:17">
      <c r="B1116" s="241"/>
      <c r="C1116" s="241"/>
      <c r="D1116" s="241"/>
      <c r="E1116" s="241"/>
      <c r="F1116" s="260"/>
      <c r="G1116" s="260"/>
      <c r="H1116" s="260"/>
      <c r="I1116" s="260"/>
      <c r="J1116" s="260"/>
      <c r="K1116" s="260"/>
      <c r="L1116" s="260"/>
      <c r="M1116" s="260"/>
      <c r="N1116" s="260"/>
      <c r="O1116" s="235"/>
      <c r="P1116" s="235"/>
      <c r="Q1116" s="235"/>
    </row>
    <row r="1117" spans="2:17">
      <c r="B1117" s="241"/>
      <c r="C1117" s="241"/>
      <c r="D1117" s="241"/>
      <c r="E1117" s="241"/>
      <c r="F1117" s="260"/>
      <c r="G1117" s="260"/>
      <c r="H1117" s="260"/>
      <c r="I1117" s="260"/>
      <c r="J1117" s="260"/>
      <c r="K1117" s="260"/>
      <c r="L1117" s="260"/>
      <c r="M1117" s="260"/>
      <c r="N1117" s="260"/>
      <c r="O1117" s="235"/>
      <c r="P1117" s="235"/>
      <c r="Q1117" s="235"/>
    </row>
    <row r="1118" spans="2:17">
      <c r="B1118" s="241"/>
      <c r="C1118" s="241"/>
      <c r="D1118" s="241"/>
      <c r="E1118" s="241"/>
      <c r="F1118" s="260"/>
      <c r="G1118" s="260"/>
      <c r="H1118" s="260"/>
      <c r="I1118" s="260"/>
      <c r="J1118" s="260"/>
      <c r="K1118" s="260"/>
      <c r="L1118" s="260"/>
      <c r="M1118" s="260"/>
      <c r="N1118" s="260"/>
      <c r="O1118" s="235"/>
      <c r="P1118" s="235"/>
      <c r="Q1118" s="235"/>
    </row>
    <row r="1119" spans="2:17">
      <c r="B1119" s="241"/>
      <c r="C1119" s="241"/>
      <c r="D1119" s="241"/>
      <c r="E1119" s="241"/>
      <c r="F1119" s="260"/>
      <c r="G1119" s="260"/>
      <c r="H1119" s="260"/>
      <c r="I1119" s="260"/>
      <c r="J1119" s="260"/>
      <c r="K1119" s="260"/>
      <c r="L1119" s="260"/>
      <c r="M1119" s="260"/>
      <c r="N1119" s="260"/>
      <c r="O1119" s="235"/>
      <c r="P1119" s="235"/>
      <c r="Q1119" s="235"/>
    </row>
    <row r="1120" spans="2:17">
      <c r="B1120" s="241"/>
      <c r="C1120" s="241"/>
      <c r="D1120" s="241"/>
      <c r="E1120" s="241"/>
      <c r="F1120" s="260"/>
      <c r="G1120" s="260"/>
      <c r="H1120" s="260"/>
      <c r="I1120" s="260"/>
      <c r="J1120" s="260"/>
      <c r="K1120" s="260"/>
      <c r="L1120" s="260"/>
      <c r="M1120" s="260"/>
      <c r="N1120" s="260"/>
      <c r="O1120" s="235"/>
      <c r="P1120" s="235"/>
      <c r="Q1120" s="235"/>
    </row>
    <row r="1121" spans="2:17">
      <c r="B1121" s="241"/>
      <c r="C1121" s="241"/>
      <c r="D1121" s="241"/>
      <c r="E1121" s="241"/>
      <c r="F1121" s="260"/>
      <c r="G1121" s="260"/>
      <c r="H1121" s="260"/>
      <c r="I1121" s="260"/>
      <c r="J1121" s="260"/>
      <c r="K1121" s="260"/>
      <c r="L1121" s="260"/>
      <c r="M1121" s="260"/>
      <c r="N1121" s="260"/>
      <c r="O1121" s="235"/>
      <c r="P1121" s="235"/>
      <c r="Q1121" s="235"/>
    </row>
    <row r="1122" spans="2:17">
      <c r="B1122" s="241"/>
      <c r="C1122" s="241"/>
      <c r="D1122" s="241"/>
      <c r="E1122" s="241"/>
      <c r="F1122" s="260"/>
      <c r="G1122" s="260"/>
      <c r="H1122" s="260"/>
      <c r="I1122" s="260"/>
      <c r="J1122" s="260"/>
      <c r="K1122" s="260"/>
      <c r="L1122" s="260"/>
      <c r="M1122" s="260"/>
      <c r="N1122" s="260"/>
      <c r="O1122" s="235"/>
      <c r="P1122" s="235"/>
      <c r="Q1122" s="235"/>
    </row>
    <row r="1123" spans="2:17">
      <c r="B1123" s="241"/>
      <c r="C1123" s="241"/>
      <c r="D1123" s="241"/>
      <c r="E1123" s="241"/>
      <c r="F1123" s="260"/>
      <c r="G1123" s="260"/>
      <c r="H1123" s="260"/>
      <c r="I1123" s="260"/>
      <c r="J1123" s="260"/>
      <c r="K1123" s="260"/>
      <c r="L1123" s="260"/>
      <c r="M1123" s="260"/>
      <c r="N1123" s="260"/>
      <c r="O1123" s="235"/>
      <c r="P1123" s="235"/>
      <c r="Q1123" s="235"/>
    </row>
    <row r="1124" spans="2:17">
      <c r="B1124" s="241"/>
      <c r="C1124" s="241"/>
      <c r="D1124" s="241"/>
      <c r="E1124" s="241"/>
      <c r="F1124" s="260"/>
      <c r="G1124" s="260"/>
      <c r="H1124" s="260"/>
      <c r="I1124" s="260"/>
      <c r="J1124" s="260"/>
      <c r="K1124" s="260"/>
      <c r="L1124" s="260"/>
      <c r="M1124" s="260"/>
      <c r="N1124" s="260"/>
      <c r="O1124" s="235"/>
      <c r="P1124" s="235"/>
      <c r="Q1124" s="235"/>
    </row>
    <row r="1125" spans="2:17">
      <c r="B1125" s="241"/>
      <c r="C1125" s="241"/>
      <c r="D1125" s="241"/>
      <c r="E1125" s="241"/>
      <c r="F1125" s="260"/>
      <c r="G1125" s="260"/>
      <c r="H1125" s="260"/>
      <c r="I1125" s="260"/>
      <c r="J1125" s="260"/>
      <c r="K1125" s="260"/>
      <c r="L1125" s="260"/>
      <c r="M1125" s="260"/>
      <c r="N1125" s="260"/>
      <c r="O1125" s="235"/>
      <c r="P1125" s="235"/>
      <c r="Q1125" s="235"/>
    </row>
    <row r="1126" spans="2:17">
      <c r="B1126" s="241"/>
      <c r="C1126" s="241"/>
      <c r="D1126" s="241"/>
      <c r="E1126" s="241"/>
      <c r="F1126" s="260"/>
      <c r="G1126" s="260"/>
      <c r="H1126" s="260"/>
      <c r="I1126" s="260"/>
      <c r="J1126" s="260"/>
      <c r="K1126" s="260"/>
      <c r="L1126" s="260"/>
      <c r="M1126" s="260"/>
      <c r="N1126" s="260"/>
      <c r="O1126" s="235"/>
      <c r="P1126" s="235"/>
      <c r="Q1126" s="235"/>
    </row>
    <row r="1127" spans="2:17">
      <c r="B1127" s="241"/>
      <c r="C1127" s="241"/>
      <c r="D1127" s="241"/>
      <c r="E1127" s="241"/>
      <c r="F1127" s="260"/>
      <c r="G1127" s="260"/>
      <c r="H1127" s="260"/>
      <c r="I1127" s="260"/>
      <c r="J1127" s="260"/>
      <c r="K1127" s="260"/>
      <c r="L1127" s="260"/>
      <c r="M1127" s="260"/>
      <c r="N1127" s="260"/>
      <c r="O1127" s="235"/>
      <c r="P1127" s="235"/>
      <c r="Q1127" s="235"/>
    </row>
    <row r="1128" spans="2:17">
      <c r="B1128" s="241"/>
      <c r="C1128" s="241"/>
      <c r="D1128" s="241"/>
      <c r="E1128" s="241"/>
      <c r="F1128" s="260"/>
      <c r="G1128" s="260"/>
      <c r="H1128" s="260"/>
      <c r="I1128" s="260"/>
      <c r="J1128" s="260"/>
      <c r="K1128" s="260"/>
      <c r="L1128" s="260"/>
      <c r="M1128" s="260"/>
      <c r="N1128" s="260"/>
      <c r="O1128" s="235"/>
      <c r="P1128" s="235"/>
      <c r="Q1128" s="235"/>
    </row>
    <row r="1129" spans="2:17">
      <c r="B1129" s="241"/>
      <c r="C1129" s="241"/>
      <c r="D1129" s="241"/>
      <c r="E1129" s="241"/>
      <c r="F1129" s="260"/>
      <c r="G1129" s="260"/>
      <c r="H1129" s="260"/>
      <c r="I1129" s="260"/>
      <c r="J1129" s="260"/>
      <c r="K1129" s="260"/>
      <c r="L1129" s="260"/>
      <c r="M1129" s="260"/>
      <c r="N1129" s="260"/>
      <c r="O1129" s="235"/>
      <c r="P1129" s="235"/>
      <c r="Q1129" s="235"/>
    </row>
    <row r="1130" spans="2:17">
      <c r="B1130" s="241"/>
      <c r="C1130" s="241"/>
      <c r="D1130" s="241"/>
      <c r="E1130" s="241"/>
      <c r="F1130" s="260"/>
      <c r="G1130" s="260"/>
      <c r="H1130" s="260"/>
      <c r="I1130" s="260"/>
      <c r="J1130" s="260"/>
      <c r="K1130" s="260"/>
      <c r="L1130" s="260"/>
      <c r="M1130" s="260"/>
      <c r="N1130" s="260"/>
      <c r="O1130" s="235"/>
      <c r="P1130" s="235"/>
      <c r="Q1130" s="235"/>
    </row>
    <row r="1131" spans="2:17">
      <c r="B1131" s="241"/>
      <c r="C1131" s="241"/>
      <c r="D1131" s="241"/>
      <c r="E1131" s="241"/>
      <c r="F1131" s="260"/>
      <c r="G1131" s="260"/>
      <c r="H1131" s="260"/>
      <c r="I1131" s="260"/>
      <c r="J1131" s="260"/>
      <c r="K1131" s="260"/>
      <c r="L1131" s="260"/>
      <c r="M1131" s="260"/>
      <c r="N1131" s="260"/>
      <c r="O1131" s="235"/>
      <c r="P1131" s="235"/>
      <c r="Q1131" s="235"/>
    </row>
    <row r="1132" spans="2:17">
      <c r="B1132" s="241"/>
      <c r="C1132" s="241"/>
      <c r="D1132" s="241"/>
      <c r="E1132" s="241"/>
      <c r="F1132" s="260"/>
      <c r="G1132" s="260"/>
      <c r="H1132" s="260"/>
      <c r="I1132" s="260"/>
      <c r="J1132" s="260"/>
      <c r="K1132" s="260"/>
      <c r="L1132" s="260"/>
      <c r="M1132" s="260"/>
      <c r="N1132" s="260"/>
      <c r="O1132" s="235"/>
      <c r="P1132" s="235"/>
      <c r="Q1132" s="235"/>
    </row>
    <row r="1133" spans="2:17">
      <c r="B1133" s="241"/>
      <c r="C1133" s="241"/>
      <c r="D1133" s="241"/>
      <c r="E1133" s="241"/>
      <c r="F1133" s="260"/>
      <c r="G1133" s="260"/>
      <c r="H1133" s="260"/>
      <c r="I1133" s="260"/>
      <c r="J1133" s="260"/>
      <c r="K1133" s="260"/>
      <c r="L1133" s="260"/>
      <c r="M1133" s="260"/>
      <c r="N1133" s="260"/>
      <c r="O1133" s="235"/>
      <c r="P1133" s="235"/>
      <c r="Q1133" s="235"/>
    </row>
    <row r="1134" spans="2:17">
      <c r="B1134" s="241"/>
      <c r="C1134" s="241"/>
      <c r="D1134" s="241"/>
      <c r="E1134" s="241"/>
      <c r="F1134" s="260"/>
      <c r="G1134" s="260"/>
      <c r="H1134" s="260"/>
      <c r="I1134" s="260"/>
      <c r="J1134" s="260"/>
      <c r="K1134" s="260"/>
      <c r="L1134" s="260"/>
      <c r="M1134" s="260"/>
      <c r="N1134" s="260"/>
      <c r="O1134" s="235"/>
      <c r="P1134" s="235"/>
      <c r="Q1134" s="235"/>
    </row>
    <row r="1135" spans="2:17">
      <c r="B1135" s="241"/>
      <c r="C1135" s="241"/>
      <c r="D1135" s="241"/>
      <c r="E1135" s="241"/>
      <c r="F1135" s="260"/>
      <c r="G1135" s="260"/>
      <c r="H1135" s="260"/>
      <c r="I1135" s="260"/>
      <c r="J1135" s="260"/>
      <c r="K1135" s="260"/>
      <c r="L1135" s="260"/>
      <c r="M1135" s="260"/>
      <c r="N1135" s="260"/>
      <c r="O1135" s="235"/>
      <c r="P1135" s="235"/>
      <c r="Q1135" s="235"/>
    </row>
    <row r="1136" spans="2:17">
      <c r="B1136" s="241"/>
      <c r="C1136" s="241"/>
      <c r="D1136" s="241"/>
      <c r="E1136" s="241"/>
      <c r="F1136" s="260"/>
      <c r="G1136" s="260"/>
      <c r="H1136" s="260"/>
      <c r="I1136" s="260"/>
      <c r="J1136" s="260"/>
      <c r="K1136" s="260"/>
      <c r="L1136" s="260"/>
      <c r="M1136" s="260"/>
      <c r="N1136" s="260"/>
      <c r="O1136" s="235"/>
      <c r="P1136" s="235"/>
      <c r="Q1136" s="235"/>
    </row>
    <row r="1137" spans="2:17">
      <c r="B1137" s="241"/>
      <c r="C1137" s="241"/>
      <c r="D1137" s="241"/>
      <c r="E1137" s="241"/>
      <c r="F1137" s="260"/>
      <c r="G1137" s="260"/>
      <c r="H1137" s="260"/>
      <c r="I1137" s="260"/>
      <c r="J1137" s="260"/>
      <c r="K1137" s="260"/>
      <c r="L1137" s="260"/>
      <c r="M1137" s="260"/>
      <c r="N1137" s="260"/>
      <c r="O1137" s="235"/>
      <c r="P1137" s="235"/>
      <c r="Q1137" s="235"/>
    </row>
    <row r="1138" spans="2:17">
      <c r="B1138" s="241"/>
      <c r="C1138" s="241"/>
      <c r="D1138" s="241"/>
      <c r="E1138" s="241"/>
      <c r="F1138" s="260"/>
      <c r="G1138" s="260"/>
      <c r="H1138" s="260"/>
      <c r="I1138" s="260"/>
      <c r="J1138" s="260"/>
      <c r="K1138" s="260"/>
      <c r="L1138" s="260"/>
      <c r="M1138" s="260"/>
      <c r="N1138" s="260"/>
      <c r="O1138" s="235"/>
      <c r="P1138" s="235"/>
      <c r="Q1138" s="235"/>
    </row>
    <row r="1139" spans="2:17">
      <c r="B1139" s="241"/>
      <c r="C1139" s="241"/>
      <c r="D1139" s="241"/>
      <c r="E1139" s="241"/>
      <c r="F1139" s="260"/>
      <c r="G1139" s="260"/>
      <c r="H1139" s="260"/>
      <c r="I1139" s="260"/>
      <c r="J1139" s="260"/>
      <c r="K1139" s="260"/>
      <c r="L1139" s="260"/>
      <c r="M1139" s="260"/>
      <c r="N1139" s="260"/>
      <c r="O1139" s="235"/>
      <c r="P1139" s="235"/>
      <c r="Q1139" s="235"/>
    </row>
    <row r="1140" spans="2:17">
      <c r="B1140" s="241"/>
      <c r="C1140" s="241"/>
      <c r="D1140" s="241"/>
      <c r="E1140" s="241"/>
      <c r="F1140" s="260"/>
      <c r="G1140" s="260"/>
      <c r="H1140" s="260"/>
      <c r="I1140" s="260"/>
      <c r="J1140" s="260"/>
      <c r="K1140" s="260"/>
      <c r="L1140" s="260"/>
      <c r="M1140" s="260"/>
      <c r="N1140" s="260"/>
      <c r="O1140" s="235"/>
      <c r="P1140" s="235"/>
      <c r="Q1140" s="235"/>
    </row>
    <row r="1141" spans="2:17">
      <c r="B1141" s="241"/>
      <c r="C1141" s="241"/>
      <c r="D1141" s="241"/>
      <c r="E1141" s="241"/>
      <c r="F1141" s="260"/>
      <c r="G1141" s="260"/>
      <c r="H1141" s="260"/>
      <c r="I1141" s="260"/>
      <c r="J1141" s="260"/>
      <c r="K1141" s="260"/>
      <c r="L1141" s="260"/>
      <c r="M1141" s="260"/>
      <c r="N1141" s="260"/>
      <c r="O1141" s="235"/>
      <c r="P1141" s="235"/>
      <c r="Q1141" s="235"/>
    </row>
    <row r="1142" spans="2:17">
      <c r="B1142" s="241"/>
      <c r="C1142" s="241"/>
      <c r="D1142" s="241"/>
      <c r="E1142" s="241"/>
      <c r="F1142" s="260"/>
      <c r="G1142" s="260"/>
      <c r="H1142" s="260"/>
      <c r="I1142" s="260"/>
      <c r="J1142" s="260"/>
      <c r="K1142" s="260"/>
      <c r="L1142" s="260"/>
      <c r="M1142" s="260"/>
      <c r="N1142" s="260"/>
      <c r="O1142" s="235"/>
      <c r="P1142" s="235"/>
      <c r="Q1142" s="235"/>
    </row>
    <row r="1143" spans="2:17">
      <c r="B1143" s="241"/>
      <c r="C1143" s="241"/>
      <c r="D1143" s="241"/>
      <c r="E1143" s="241"/>
      <c r="F1143" s="260"/>
      <c r="G1143" s="260"/>
      <c r="H1143" s="260"/>
      <c r="I1143" s="260"/>
      <c r="J1143" s="260"/>
      <c r="K1143" s="260"/>
      <c r="L1143" s="260"/>
      <c r="M1143" s="260"/>
      <c r="N1143" s="260"/>
      <c r="O1143" s="235"/>
      <c r="P1143" s="235"/>
      <c r="Q1143" s="235"/>
    </row>
    <row r="1144" spans="2:17">
      <c r="B1144" s="241"/>
      <c r="C1144" s="241"/>
      <c r="D1144" s="241"/>
      <c r="E1144" s="241"/>
      <c r="F1144" s="260"/>
      <c r="G1144" s="260"/>
      <c r="H1144" s="260"/>
      <c r="I1144" s="260"/>
      <c r="J1144" s="260"/>
      <c r="K1144" s="260"/>
      <c r="L1144" s="260"/>
      <c r="M1144" s="260"/>
      <c r="N1144" s="260"/>
      <c r="O1144" s="235"/>
      <c r="P1144" s="235"/>
      <c r="Q1144" s="235"/>
    </row>
    <row r="1145" spans="2:17">
      <c r="B1145" s="241"/>
      <c r="C1145" s="241"/>
      <c r="D1145" s="241"/>
      <c r="E1145" s="241"/>
      <c r="F1145" s="260"/>
      <c r="G1145" s="260"/>
      <c r="H1145" s="260"/>
      <c r="I1145" s="260"/>
      <c r="J1145" s="260"/>
      <c r="K1145" s="260"/>
      <c r="L1145" s="260"/>
      <c r="M1145" s="260"/>
      <c r="N1145" s="260"/>
      <c r="O1145" s="235"/>
      <c r="P1145" s="235"/>
      <c r="Q1145" s="235"/>
    </row>
    <row r="1146" spans="2:17">
      <c r="B1146" s="241"/>
      <c r="C1146" s="241"/>
      <c r="D1146" s="241"/>
      <c r="E1146" s="241"/>
      <c r="F1146" s="260"/>
      <c r="G1146" s="260"/>
      <c r="H1146" s="260"/>
      <c r="I1146" s="260"/>
      <c r="J1146" s="260"/>
      <c r="K1146" s="260"/>
      <c r="L1146" s="260"/>
      <c r="M1146" s="260"/>
      <c r="N1146" s="260"/>
      <c r="O1146" s="235"/>
      <c r="P1146" s="235"/>
      <c r="Q1146" s="235"/>
    </row>
    <row r="1147" spans="2:17">
      <c r="B1147" s="241"/>
      <c r="C1147" s="241"/>
      <c r="D1147" s="241"/>
      <c r="E1147" s="241"/>
      <c r="F1147" s="260"/>
      <c r="G1147" s="260"/>
      <c r="H1147" s="260"/>
      <c r="I1147" s="260"/>
      <c r="J1147" s="260"/>
      <c r="K1147" s="260"/>
      <c r="L1147" s="260"/>
      <c r="M1147" s="260"/>
      <c r="N1147" s="260"/>
      <c r="O1147" s="235"/>
      <c r="P1147" s="235"/>
      <c r="Q1147" s="235"/>
    </row>
    <row r="1148" spans="2:17">
      <c r="B1148" s="241"/>
      <c r="C1148" s="241"/>
      <c r="D1148" s="241"/>
      <c r="E1148" s="241"/>
      <c r="F1148" s="260"/>
      <c r="G1148" s="260"/>
      <c r="H1148" s="260"/>
      <c r="I1148" s="260"/>
      <c r="J1148" s="260"/>
      <c r="K1148" s="260"/>
      <c r="L1148" s="260"/>
      <c r="M1148" s="260"/>
      <c r="N1148" s="260"/>
      <c r="O1148" s="235"/>
      <c r="P1148" s="235"/>
      <c r="Q1148" s="235"/>
    </row>
    <row r="1149" spans="2:17">
      <c r="B1149" s="241"/>
      <c r="C1149" s="241"/>
      <c r="D1149" s="241"/>
      <c r="E1149" s="241"/>
      <c r="F1149" s="260"/>
      <c r="G1149" s="260"/>
      <c r="H1149" s="260"/>
      <c r="I1149" s="260"/>
      <c r="J1149" s="260"/>
      <c r="K1149" s="260"/>
      <c r="L1149" s="260"/>
      <c r="M1149" s="260"/>
      <c r="N1149" s="260"/>
      <c r="O1149" s="235"/>
      <c r="P1149" s="235"/>
      <c r="Q1149" s="235"/>
    </row>
    <row r="1150" spans="2:17">
      <c r="B1150" s="241"/>
      <c r="C1150" s="241"/>
      <c r="D1150" s="241"/>
      <c r="E1150" s="241"/>
      <c r="F1150" s="260"/>
      <c r="G1150" s="260"/>
      <c r="H1150" s="260"/>
      <c r="I1150" s="260"/>
      <c r="J1150" s="260"/>
      <c r="K1150" s="260"/>
      <c r="L1150" s="260"/>
      <c r="M1150" s="260"/>
      <c r="N1150" s="260"/>
      <c r="O1150" s="235"/>
      <c r="P1150" s="235"/>
      <c r="Q1150" s="235"/>
    </row>
    <row r="1151" spans="2:17">
      <c r="B1151" s="241"/>
      <c r="C1151" s="241"/>
      <c r="D1151" s="241"/>
      <c r="E1151" s="241"/>
      <c r="F1151" s="260"/>
      <c r="G1151" s="260"/>
      <c r="H1151" s="260"/>
      <c r="I1151" s="260"/>
      <c r="J1151" s="260"/>
      <c r="K1151" s="260"/>
      <c r="L1151" s="260"/>
      <c r="M1151" s="260"/>
      <c r="N1151" s="260"/>
      <c r="O1151" s="235"/>
      <c r="P1151" s="235"/>
      <c r="Q1151" s="235"/>
    </row>
    <row r="1152" spans="2:17">
      <c r="B1152" s="241"/>
      <c r="C1152" s="241"/>
      <c r="D1152" s="241"/>
      <c r="E1152" s="241"/>
      <c r="F1152" s="260"/>
      <c r="G1152" s="260"/>
      <c r="H1152" s="260"/>
      <c r="I1152" s="260"/>
      <c r="J1152" s="260"/>
      <c r="K1152" s="260"/>
      <c r="L1152" s="260"/>
      <c r="M1152" s="260"/>
      <c r="N1152" s="260"/>
      <c r="O1152" s="235"/>
      <c r="P1152" s="235"/>
      <c r="Q1152" s="235"/>
    </row>
    <row r="1153" spans="2:17">
      <c r="B1153" s="241"/>
      <c r="C1153" s="241"/>
      <c r="D1153" s="241"/>
      <c r="E1153" s="241"/>
      <c r="F1153" s="260"/>
      <c r="G1153" s="260"/>
      <c r="H1153" s="260"/>
      <c r="I1153" s="260"/>
      <c r="J1153" s="260"/>
      <c r="K1153" s="260"/>
      <c r="L1153" s="260"/>
      <c r="M1153" s="260"/>
      <c r="N1153" s="260"/>
      <c r="O1153" s="235"/>
      <c r="P1153" s="235"/>
      <c r="Q1153" s="235"/>
    </row>
    <row r="1154" spans="2:17">
      <c r="B1154" s="241"/>
      <c r="C1154" s="241"/>
      <c r="D1154" s="241"/>
      <c r="E1154" s="241"/>
      <c r="F1154" s="260"/>
      <c r="G1154" s="260"/>
      <c r="H1154" s="260"/>
      <c r="I1154" s="260"/>
      <c r="J1154" s="260"/>
      <c r="K1154" s="260"/>
      <c r="L1154" s="260"/>
      <c r="M1154" s="260"/>
      <c r="N1154" s="260"/>
      <c r="O1154" s="235"/>
      <c r="P1154" s="235"/>
      <c r="Q1154" s="235"/>
    </row>
    <row r="1155" spans="2:17">
      <c r="B1155" s="241"/>
      <c r="C1155" s="241"/>
      <c r="D1155" s="241"/>
      <c r="E1155" s="241"/>
      <c r="F1155" s="260"/>
      <c r="G1155" s="260"/>
      <c r="H1155" s="260"/>
      <c r="I1155" s="260"/>
      <c r="J1155" s="260"/>
      <c r="K1155" s="260"/>
      <c r="L1155" s="260"/>
      <c r="M1155" s="260"/>
      <c r="N1155" s="260"/>
      <c r="O1155" s="235"/>
      <c r="P1155" s="235"/>
      <c r="Q1155" s="235"/>
    </row>
    <row r="1156" spans="2:17">
      <c r="B1156" s="241"/>
      <c r="C1156" s="241"/>
      <c r="D1156" s="241"/>
      <c r="E1156" s="241"/>
      <c r="F1156" s="260"/>
      <c r="G1156" s="260"/>
      <c r="H1156" s="260"/>
      <c r="I1156" s="260"/>
      <c r="J1156" s="260"/>
      <c r="K1156" s="260"/>
      <c r="L1156" s="260"/>
      <c r="M1156" s="260"/>
      <c r="N1156" s="260"/>
      <c r="O1156" s="235"/>
      <c r="P1156" s="235"/>
      <c r="Q1156" s="235"/>
    </row>
    <row r="1157" spans="2:17">
      <c r="B1157" s="241"/>
      <c r="C1157" s="241"/>
      <c r="D1157" s="241"/>
      <c r="E1157" s="241"/>
      <c r="F1157" s="260"/>
      <c r="G1157" s="260"/>
      <c r="H1157" s="260"/>
      <c r="I1157" s="260"/>
      <c r="J1157" s="260"/>
      <c r="K1157" s="260"/>
      <c r="L1157" s="260"/>
      <c r="M1157" s="260"/>
      <c r="N1157" s="260"/>
      <c r="O1157" s="235"/>
      <c r="P1157" s="235"/>
      <c r="Q1157" s="235"/>
    </row>
    <row r="1158" spans="2:17">
      <c r="B1158" s="241"/>
      <c r="C1158" s="241"/>
      <c r="D1158" s="241"/>
      <c r="E1158" s="241"/>
      <c r="F1158" s="260"/>
      <c r="G1158" s="260"/>
      <c r="H1158" s="260"/>
      <c r="I1158" s="260"/>
      <c r="J1158" s="260"/>
      <c r="K1158" s="260"/>
      <c r="L1158" s="260"/>
      <c r="M1158" s="260"/>
      <c r="N1158" s="260"/>
      <c r="O1158" s="235"/>
      <c r="P1158" s="235"/>
      <c r="Q1158" s="235"/>
    </row>
    <row r="1159" spans="2:17">
      <c r="B1159" s="241"/>
      <c r="C1159" s="241"/>
      <c r="D1159" s="241"/>
      <c r="E1159" s="241"/>
      <c r="F1159" s="260"/>
      <c r="G1159" s="260"/>
      <c r="H1159" s="260"/>
      <c r="I1159" s="260"/>
      <c r="J1159" s="260"/>
      <c r="K1159" s="260"/>
      <c r="L1159" s="260"/>
      <c r="M1159" s="260"/>
      <c r="N1159" s="260"/>
      <c r="O1159" s="235"/>
      <c r="P1159" s="235"/>
      <c r="Q1159" s="235"/>
    </row>
    <row r="1160" spans="2:17">
      <c r="B1160" s="241"/>
      <c r="C1160" s="241"/>
      <c r="D1160" s="241"/>
      <c r="E1160" s="241"/>
      <c r="F1160" s="260"/>
      <c r="G1160" s="260"/>
      <c r="H1160" s="260"/>
      <c r="I1160" s="260"/>
      <c r="J1160" s="260"/>
      <c r="K1160" s="260"/>
      <c r="L1160" s="260"/>
      <c r="M1160" s="260"/>
      <c r="N1160" s="260"/>
      <c r="O1160" s="235"/>
      <c r="P1160" s="235"/>
      <c r="Q1160" s="235"/>
    </row>
    <row r="1161" spans="2:17">
      <c r="B1161" s="241"/>
      <c r="C1161" s="241"/>
      <c r="D1161" s="241"/>
      <c r="E1161" s="241"/>
      <c r="F1161" s="260"/>
      <c r="G1161" s="260"/>
      <c r="H1161" s="260"/>
      <c r="I1161" s="260"/>
      <c r="J1161" s="260"/>
      <c r="K1161" s="260"/>
      <c r="L1161" s="260"/>
      <c r="M1161" s="260"/>
      <c r="N1161" s="260"/>
      <c r="O1161" s="235"/>
      <c r="P1161" s="235"/>
      <c r="Q1161" s="235"/>
    </row>
    <row r="1162" spans="2:17">
      <c r="B1162" s="241"/>
      <c r="C1162" s="241"/>
      <c r="D1162" s="241"/>
      <c r="E1162" s="241"/>
      <c r="F1162" s="260"/>
      <c r="G1162" s="260"/>
      <c r="H1162" s="260"/>
      <c r="I1162" s="260"/>
      <c r="J1162" s="260"/>
      <c r="K1162" s="260"/>
      <c r="L1162" s="260"/>
      <c r="M1162" s="260"/>
      <c r="N1162" s="260"/>
      <c r="O1162" s="235"/>
      <c r="P1162" s="235"/>
      <c r="Q1162" s="235"/>
    </row>
    <row r="1163" spans="2:17">
      <c r="B1163" s="241"/>
      <c r="C1163" s="241"/>
      <c r="D1163" s="241"/>
      <c r="E1163" s="241"/>
      <c r="F1163" s="260"/>
      <c r="G1163" s="260"/>
      <c r="H1163" s="260"/>
      <c r="I1163" s="260"/>
      <c r="J1163" s="260"/>
      <c r="K1163" s="260"/>
      <c r="L1163" s="260"/>
      <c r="M1163" s="260"/>
      <c r="N1163" s="260"/>
      <c r="O1163" s="235"/>
      <c r="P1163" s="235"/>
      <c r="Q1163" s="235"/>
    </row>
    <row r="1164" spans="2:17">
      <c r="B1164" s="241"/>
      <c r="C1164" s="241"/>
      <c r="D1164" s="241"/>
      <c r="E1164" s="241"/>
      <c r="F1164" s="260"/>
      <c r="G1164" s="260"/>
      <c r="H1164" s="260"/>
      <c r="I1164" s="260"/>
      <c r="J1164" s="260"/>
      <c r="K1164" s="260"/>
      <c r="L1164" s="260"/>
      <c r="M1164" s="260"/>
      <c r="N1164" s="260"/>
      <c r="O1164" s="235"/>
      <c r="P1164" s="235"/>
      <c r="Q1164" s="235"/>
    </row>
    <row r="1165" spans="2:17">
      <c r="B1165" s="241"/>
      <c r="C1165" s="241"/>
      <c r="D1165" s="241"/>
      <c r="E1165" s="241"/>
      <c r="F1165" s="260"/>
      <c r="G1165" s="260"/>
      <c r="H1165" s="260"/>
      <c r="I1165" s="260"/>
      <c r="J1165" s="260"/>
      <c r="K1165" s="260"/>
      <c r="L1165" s="260"/>
      <c r="M1165" s="260"/>
      <c r="N1165" s="260"/>
      <c r="O1165" s="235"/>
      <c r="P1165" s="235"/>
      <c r="Q1165" s="235"/>
    </row>
    <row r="1166" spans="2:17">
      <c r="B1166" s="241"/>
      <c r="C1166" s="241"/>
      <c r="D1166" s="241"/>
      <c r="E1166" s="241"/>
      <c r="F1166" s="260"/>
      <c r="G1166" s="260"/>
      <c r="H1166" s="260"/>
      <c r="I1166" s="260"/>
      <c r="J1166" s="260"/>
      <c r="K1166" s="260"/>
      <c r="L1166" s="260"/>
      <c r="M1166" s="260"/>
      <c r="N1166" s="260"/>
      <c r="O1166" s="235"/>
      <c r="P1166" s="235"/>
      <c r="Q1166" s="235"/>
    </row>
    <row r="1167" spans="2:17">
      <c r="B1167" s="241"/>
      <c r="C1167" s="241"/>
      <c r="D1167" s="241"/>
      <c r="E1167" s="241"/>
      <c r="F1167" s="260"/>
      <c r="G1167" s="260"/>
      <c r="H1167" s="260"/>
      <c r="I1167" s="260"/>
      <c r="J1167" s="260"/>
      <c r="K1167" s="260"/>
      <c r="L1167" s="260"/>
      <c r="M1167" s="260"/>
      <c r="N1167" s="260"/>
      <c r="O1167" s="235"/>
      <c r="P1167" s="235"/>
      <c r="Q1167" s="235"/>
    </row>
    <row r="1168" spans="2:17">
      <c r="B1168" s="241"/>
      <c r="C1168" s="241"/>
      <c r="D1168" s="241"/>
      <c r="E1168" s="241"/>
      <c r="F1168" s="260"/>
      <c r="G1168" s="260"/>
      <c r="H1168" s="260"/>
      <c r="I1168" s="260"/>
      <c r="J1168" s="260"/>
      <c r="K1168" s="260"/>
      <c r="L1168" s="260"/>
      <c r="M1168" s="260"/>
      <c r="N1168" s="260"/>
      <c r="O1168" s="235"/>
      <c r="P1168" s="235"/>
      <c r="Q1168" s="235"/>
    </row>
    <row r="1169" spans="2:17">
      <c r="B1169" s="241"/>
      <c r="C1169" s="241"/>
      <c r="D1169" s="241"/>
      <c r="E1169" s="241"/>
      <c r="F1169" s="260"/>
      <c r="G1169" s="260"/>
      <c r="H1169" s="260"/>
      <c r="I1169" s="260"/>
      <c r="J1169" s="260"/>
      <c r="K1169" s="260"/>
      <c r="L1169" s="260"/>
      <c r="M1169" s="260"/>
      <c r="N1169" s="260"/>
      <c r="O1169" s="235"/>
      <c r="P1169" s="235"/>
      <c r="Q1169" s="235"/>
    </row>
    <row r="1170" spans="2:17">
      <c r="B1170" s="241"/>
      <c r="C1170" s="241"/>
      <c r="D1170" s="241"/>
      <c r="E1170" s="241"/>
      <c r="F1170" s="260"/>
      <c r="G1170" s="260"/>
      <c r="H1170" s="260"/>
      <c r="I1170" s="260"/>
      <c r="J1170" s="260"/>
      <c r="K1170" s="260"/>
      <c r="L1170" s="260"/>
      <c r="M1170" s="260"/>
      <c r="N1170" s="260"/>
      <c r="O1170" s="235"/>
      <c r="P1170" s="235"/>
      <c r="Q1170" s="235"/>
    </row>
    <row r="1171" spans="2:17">
      <c r="B1171" s="241"/>
      <c r="C1171" s="241"/>
      <c r="D1171" s="241"/>
      <c r="E1171" s="241"/>
      <c r="F1171" s="260"/>
      <c r="G1171" s="260"/>
      <c r="H1171" s="260"/>
      <c r="I1171" s="260"/>
      <c r="J1171" s="260"/>
      <c r="K1171" s="260"/>
      <c r="L1171" s="260"/>
      <c r="M1171" s="260"/>
      <c r="N1171" s="260"/>
      <c r="O1171" s="235"/>
      <c r="P1171" s="235"/>
      <c r="Q1171" s="235"/>
    </row>
    <row r="1172" spans="2:17">
      <c r="B1172" s="241"/>
      <c r="C1172" s="241"/>
      <c r="D1172" s="241"/>
      <c r="E1172" s="241"/>
      <c r="F1172" s="260"/>
      <c r="G1172" s="260"/>
      <c r="H1172" s="260"/>
      <c r="I1172" s="260"/>
      <c r="J1172" s="260"/>
      <c r="K1172" s="260"/>
      <c r="L1172" s="260"/>
      <c r="M1172" s="260"/>
      <c r="N1172" s="260"/>
      <c r="O1172" s="235"/>
      <c r="P1172" s="235"/>
      <c r="Q1172" s="235"/>
    </row>
    <row r="1173" spans="2:17">
      <c r="B1173" s="241"/>
      <c r="C1173" s="241"/>
      <c r="D1173" s="241"/>
      <c r="E1173" s="241"/>
      <c r="F1173" s="260"/>
      <c r="G1173" s="260"/>
      <c r="H1173" s="260"/>
      <c r="I1173" s="260"/>
      <c r="J1173" s="260"/>
      <c r="K1173" s="260"/>
      <c r="L1173" s="260"/>
      <c r="M1173" s="260"/>
      <c r="N1173" s="260"/>
      <c r="O1173" s="235"/>
      <c r="P1173" s="235"/>
      <c r="Q1173" s="235"/>
    </row>
    <row r="1174" spans="2:17">
      <c r="B1174" s="241"/>
      <c r="C1174" s="241"/>
      <c r="D1174" s="241"/>
      <c r="E1174" s="241"/>
      <c r="F1174" s="260"/>
      <c r="G1174" s="260"/>
      <c r="H1174" s="260"/>
      <c r="I1174" s="260"/>
      <c r="J1174" s="260"/>
      <c r="K1174" s="260"/>
      <c r="L1174" s="260"/>
      <c r="M1174" s="260"/>
      <c r="N1174" s="260"/>
      <c r="O1174" s="235"/>
      <c r="P1174" s="235"/>
      <c r="Q1174" s="235"/>
    </row>
    <row r="1175" spans="2:17">
      <c r="B1175" s="241"/>
      <c r="C1175" s="241"/>
      <c r="D1175" s="241"/>
      <c r="E1175" s="241"/>
      <c r="F1175" s="260"/>
      <c r="G1175" s="260"/>
      <c r="H1175" s="260"/>
      <c r="I1175" s="260"/>
      <c r="J1175" s="260"/>
      <c r="K1175" s="260"/>
      <c r="L1175" s="260"/>
      <c r="M1175" s="260"/>
      <c r="N1175" s="260"/>
      <c r="O1175" s="235"/>
      <c r="P1175" s="235"/>
      <c r="Q1175" s="235"/>
    </row>
    <row r="1176" spans="2:17">
      <c r="B1176" s="241"/>
      <c r="C1176" s="241"/>
      <c r="D1176" s="241"/>
      <c r="E1176" s="241"/>
      <c r="F1176" s="260"/>
      <c r="G1176" s="260"/>
      <c r="H1176" s="260"/>
      <c r="I1176" s="260"/>
      <c r="J1176" s="260"/>
      <c r="K1176" s="260"/>
      <c r="L1176" s="260"/>
      <c r="M1176" s="260"/>
      <c r="N1176" s="260"/>
      <c r="O1176" s="235"/>
      <c r="P1176" s="235"/>
      <c r="Q1176" s="235"/>
    </row>
    <row r="1177" spans="2:17">
      <c r="B1177" s="241"/>
      <c r="C1177" s="241"/>
      <c r="D1177" s="241"/>
      <c r="E1177" s="241"/>
      <c r="F1177" s="260"/>
      <c r="G1177" s="260"/>
      <c r="H1177" s="260"/>
      <c r="I1177" s="260"/>
      <c r="J1177" s="260"/>
      <c r="K1177" s="260"/>
      <c r="L1177" s="260"/>
      <c r="M1177" s="260"/>
      <c r="N1177" s="260"/>
      <c r="O1177" s="235"/>
      <c r="P1177" s="235"/>
      <c r="Q1177" s="235"/>
    </row>
    <row r="1178" spans="2:17">
      <c r="B1178" s="241"/>
      <c r="C1178" s="241"/>
      <c r="D1178" s="241"/>
      <c r="E1178" s="241"/>
      <c r="F1178" s="260"/>
      <c r="G1178" s="260"/>
      <c r="H1178" s="260"/>
      <c r="I1178" s="260"/>
      <c r="J1178" s="260"/>
      <c r="K1178" s="260"/>
      <c r="L1178" s="260"/>
      <c r="M1178" s="260"/>
      <c r="N1178" s="260"/>
      <c r="O1178" s="235"/>
      <c r="P1178" s="235"/>
      <c r="Q1178" s="235"/>
    </row>
    <row r="1179" spans="2:17">
      <c r="B1179" s="241"/>
      <c r="C1179" s="241"/>
      <c r="D1179" s="241"/>
      <c r="E1179" s="241"/>
      <c r="F1179" s="260"/>
      <c r="G1179" s="260"/>
      <c r="H1179" s="260"/>
      <c r="I1179" s="260"/>
      <c r="J1179" s="260"/>
      <c r="K1179" s="260"/>
      <c r="L1179" s="260"/>
      <c r="M1179" s="260"/>
      <c r="N1179" s="260"/>
      <c r="O1179" s="235"/>
      <c r="P1179" s="235"/>
      <c r="Q1179" s="235"/>
    </row>
    <row r="1180" spans="2:17">
      <c r="B1180" s="241"/>
      <c r="C1180" s="241"/>
      <c r="D1180" s="241"/>
      <c r="E1180" s="241"/>
      <c r="F1180" s="260"/>
      <c r="G1180" s="260"/>
      <c r="H1180" s="260"/>
      <c r="I1180" s="260"/>
      <c r="J1180" s="260"/>
      <c r="K1180" s="260"/>
      <c r="L1180" s="260"/>
      <c r="M1180" s="260"/>
      <c r="N1180" s="260"/>
      <c r="O1180" s="235"/>
      <c r="P1180" s="235"/>
      <c r="Q1180" s="235"/>
    </row>
    <row r="1181" spans="2:17">
      <c r="B1181" s="241"/>
      <c r="C1181" s="241"/>
      <c r="D1181" s="241"/>
      <c r="E1181" s="241"/>
      <c r="F1181" s="260"/>
      <c r="G1181" s="260"/>
      <c r="H1181" s="260"/>
      <c r="I1181" s="260"/>
      <c r="J1181" s="260"/>
      <c r="K1181" s="260"/>
      <c r="L1181" s="260"/>
      <c r="M1181" s="260"/>
      <c r="N1181" s="260"/>
      <c r="O1181" s="235"/>
      <c r="P1181" s="235"/>
      <c r="Q1181" s="235"/>
    </row>
    <row r="1182" spans="2:17">
      <c r="B1182" s="241"/>
      <c r="C1182" s="241"/>
      <c r="D1182" s="241"/>
      <c r="E1182" s="241"/>
      <c r="F1182" s="260"/>
      <c r="G1182" s="260"/>
      <c r="H1182" s="260"/>
      <c r="I1182" s="260"/>
      <c r="J1182" s="260"/>
      <c r="K1182" s="260"/>
      <c r="L1182" s="260"/>
      <c r="M1182" s="260"/>
      <c r="N1182" s="260"/>
      <c r="O1182" s="235"/>
      <c r="P1182" s="235"/>
      <c r="Q1182" s="235"/>
    </row>
    <row r="1183" spans="2:17">
      <c r="B1183" s="241"/>
      <c r="C1183" s="241"/>
      <c r="D1183" s="241"/>
      <c r="E1183" s="241"/>
      <c r="F1183" s="260"/>
      <c r="G1183" s="260"/>
      <c r="H1183" s="260"/>
      <c r="I1183" s="260"/>
      <c r="J1183" s="260"/>
      <c r="K1183" s="260"/>
      <c r="L1183" s="260"/>
      <c r="M1183" s="260"/>
      <c r="N1183" s="260"/>
      <c r="O1183" s="235"/>
      <c r="P1183" s="235"/>
      <c r="Q1183" s="235"/>
    </row>
    <row r="1184" spans="2:17">
      <c r="B1184" s="241"/>
      <c r="C1184" s="241"/>
      <c r="D1184" s="241"/>
      <c r="E1184" s="241"/>
      <c r="F1184" s="260"/>
      <c r="G1184" s="260"/>
      <c r="H1184" s="260"/>
      <c r="I1184" s="260"/>
      <c r="J1184" s="260"/>
      <c r="K1184" s="260"/>
      <c r="L1184" s="260"/>
      <c r="M1184" s="260"/>
      <c r="N1184" s="260"/>
      <c r="O1184" s="235"/>
      <c r="P1184" s="235"/>
      <c r="Q1184" s="235"/>
    </row>
    <row r="1185" spans="2:17">
      <c r="B1185" s="241"/>
      <c r="C1185" s="241"/>
      <c r="D1185" s="241"/>
      <c r="E1185" s="241"/>
      <c r="F1185" s="260"/>
      <c r="G1185" s="260"/>
      <c r="H1185" s="260"/>
      <c r="I1185" s="260"/>
      <c r="J1185" s="260"/>
      <c r="K1185" s="260"/>
      <c r="L1185" s="260"/>
      <c r="M1185" s="260"/>
      <c r="N1185" s="260"/>
      <c r="O1185" s="235"/>
      <c r="P1185" s="235"/>
      <c r="Q1185" s="235"/>
    </row>
    <row r="1186" spans="2:17">
      <c r="B1186" s="241"/>
      <c r="C1186" s="241"/>
      <c r="D1186" s="241"/>
      <c r="E1186" s="241"/>
      <c r="F1186" s="260"/>
      <c r="G1186" s="260"/>
      <c r="H1186" s="260"/>
      <c r="I1186" s="260"/>
      <c r="J1186" s="260"/>
      <c r="K1186" s="260"/>
      <c r="L1186" s="260"/>
      <c r="M1186" s="260"/>
      <c r="N1186" s="260"/>
      <c r="O1186" s="235"/>
      <c r="P1186" s="235"/>
      <c r="Q1186" s="235"/>
    </row>
    <row r="1187" spans="2:17">
      <c r="B1187" s="241"/>
      <c r="C1187" s="241"/>
      <c r="D1187" s="241"/>
      <c r="E1187" s="241"/>
      <c r="F1187" s="260"/>
      <c r="G1187" s="260"/>
      <c r="H1187" s="260"/>
      <c r="I1187" s="260"/>
      <c r="J1187" s="260"/>
      <c r="K1187" s="260"/>
      <c r="L1187" s="260"/>
      <c r="M1187" s="260"/>
      <c r="N1187" s="260"/>
      <c r="O1187" s="235"/>
      <c r="P1187" s="235"/>
      <c r="Q1187" s="235"/>
    </row>
    <row r="1188" spans="2:17">
      <c r="B1188" s="241"/>
      <c r="C1188" s="241"/>
      <c r="D1188" s="241"/>
      <c r="E1188" s="241"/>
      <c r="F1188" s="260"/>
      <c r="G1188" s="260"/>
      <c r="H1188" s="260"/>
      <c r="I1188" s="260"/>
      <c r="J1188" s="260"/>
      <c r="K1188" s="260"/>
      <c r="L1188" s="260"/>
      <c r="M1188" s="260"/>
      <c r="N1188" s="260"/>
      <c r="O1188" s="235"/>
      <c r="P1188" s="235"/>
      <c r="Q1188" s="235"/>
    </row>
    <row r="1189" spans="2:17">
      <c r="B1189" s="241"/>
      <c r="C1189" s="241"/>
      <c r="D1189" s="241"/>
      <c r="E1189" s="241"/>
      <c r="F1189" s="260"/>
      <c r="G1189" s="260"/>
      <c r="H1189" s="260"/>
      <c r="I1189" s="260"/>
      <c r="J1189" s="260"/>
      <c r="K1189" s="260"/>
      <c r="L1189" s="260"/>
      <c r="M1189" s="260"/>
      <c r="N1189" s="260"/>
      <c r="O1189" s="235"/>
      <c r="P1189" s="235"/>
      <c r="Q1189" s="235"/>
    </row>
    <row r="1190" spans="2:17">
      <c r="B1190" s="241"/>
      <c r="C1190" s="241"/>
      <c r="D1190" s="241"/>
      <c r="E1190" s="241"/>
      <c r="F1190" s="260"/>
      <c r="G1190" s="260"/>
      <c r="H1190" s="260"/>
      <c r="I1190" s="260"/>
      <c r="J1190" s="260"/>
      <c r="K1190" s="260"/>
      <c r="L1190" s="260"/>
      <c r="M1190" s="260"/>
      <c r="N1190" s="260"/>
      <c r="O1190" s="235"/>
      <c r="P1190" s="235"/>
      <c r="Q1190" s="235"/>
    </row>
    <row r="1191" spans="2:17">
      <c r="B1191" s="241"/>
      <c r="C1191" s="241"/>
      <c r="D1191" s="241"/>
      <c r="E1191" s="241"/>
      <c r="F1191" s="260"/>
      <c r="G1191" s="260"/>
      <c r="H1191" s="260"/>
      <c r="I1191" s="260"/>
      <c r="J1191" s="260"/>
      <c r="K1191" s="260"/>
      <c r="L1191" s="260"/>
      <c r="M1191" s="260"/>
      <c r="N1191" s="260"/>
      <c r="O1191" s="235"/>
      <c r="P1191" s="235"/>
      <c r="Q1191" s="235"/>
    </row>
    <row r="1192" spans="2:17">
      <c r="B1192" s="241"/>
      <c r="C1192" s="241"/>
      <c r="D1192" s="241"/>
      <c r="E1192" s="241"/>
      <c r="F1192" s="260"/>
      <c r="G1192" s="260"/>
      <c r="H1192" s="260"/>
      <c r="I1192" s="260"/>
      <c r="J1192" s="260"/>
      <c r="K1192" s="260"/>
      <c r="L1192" s="260"/>
      <c r="M1192" s="260"/>
      <c r="N1192" s="260"/>
      <c r="O1192" s="235"/>
      <c r="P1192" s="235"/>
      <c r="Q1192" s="235"/>
    </row>
    <row r="1193" spans="2:17">
      <c r="B1193" s="241"/>
      <c r="C1193" s="241"/>
      <c r="D1193" s="241"/>
      <c r="E1193" s="241"/>
      <c r="F1193" s="260"/>
      <c r="G1193" s="260"/>
      <c r="H1193" s="260"/>
      <c r="I1193" s="260"/>
      <c r="J1193" s="260"/>
      <c r="K1193" s="260"/>
      <c r="L1193" s="260"/>
      <c r="M1193" s="260"/>
      <c r="N1193" s="260"/>
      <c r="O1193" s="235"/>
      <c r="P1193" s="235"/>
      <c r="Q1193" s="235"/>
    </row>
    <row r="1194" spans="2:17">
      <c r="B1194" s="241"/>
      <c r="C1194" s="241"/>
      <c r="D1194" s="241"/>
      <c r="E1194" s="241"/>
      <c r="F1194" s="260"/>
      <c r="G1194" s="260"/>
      <c r="H1194" s="260"/>
      <c r="I1194" s="260"/>
      <c r="J1194" s="260"/>
      <c r="K1194" s="260"/>
      <c r="L1194" s="260"/>
      <c r="M1194" s="260"/>
      <c r="N1194" s="260"/>
      <c r="O1194" s="235"/>
      <c r="P1194" s="235"/>
      <c r="Q1194" s="235"/>
    </row>
    <row r="1195" spans="2:17">
      <c r="B1195" s="241"/>
      <c r="C1195" s="241"/>
      <c r="D1195" s="241"/>
      <c r="E1195" s="241"/>
      <c r="F1195" s="260"/>
      <c r="G1195" s="260"/>
      <c r="H1195" s="260"/>
      <c r="I1195" s="260"/>
      <c r="J1195" s="260"/>
      <c r="K1195" s="260"/>
      <c r="L1195" s="260"/>
      <c r="M1195" s="260"/>
      <c r="N1195" s="260"/>
      <c r="O1195" s="235"/>
      <c r="P1195" s="235"/>
      <c r="Q1195" s="235"/>
    </row>
    <row r="1196" spans="2:17">
      <c r="B1196" s="241"/>
      <c r="C1196" s="241"/>
      <c r="D1196" s="241"/>
      <c r="E1196" s="241"/>
      <c r="F1196" s="260"/>
      <c r="G1196" s="260"/>
      <c r="H1196" s="260"/>
      <c r="I1196" s="260"/>
      <c r="J1196" s="260"/>
      <c r="K1196" s="260"/>
      <c r="L1196" s="260"/>
      <c r="M1196" s="260"/>
      <c r="N1196" s="260"/>
      <c r="O1196" s="235"/>
      <c r="P1196" s="235"/>
      <c r="Q1196" s="235"/>
    </row>
    <row r="1197" spans="2:17">
      <c r="B1197" s="241"/>
      <c r="C1197" s="241"/>
      <c r="D1197" s="241"/>
      <c r="E1197" s="241"/>
      <c r="F1197" s="260"/>
      <c r="G1197" s="260"/>
      <c r="H1197" s="260"/>
      <c r="I1197" s="260"/>
      <c r="J1197" s="260"/>
      <c r="K1197" s="260"/>
      <c r="L1197" s="260"/>
      <c r="M1197" s="260"/>
      <c r="N1197" s="260"/>
      <c r="O1197" s="235"/>
      <c r="P1197" s="235"/>
      <c r="Q1197" s="235"/>
    </row>
    <row r="1198" spans="2:17">
      <c r="B1198" s="241"/>
      <c r="C1198" s="241"/>
      <c r="D1198" s="241"/>
      <c r="E1198" s="241"/>
      <c r="F1198" s="260"/>
      <c r="G1198" s="260"/>
      <c r="H1198" s="260"/>
      <c r="I1198" s="260"/>
      <c r="J1198" s="260"/>
      <c r="K1198" s="260"/>
      <c r="L1198" s="260"/>
      <c r="M1198" s="260"/>
      <c r="N1198" s="260"/>
      <c r="O1198" s="235"/>
      <c r="P1198" s="235"/>
      <c r="Q1198" s="235"/>
    </row>
    <row r="1199" spans="2:17">
      <c r="B1199" s="241"/>
      <c r="C1199" s="241"/>
      <c r="D1199" s="241"/>
      <c r="E1199" s="241"/>
      <c r="F1199" s="260"/>
      <c r="G1199" s="260"/>
      <c r="H1199" s="260"/>
      <c r="I1199" s="260"/>
      <c r="J1199" s="260"/>
      <c r="K1199" s="260"/>
      <c r="L1199" s="260"/>
      <c r="M1199" s="260"/>
      <c r="N1199" s="260"/>
      <c r="O1199" s="235"/>
      <c r="P1199" s="235"/>
      <c r="Q1199" s="235"/>
    </row>
    <row r="1200" spans="2:17">
      <c r="B1200" s="241"/>
      <c r="C1200" s="241"/>
      <c r="D1200" s="241"/>
      <c r="E1200" s="241"/>
      <c r="F1200" s="260"/>
      <c r="G1200" s="260"/>
      <c r="H1200" s="260"/>
      <c r="I1200" s="260"/>
      <c r="J1200" s="260"/>
      <c r="K1200" s="260"/>
      <c r="L1200" s="260"/>
      <c r="M1200" s="260"/>
      <c r="N1200" s="260"/>
      <c r="O1200" s="235"/>
      <c r="P1200" s="235"/>
      <c r="Q1200" s="235"/>
    </row>
    <row r="1201" spans="2:17">
      <c r="B1201" s="241"/>
      <c r="C1201" s="241"/>
      <c r="D1201" s="241"/>
      <c r="E1201" s="241"/>
      <c r="F1201" s="260"/>
      <c r="G1201" s="260"/>
      <c r="H1201" s="260"/>
      <c r="I1201" s="260"/>
      <c r="J1201" s="260"/>
      <c r="K1201" s="260"/>
      <c r="L1201" s="260"/>
      <c r="M1201" s="260"/>
      <c r="N1201" s="260"/>
      <c r="O1201" s="235"/>
      <c r="P1201" s="235"/>
      <c r="Q1201" s="235"/>
    </row>
    <row r="1202" spans="2:17">
      <c r="B1202" s="241"/>
      <c r="C1202" s="241"/>
      <c r="D1202" s="241"/>
      <c r="E1202" s="241"/>
      <c r="F1202" s="260"/>
      <c r="G1202" s="260"/>
      <c r="H1202" s="260"/>
      <c r="I1202" s="260"/>
      <c r="J1202" s="260"/>
      <c r="K1202" s="260"/>
      <c r="L1202" s="260"/>
      <c r="M1202" s="260"/>
      <c r="N1202" s="260"/>
      <c r="O1202" s="235"/>
      <c r="P1202" s="235"/>
      <c r="Q1202" s="235"/>
    </row>
    <row r="1203" spans="2:17">
      <c r="B1203" s="241"/>
      <c r="C1203" s="241"/>
      <c r="D1203" s="241"/>
      <c r="E1203" s="241"/>
      <c r="F1203" s="260"/>
      <c r="G1203" s="260"/>
      <c r="H1203" s="260"/>
      <c r="I1203" s="260"/>
      <c r="J1203" s="260"/>
      <c r="K1203" s="260"/>
      <c r="L1203" s="260"/>
      <c r="M1203" s="260"/>
      <c r="N1203" s="260"/>
      <c r="O1203" s="235"/>
      <c r="P1203" s="235"/>
      <c r="Q1203" s="235"/>
    </row>
    <row r="1204" spans="2:17">
      <c r="B1204" s="241"/>
      <c r="C1204" s="241"/>
      <c r="D1204" s="241"/>
      <c r="E1204" s="241"/>
      <c r="F1204" s="260"/>
      <c r="G1204" s="260"/>
      <c r="H1204" s="260"/>
      <c r="I1204" s="260"/>
      <c r="J1204" s="260"/>
      <c r="K1204" s="260"/>
      <c r="L1204" s="260"/>
      <c r="M1204" s="260"/>
      <c r="N1204" s="260"/>
      <c r="O1204" s="235"/>
      <c r="P1204" s="235"/>
      <c r="Q1204" s="235"/>
    </row>
    <row r="1205" spans="2:17">
      <c r="B1205" s="241"/>
      <c r="C1205" s="241"/>
      <c r="D1205" s="241"/>
      <c r="E1205" s="241"/>
      <c r="F1205" s="260"/>
      <c r="G1205" s="260"/>
      <c r="H1205" s="260"/>
      <c r="I1205" s="260"/>
      <c r="J1205" s="260"/>
      <c r="K1205" s="260"/>
      <c r="L1205" s="260"/>
      <c r="M1205" s="260"/>
      <c r="N1205" s="260"/>
      <c r="O1205" s="235"/>
      <c r="P1205" s="235"/>
      <c r="Q1205" s="235"/>
    </row>
    <row r="1206" spans="2:17">
      <c r="B1206" s="241"/>
      <c r="C1206" s="241"/>
      <c r="D1206" s="241"/>
      <c r="E1206" s="241"/>
      <c r="F1206" s="260"/>
      <c r="G1206" s="260"/>
      <c r="H1206" s="260"/>
      <c r="I1206" s="260"/>
      <c r="J1206" s="260"/>
      <c r="K1206" s="260"/>
      <c r="L1206" s="260"/>
      <c r="M1206" s="260"/>
      <c r="N1206" s="260"/>
      <c r="O1206" s="235"/>
      <c r="P1206" s="235"/>
      <c r="Q1206" s="235"/>
    </row>
    <row r="1207" spans="2:17">
      <c r="B1207" s="241"/>
      <c r="C1207" s="241"/>
      <c r="D1207" s="241"/>
      <c r="E1207" s="241"/>
      <c r="F1207" s="260"/>
      <c r="G1207" s="260"/>
      <c r="H1207" s="260"/>
      <c r="I1207" s="260"/>
      <c r="J1207" s="260"/>
      <c r="K1207" s="260"/>
      <c r="L1207" s="260"/>
      <c r="M1207" s="260"/>
      <c r="N1207" s="260"/>
      <c r="O1207" s="235"/>
      <c r="P1207" s="235"/>
      <c r="Q1207" s="235"/>
    </row>
    <row r="1208" spans="2:17">
      <c r="B1208" s="241"/>
      <c r="C1208" s="241"/>
      <c r="D1208" s="241"/>
      <c r="E1208" s="241"/>
      <c r="F1208" s="260"/>
      <c r="G1208" s="260"/>
      <c r="H1208" s="260"/>
      <c r="I1208" s="260"/>
      <c r="J1208" s="260"/>
      <c r="K1208" s="260"/>
      <c r="L1208" s="260"/>
      <c r="M1208" s="260"/>
      <c r="N1208" s="260"/>
      <c r="O1208" s="235"/>
      <c r="P1208" s="235"/>
      <c r="Q1208" s="235"/>
    </row>
    <row r="1209" spans="2:17">
      <c r="B1209" s="241"/>
      <c r="C1209" s="241"/>
      <c r="D1209" s="241"/>
      <c r="E1209" s="241"/>
      <c r="F1209" s="260"/>
      <c r="G1209" s="260"/>
      <c r="H1209" s="260"/>
      <c r="I1209" s="260"/>
      <c r="J1209" s="260"/>
      <c r="K1209" s="260"/>
      <c r="L1209" s="260"/>
      <c r="M1209" s="260"/>
      <c r="N1209" s="260"/>
      <c r="O1209" s="235"/>
      <c r="P1209" s="235"/>
      <c r="Q1209" s="235"/>
    </row>
    <row r="1210" spans="2:17">
      <c r="B1210" s="241"/>
      <c r="C1210" s="241"/>
      <c r="D1210" s="241"/>
      <c r="E1210" s="241"/>
      <c r="F1210" s="260"/>
      <c r="G1210" s="260"/>
      <c r="H1210" s="260"/>
      <c r="I1210" s="260"/>
      <c r="J1210" s="260"/>
      <c r="K1210" s="260"/>
      <c r="L1210" s="260"/>
      <c r="M1210" s="260"/>
      <c r="N1210" s="260"/>
      <c r="O1210" s="235"/>
      <c r="P1210" s="235"/>
      <c r="Q1210" s="235"/>
    </row>
    <row r="1211" spans="2:17">
      <c r="B1211" s="241"/>
      <c r="C1211" s="241"/>
      <c r="D1211" s="241"/>
      <c r="E1211" s="241"/>
      <c r="F1211" s="260"/>
      <c r="G1211" s="260"/>
      <c r="H1211" s="260"/>
      <c r="I1211" s="260"/>
      <c r="J1211" s="260"/>
      <c r="K1211" s="260"/>
      <c r="L1211" s="260"/>
      <c r="M1211" s="260"/>
      <c r="N1211" s="260"/>
      <c r="O1211" s="235"/>
      <c r="P1211" s="235"/>
      <c r="Q1211" s="235"/>
    </row>
    <row r="1212" spans="2:17">
      <c r="B1212" s="241"/>
      <c r="C1212" s="241"/>
      <c r="D1212" s="241"/>
      <c r="E1212" s="241"/>
      <c r="F1212" s="260"/>
      <c r="G1212" s="260"/>
      <c r="H1212" s="260"/>
      <c r="I1212" s="260"/>
      <c r="J1212" s="260"/>
      <c r="K1212" s="260"/>
      <c r="L1212" s="260"/>
      <c r="M1212" s="260"/>
      <c r="N1212" s="260"/>
      <c r="O1212" s="235"/>
      <c r="P1212" s="235"/>
      <c r="Q1212" s="235"/>
    </row>
    <row r="1213" spans="2:17">
      <c r="B1213" s="241"/>
      <c r="C1213" s="241"/>
      <c r="D1213" s="241"/>
      <c r="E1213" s="241"/>
      <c r="F1213" s="260"/>
      <c r="G1213" s="260"/>
      <c r="H1213" s="260"/>
      <c r="I1213" s="260"/>
      <c r="J1213" s="260"/>
      <c r="K1213" s="260"/>
      <c r="L1213" s="260"/>
      <c r="M1213" s="260"/>
      <c r="N1213" s="260"/>
      <c r="O1213" s="235"/>
      <c r="P1213" s="235"/>
      <c r="Q1213" s="235"/>
    </row>
    <row r="1214" spans="2:17">
      <c r="B1214" s="241"/>
      <c r="C1214" s="241"/>
      <c r="D1214" s="241"/>
      <c r="E1214" s="241"/>
      <c r="F1214" s="260"/>
      <c r="G1214" s="260"/>
      <c r="H1214" s="260"/>
      <c r="I1214" s="260"/>
      <c r="J1214" s="260"/>
      <c r="K1214" s="260"/>
      <c r="L1214" s="260"/>
      <c r="M1214" s="260"/>
      <c r="N1214" s="260"/>
      <c r="O1214" s="235"/>
      <c r="P1214" s="235"/>
      <c r="Q1214" s="235"/>
    </row>
    <row r="1215" spans="2:17">
      <c r="B1215" s="241"/>
      <c r="C1215" s="241"/>
      <c r="D1215" s="241"/>
      <c r="E1215" s="241"/>
      <c r="F1215" s="260"/>
      <c r="G1215" s="260"/>
      <c r="H1215" s="260"/>
      <c r="I1215" s="260"/>
      <c r="J1215" s="260"/>
      <c r="K1215" s="260"/>
      <c r="L1215" s="260"/>
      <c r="M1215" s="260"/>
      <c r="N1215" s="260"/>
      <c r="O1215" s="235"/>
      <c r="P1215" s="235"/>
      <c r="Q1215" s="235"/>
    </row>
    <row r="1216" spans="2:17">
      <c r="B1216" s="241"/>
      <c r="C1216" s="241"/>
      <c r="D1216" s="241"/>
      <c r="E1216" s="241"/>
      <c r="F1216" s="260"/>
      <c r="G1216" s="260"/>
      <c r="H1216" s="260"/>
      <c r="I1216" s="260"/>
      <c r="J1216" s="260"/>
      <c r="K1216" s="260"/>
      <c r="L1216" s="260"/>
      <c r="M1216" s="260"/>
      <c r="N1216" s="260"/>
      <c r="O1216" s="235"/>
      <c r="P1216" s="235"/>
      <c r="Q1216" s="235"/>
    </row>
    <row r="1217" spans="2:17">
      <c r="B1217" s="241"/>
      <c r="C1217" s="241"/>
      <c r="D1217" s="241"/>
      <c r="E1217" s="241"/>
      <c r="F1217" s="260"/>
      <c r="G1217" s="260"/>
      <c r="H1217" s="260"/>
      <c r="I1217" s="260"/>
      <c r="J1217" s="260"/>
      <c r="K1217" s="260"/>
      <c r="L1217" s="260"/>
      <c r="M1217" s="260"/>
      <c r="N1217" s="260"/>
      <c r="O1217" s="235"/>
      <c r="P1217" s="235"/>
      <c r="Q1217" s="235"/>
    </row>
    <row r="1218" spans="2:17">
      <c r="B1218" s="241"/>
      <c r="C1218" s="241"/>
      <c r="D1218" s="241"/>
      <c r="E1218" s="241"/>
      <c r="F1218" s="260"/>
      <c r="G1218" s="260"/>
      <c r="H1218" s="260"/>
      <c r="I1218" s="260"/>
      <c r="J1218" s="260"/>
      <c r="K1218" s="260"/>
      <c r="L1218" s="260"/>
      <c r="M1218" s="260"/>
      <c r="N1218" s="260"/>
      <c r="O1218" s="235"/>
      <c r="P1218" s="235"/>
      <c r="Q1218" s="235"/>
    </row>
    <row r="1219" spans="2:17">
      <c r="B1219" s="241"/>
      <c r="C1219" s="241"/>
      <c r="D1219" s="241"/>
      <c r="E1219" s="241"/>
      <c r="F1219" s="260"/>
      <c r="G1219" s="260"/>
      <c r="H1219" s="260"/>
      <c r="I1219" s="260"/>
      <c r="J1219" s="260"/>
      <c r="K1219" s="260"/>
      <c r="L1219" s="260"/>
      <c r="M1219" s="260"/>
      <c r="N1219" s="260"/>
      <c r="O1219" s="235"/>
      <c r="P1219" s="235"/>
      <c r="Q1219" s="235"/>
    </row>
    <row r="1220" spans="2:17">
      <c r="B1220" s="241"/>
      <c r="C1220" s="241"/>
      <c r="D1220" s="241"/>
      <c r="E1220" s="241"/>
      <c r="F1220" s="260"/>
      <c r="G1220" s="260"/>
      <c r="H1220" s="260"/>
      <c r="I1220" s="260"/>
      <c r="J1220" s="260"/>
      <c r="K1220" s="260"/>
      <c r="L1220" s="260"/>
      <c r="M1220" s="260"/>
      <c r="N1220" s="260"/>
      <c r="O1220" s="235"/>
      <c r="P1220" s="235"/>
      <c r="Q1220" s="235"/>
    </row>
    <row r="1221" spans="2:17">
      <c r="B1221" s="241"/>
      <c r="C1221" s="241"/>
      <c r="D1221" s="241"/>
      <c r="E1221" s="241"/>
      <c r="F1221" s="260"/>
      <c r="G1221" s="260"/>
      <c r="H1221" s="260"/>
      <c r="I1221" s="260"/>
      <c r="J1221" s="260"/>
      <c r="K1221" s="260"/>
      <c r="L1221" s="260"/>
      <c r="M1221" s="260"/>
      <c r="N1221" s="260"/>
      <c r="O1221" s="235"/>
      <c r="P1221" s="235"/>
      <c r="Q1221" s="235"/>
    </row>
    <row r="1222" spans="2:17">
      <c r="B1222" s="241"/>
      <c r="C1222" s="241"/>
      <c r="D1222" s="241"/>
      <c r="E1222" s="241"/>
      <c r="F1222" s="260"/>
      <c r="G1222" s="260"/>
      <c r="H1222" s="260"/>
      <c r="I1222" s="260"/>
      <c r="J1222" s="260"/>
      <c r="K1222" s="260"/>
      <c r="L1222" s="260"/>
      <c r="M1222" s="260"/>
      <c r="N1222" s="260"/>
      <c r="O1222" s="235"/>
      <c r="P1222" s="235"/>
      <c r="Q1222" s="235"/>
    </row>
    <row r="1223" spans="2:17">
      <c r="B1223" s="241"/>
      <c r="C1223" s="241"/>
      <c r="D1223" s="241"/>
      <c r="E1223" s="241"/>
      <c r="F1223" s="260"/>
      <c r="G1223" s="260"/>
      <c r="H1223" s="260"/>
      <c r="I1223" s="260"/>
      <c r="J1223" s="260"/>
      <c r="K1223" s="260"/>
      <c r="L1223" s="260"/>
      <c r="M1223" s="260"/>
      <c r="N1223" s="260"/>
      <c r="O1223" s="235"/>
      <c r="P1223" s="235"/>
      <c r="Q1223" s="235"/>
    </row>
    <row r="1224" spans="2:17">
      <c r="B1224" s="241"/>
      <c r="C1224" s="241"/>
      <c r="D1224" s="241"/>
      <c r="E1224" s="241"/>
      <c r="F1224" s="260"/>
      <c r="G1224" s="260"/>
      <c r="H1224" s="260"/>
      <c r="I1224" s="260"/>
      <c r="J1224" s="260"/>
      <c r="K1224" s="260"/>
      <c r="L1224" s="260"/>
      <c r="M1224" s="260"/>
      <c r="N1224" s="260"/>
      <c r="O1224" s="235"/>
      <c r="P1224" s="235"/>
      <c r="Q1224" s="235"/>
    </row>
    <row r="1225" spans="2:17">
      <c r="B1225" s="241"/>
      <c r="C1225" s="241"/>
      <c r="D1225" s="241"/>
      <c r="E1225" s="241"/>
      <c r="F1225" s="260"/>
      <c r="G1225" s="260"/>
      <c r="H1225" s="260"/>
      <c r="I1225" s="260"/>
      <c r="J1225" s="260"/>
      <c r="K1225" s="260"/>
      <c r="L1225" s="260"/>
      <c r="M1225" s="260"/>
      <c r="N1225" s="260"/>
      <c r="O1225" s="235"/>
      <c r="P1225" s="235"/>
      <c r="Q1225" s="235"/>
    </row>
    <row r="1226" spans="2:17">
      <c r="B1226" s="241"/>
      <c r="C1226" s="241"/>
      <c r="D1226" s="241"/>
      <c r="E1226" s="241"/>
      <c r="F1226" s="260"/>
      <c r="G1226" s="260"/>
      <c r="H1226" s="260"/>
      <c r="I1226" s="260"/>
      <c r="J1226" s="260"/>
      <c r="K1226" s="260"/>
      <c r="L1226" s="260"/>
      <c r="M1226" s="260"/>
      <c r="N1226" s="260"/>
      <c r="O1226" s="235"/>
      <c r="P1226" s="235"/>
      <c r="Q1226" s="235"/>
    </row>
    <row r="1227" spans="2:17">
      <c r="B1227" s="241"/>
      <c r="C1227" s="241"/>
      <c r="D1227" s="241"/>
      <c r="E1227" s="241"/>
      <c r="F1227" s="260"/>
      <c r="G1227" s="260"/>
      <c r="H1227" s="260"/>
      <c r="I1227" s="260"/>
      <c r="J1227" s="260"/>
      <c r="K1227" s="260"/>
      <c r="L1227" s="260"/>
      <c r="M1227" s="260"/>
      <c r="N1227" s="260"/>
      <c r="O1227" s="235"/>
      <c r="P1227" s="235"/>
      <c r="Q1227" s="235"/>
    </row>
    <row r="1228" spans="2:17">
      <c r="B1228" s="241"/>
      <c r="C1228" s="241"/>
      <c r="D1228" s="241"/>
      <c r="E1228" s="241"/>
      <c r="F1228" s="260"/>
      <c r="G1228" s="260"/>
      <c r="H1228" s="260"/>
      <c r="I1228" s="260"/>
      <c r="J1228" s="260"/>
      <c r="K1228" s="260"/>
      <c r="L1228" s="260"/>
      <c r="M1228" s="260"/>
      <c r="N1228" s="260"/>
      <c r="O1228" s="235"/>
      <c r="P1228" s="235"/>
      <c r="Q1228" s="235"/>
    </row>
    <row r="1229" spans="2:17">
      <c r="B1229" s="241"/>
      <c r="C1229" s="241"/>
      <c r="D1229" s="241"/>
      <c r="E1229" s="241"/>
      <c r="F1229" s="260"/>
      <c r="G1229" s="260"/>
      <c r="H1229" s="260"/>
      <c r="I1229" s="260"/>
      <c r="J1229" s="260"/>
      <c r="K1229" s="260"/>
      <c r="L1229" s="260"/>
      <c r="M1229" s="260"/>
      <c r="N1229" s="260"/>
      <c r="O1229" s="235"/>
      <c r="P1229" s="235"/>
      <c r="Q1229" s="235"/>
    </row>
    <row r="1230" spans="2:17">
      <c r="B1230" s="241"/>
      <c r="C1230" s="241"/>
      <c r="D1230" s="241"/>
      <c r="E1230" s="241"/>
      <c r="F1230" s="260"/>
      <c r="G1230" s="260"/>
      <c r="H1230" s="260"/>
      <c r="I1230" s="260"/>
      <c r="J1230" s="260"/>
      <c r="K1230" s="260"/>
      <c r="L1230" s="260"/>
      <c r="M1230" s="260"/>
      <c r="N1230" s="260"/>
      <c r="O1230" s="235"/>
      <c r="P1230" s="235"/>
      <c r="Q1230" s="235"/>
    </row>
    <row r="1231" spans="2:17">
      <c r="B1231" s="241"/>
      <c r="C1231" s="241"/>
      <c r="D1231" s="241"/>
      <c r="E1231" s="241"/>
      <c r="F1231" s="260"/>
      <c r="G1231" s="260"/>
      <c r="H1231" s="260"/>
      <c r="I1231" s="260"/>
      <c r="J1231" s="260"/>
      <c r="K1231" s="260"/>
      <c r="L1231" s="260"/>
      <c r="M1231" s="260"/>
      <c r="N1231" s="260"/>
      <c r="O1231" s="235"/>
      <c r="P1231" s="235"/>
      <c r="Q1231" s="235"/>
    </row>
    <row r="1232" spans="2:17">
      <c r="B1232" s="241"/>
      <c r="C1232" s="241"/>
      <c r="D1232" s="241"/>
      <c r="E1232" s="241"/>
      <c r="F1232" s="260"/>
      <c r="G1232" s="260"/>
      <c r="H1232" s="260"/>
      <c r="I1232" s="260"/>
      <c r="J1232" s="260"/>
      <c r="K1232" s="260"/>
      <c r="L1232" s="260"/>
      <c r="M1232" s="260"/>
      <c r="N1232" s="260"/>
      <c r="O1232" s="235"/>
      <c r="P1232" s="235"/>
      <c r="Q1232" s="235"/>
    </row>
    <row r="1233" spans="2:17">
      <c r="B1233" s="241"/>
      <c r="C1233" s="241"/>
      <c r="D1233" s="241"/>
      <c r="E1233" s="241"/>
      <c r="F1233" s="260"/>
      <c r="G1233" s="260"/>
      <c r="H1233" s="260"/>
      <c r="I1233" s="260"/>
      <c r="J1233" s="260"/>
      <c r="K1233" s="260"/>
      <c r="L1233" s="260"/>
      <c r="M1233" s="260"/>
      <c r="N1233" s="260"/>
      <c r="O1233" s="235"/>
      <c r="P1233" s="235"/>
      <c r="Q1233" s="235"/>
    </row>
    <row r="1234" spans="2:17">
      <c r="B1234" s="241"/>
      <c r="C1234" s="241"/>
      <c r="D1234" s="241"/>
      <c r="E1234" s="241"/>
      <c r="F1234" s="260"/>
      <c r="G1234" s="260"/>
      <c r="H1234" s="260"/>
      <c r="I1234" s="260"/>
      <c r="J1234" s="260"/>
      <c r="K1234" s="260"/>
      <c r="L1234" s="260"/>
      <c r="M1234" s="260"/>
      <c r="N1234" s="260"/>
      <c r="O1234" s="235"/>
      <c r="P1234" s="235"/>
      <c r="Q1234" s="235"/>
    </row>
    <row r="1235" spans="2:17">
      <c r="B1235" s="241"/>
      <c r="C1235" s="241"/>
      <c r="D1235" s="241"/>
      <c r="E1235" s="241"/>
      <c r="F1235" s="260"/>
      <c r="G1235" s="260"/>
      <c r="H1235" s="260"/>
      <c r="I1235" s="260"/>
      <c r="J1235" s="260"/>
      <c r="K1235" s="260"/>
      <c r="L1235" s="260"/>
      <c r="M1235" s="260"/>
      <c r="N1235" s="260"/>
      <c r="O1235" s="235"/>
      <c r="P1235" s="235"/>
      <c r="Q1235" s="235"/>
    </row>
    <row r="1236" spans="2:17">
      <c r="B1236" s="241"/>
      <c r="C1236" s="241"/>
      <c r="D1236" s="241"/>
      <c r="E1236" s="241"/>
      <c r="F1236" s="260"/>
      <c r="G1236" s="260"/>
      <c r="H1236" s="260"/>
      <c r="I1236" s="260"/>
      <c r="J1236" s="260"/>
      <c r="K1236" s="260"/>
      <c r="L1236" s="260"/>
      <c r="M1236" s="260"/>
      <c r="N1236" s="260"/>
      <c r="O1236" s="235"/>
      <c r="P1236" s="235"/>
      <c r="Q1236" s="235"/>
    </row>
    <row r="1237" spans="2:17">
      <c r="B1237" s="241"/>
      <c r="C1237" s="241"/>
      <c r="D1237" s="241"/>
      <c r="E1237" s="241"/>
      <c r="F1237" s="260"/>
      <c r="G1237" s="260"/>
      <c r="H1237" s="260"/>
      <c r="I1237" s="260"/>
      <c r="J1237" s="260"/>
      <c r="K1237" s="260"/>
      <c r="L1237" s="260"/>
      <c r="M1237" s="260"/>
      <c r="N1237" s="260"/>
      <c r="O1237" s="235"/>
      <c r="P1237" s="235"/>
      <c r="Q1237" s="235"/>
    </row>
    <row r="1238" spans="2:17">
      <c r="B1238" s="241"/>
      <c r="C1238" s="241"/>
      <c r="D1238" s="241"/>
      <c r="E1238" s="241"/>
      <c r="F1238" s="260"/>
      <c r="G1238" s="260"/>
      <c r="H1238" s="260"/>
      <c r="I1238" s="260"/>
      <c r="J1238" s="260"/>
      <c r="K1238" s="260"/>
      <c r="L1238" s="260"/>
      <c r="M1238" s="260"/>
      <c r="N1238" s="260"/>
      <c r="O1238" s="235"/>
      <c r="P1238" s="235"/>
      <c r="Q1238" s="235"/>
    </row>
    <row r="1239" spans="2:17">
      <c r="B1239" s="241"/>
      <c r="C1239" s="241"/>
      <c r="D1239" s="241"/>
      <c r="E1239" s="241"/>
      <c r="F1239" s="260"/>
      <c r="G1239" s="260"/>
      <c r="H1239" s="260"/>
      <c r="I1239" s="260"/>
      <c r="J1239" s="260"/>
      <c r="K1239" s="260"/>
      <c r="L1239" s="260"/>
      <c r="M1239" s="260"/>
      <c r="N1239" s="260"/>
      <c r="O1239" s="235"/>
      <c r="P1239" s="235"/>
      <c r="Q1239" s="235"/>
    </row>
    <row r="1240" spans="2:17">
      <c r="B1240" s="241"/>
      <c r="C1240" s="241"/>
      <c r="D1240" s="241"/>
      <c r="E1240" s="241"/>
      <c r="F1240" s="260"/>
      <c r="G1240" s="260"/>
      <c r="H1240" s="260"/>
      <c r="I1240" s="260"/>
      <c r="J1240" s="260"/>
      <c r="K1240" s="260"/>
      <c r="L1240" s="260"/>
      <c r="M1240" s="260"/>
      <c r="N1240" s="260"/>
      <c r="O1240" s="235"/>
      <c r="P1240" s="235"/>
      <c r="Q1240" s="235"/>
    </row>
    <row r="1241" spans="2:17">
      <c r="B1241" s="241"/>
      <c r="C1241" s="241"/>
      <c r="D1241" s="241"/>
      <c r="E1241" s="241"/>
      <c r="F1241" s="260"/>
      <c r="G1241" s="260"/>
      <c r="H1241" s="260"/>
      <c r="I1241" s="260"/>
      <c r="J1241" s="260"/>
      <c r="K1241" s="260"/>
      <c r="L1241" s="260"/>
      <c r="M1241" s="260"/>
      <c r="N1241" s="260"/>
      <c r="O1241" s="235"/>
      <c r="P1241" s="235"/>
      <c r="Q1241" s="235"/>
    </row>
    <row r="1242" spans="2:17">
      <c r="B1242" s="241"/>
      <c r="C1242" s="241"/>
      <c r="D1242" s="241"/>
      <c r="E1242" s="241"/>
      <c r="F1242" s="260"/>
      <c r="G1242" s="260"/>
      <c r="H1242" s="260"/>
      <c r="I1242" s="260"/>
      <c r="J1242" s="260"/>
      <c r="K1242" s="260"/>
      <c r="L1242" s="260"/>
      <c r="M1242" s="260"/>
      <c r="N1242" s="260"/>
      <c r="O1242" s="235"/>
      <c r="P1242" s="235"/>
      <c r="Q1242" s="235"/>
    </row>
    <row r="1243" spans="2:17">
      <c r="B1243" s="241"/>
      <c r="C1243" s="241"/>
      <c r="D1243" s="241"/>
      <c r="E1243" s="241"/>
      <c r="F1243" s="260"/>
      <c r="G1243" s="260"/>
      <c r="H1243" s="260"/>
      <c r="I1243" s="260"/>
      <c r="J1243" s="260"/>
      <c r="K1243" s="260"/>
      <c r="L1243" s="260"/>
      <c r="M1243" s="260"/>
      <c r="N1243" s="260"/>
      <c r="O1243" s="235"/>
      <c r="P1243" s="235"/>
      <c r="Q1243" s="235"/>
    </row>
    <row r="1244" spans="2:17">
      <c r="B1244" s="241"/>
      <c r="C1244" s="241"/>
      <c r="D1244" s="241"/>
      <c r="E1244" s="241"/>
      <c r="F1244" s="260"/>
      <c r="G1244" s="260"/>
      <c r="H1244" s="260"/>
      <c r="I1244" s="260"/>
      <c r="J1244" s="260"/>
      <c r="K1244" s="260"/>
      <c r="L1244" s="260"/>
      <c r="M1244" s="260"/>
      <c r="N1244" s="260"/>
      <c r="O1244" s="235"/>
      <c r="P1244" s="235"/>
      <c r="Q1244" s="235"/>
    </row>
    <row r="1245" spans="2:17">
      <c r="B1245" s="241"/>
      <c r="C1245" s="241"/>
      <c r="D1245" s="241"/>
      <c r="E1245" s="241"/>
      <c r="F1245" s="260"/>
      <c r="G1245" s="260"/>
      <c r="H1245" s="260"/>
      <c r="I1245" s="260"/>
      <c r="J1245" s="260"/>
      <c r="K1245" s="260"/>
      <c r="L1245" s="260"/>
      <c r="M1245" s="260"/>
      <c r="N1245" s="260"/>
      <c r="O1245" s="235"/>
      <c r="P1245" s="235"/>
      <c r="Q1245" s="235"/>
    </row>
    <row r="1246" spans="2:17">
      <c r="B1246" s="241"/>
      <c r="C1246" s="241"/>
      <c r="D1246" s="241"/>
      <c r="E1246" s="241"/>
      <c r="F1246" s="260"/>
      <c r="G1246" s="260"/>
      <c r="H1246" s="260"/>
      <c r="I1246" s="260"/>
      <c r="J1246" s="260"/>
      <c r="K1246" s="260"/>
      <c r="L1246" s="260"/>
      <c r="M1246" s="260"/>
      <c r="N1246" s="260"/>
      <c r="O1246" s="235"/>
      <c r="P1246" s="235"/>
      <c r="Q1246" s="235"/>
    </row>
    <row r="1247" spans="2:17">
      <c r="B1247" s="241"/>
      <c r="C1247" s="241"/>
      <c r="D1247" s="241"/>
      <c r="E1247" s="241"/>
      <c r="F1247" s="260"/>
      <c r="G1247" s="260"/>
      <c r="H1247" s="260"/>
      <c r="I1247" s="260"/>
      <c r="J1247" s="260"/>
      <c r="K1247" s="260"/>
      <c r="L1247" s="260"/>
      <c r="M1247" s="260"/>
      <c r="N1247" s="260"/>
      <c r="O1247" s="235"/>
      <c r="P1247" s="235"/>
      <c r="Q1247" s="235"/>
    </row>
    <row r="1248" spans="2:17">
      <c r="B1248" s="241"/>
      <c r="C1248" s="241"/>
      <c r="D1248" s="241"/>
      <c r="E1248" s="241"/>
      <c r="F1248" s="260"/>
      <c r="G1248" s="260"/>
      <c r="H1248" s="260"/>
      <c r="I1248" s="260"/>
      <c r="J1248" s="260"/>
      <c r="K1248" s="260"/>
      <c r="L1248" s="260"/>
      <c r="M1248" s="260"/>
      <c r="N1248" s="260"/>
      <c r="O1248" s="235"/>
      <c r="P1248" s="235"/>
      <c r="Q1248" s="235"/>
    </row>
    <row r="1249" spans="2:17">
      <c r="B1249" s="241"/>
      <c r="C1249" s="241"/>
      <c r="D1249" s="241"/>
      <c r="E1249" s="241"/>
      <c r="F1249" s="260"/>
      <c r="G1249" s="260"/>
      <c r="H1249" s="260"/>
      <c r="I1249" s="260"/>
      <c r="J1249" s="260"/>
      <c r="K1249" s="260"/>
      <c r="L1249" s="260"/>
      <c r="M1249" s="260"/>
      <c r="N1249" s="260"/>
      <c r="O1249" s="235"/>
      <c r="P1249" s="235"/>
      <c r="Q1249" s="235"/>
    </row>
    <row r="1250" spans="2:17">
      <c r="B1250" s="241"/>
      <c r="C1250" s="241"/>
      <c r="D1250" s="241"/>
      <c r="E1250" s="241"/>
      <c r="F1250" s="260"/>
      <c r="G1250" s="260"/>
      <c r="H1250" s="260"/>
      <c r="I1250" s="260"/>
      <c r="J1250" s="260"/>
      <c r="K1250" s="260"/>
      <c r="L1250" s="260"/>
      <c r="M1250" s="260"/>
      <c r="N1250" s="260"/>
      <c r="O1250" s="235"/>
      <c r="P1250" s="235"/>
      <c r="Q1250" s="235"/>
    </row>
    <row r="1251" spans="2:17">
      <c r="B1251" s="241"/>
      <c r="C1251" s="241"/>
      <c r="D1251" s="241"/>
      <c r="E1251" s="241"/>
      <c r="F1251" s="260"/>
      <c r="G1251" s="260"/>
      <c r="H1251" s="260"/>
      <c r="I1251" s="260"/>
      <c r="J1251" s="260"/>
      <c r="K1251" s="260"/>
      <c r="L1251" s="260"/>
      <c r="M1251" s="260"/>
      <c r="N1251" s="260"/>
      <c r="O1251" s="235"/>
      <c r="P1251" s="235"/>
      <c r="Q1251" s="235"/>
    </row>
    <row r="1252" spans="2:17">
      <c r="B1252" s="241"/>
      <c r="C1252" s="241"/>
      <c r="D1252" s="241"/>
      <c r="E1252" s="241"/>
      <c r="F1252" s="260"/>
      <c r="G1252" s="260"/>
      <c r="H1252" s="260"/>
      <c r="I1252" s="260"/>
      <c r="J1252" s="260"/>
      <c r="K1252" s="260"/>
      <c r="L1252" s="260"/>
      <c r="M1252" s="260"/>
      <c r="N1252" s="260"/>
      <c r="O1252" s="235"/>
      <c r="P1252" s="235"/>
      <c r="Q1252" s="235"/>
    </row>
    <row r="1253" spans="2:17">
      <c r="B1253" s="241"/>
      <c r="C1253" s="241"/>
      <c r="D1253" s="241"/>
      <c r="E1253" s="241"/>
      <c r="F1253" s="260"/>
      <c r="G1253" s="260"/>
      <c r="H1253" s="260"/>
      <c r="I1253" s="260"/>
      <c r="J1253" s="260"/>
      <c r="K1253" s="260"/>
      <c r="L1253" s="260"/>
      <c r="M1253" s="260"/>
      <c r="N1253" s="260"/>
      <c r="O1253" s="235"/>
      <c r="P1253" s="235"/>
      <c r="Q1253" s="235"/>
    </row>
    <row r="1254" spans="2:17">
      <c r="B1254" s="241"/>
      <c r="C1254" s="241"/>
      <c r="D1254" s="241"/>
      <c r="E1254" s="241"/>
      <c r="F1254" s="260"/>
      <c r="G1254" s="260"/>
      <c r="H1254" s="260"/>
      <c r="I1254" s="260"/>
      <c r="J1254" s="260"/>
      <c r="K1254" s="260"/>
      <c r="L1254" s="260"/>
      <c r="M1254" s="260"/>
      <c r="N1254" s="260"/>
      <c r="O1254" s="235"/>
      <c r="P1254" s="235"/>
      <c r="Q1254" s="235"/>
    </row>
    <row r="1255" spans="2:17">
      <c r="B1255" s="241"/>
      <c r="C1255" s="241"/>
      <c r="D1255" s="241"/>
      <c r="E1255" s="241"/>
      <c r="F1255" s="260"/>
      <c r="G1255" s="260"/>
      <c r="H1255" s="260"/>
      <c r="I1255" s="260"/>
      <c r="J1255" s="260"/>
      <c r="K1255" s="260"/>
      <c r="L1255" s="260"/>
      <c r="M1255" s="260"/>
      <c r="N1255" s="260"/>
      <c r="O1255" s="235"/>
      <c r="P1255" s="235"/>
      <c r="Q1255" s="235"/>
    </row>
    <row r="1256" spans="2:17">
      <c r="B1256" s="241"/>
      <c r="C1256" s="241"/>
      <c r="D1256" s="241"/>
      <c r="E1256" s="241"/>
      <c r="F1256" s="260"/>
      <c r="G1256" s="260"/>
      <c r="H1256" s="260"/>
      <c r="I1256" s="260"/>
      <c r="J1256" s="260"/>
      <c r="K1256" s="260"/>
      <c r="L1256" s="260"/>
      <c r="M1256" s="260"/>
      <c r="N1256" s="260"/>
      <c r="O1256" s="235"/>
      <c r="P1256" s="235"/>
      <c r="Q1256" s="235"/>
    </row>
    <row r="1257" spans="2:17">
      <c r="B1257" s="241"/>
      <c r="C1257" s="241"/>
      <c r="D1257" s="241"/>
      <c r="E1257" s="241"/>
      <c r="F1257" s="260"/>
      <c r="G1257" s="260"/>
      <c r="H1257" s="260"/>
      <c r="I1257" s="260"/>
      <c r="J1257" s="260"/>
      <c r="K1257" s="260"/>
      <c r="L1257" s="260"/>
      <c r="M1257" s="260"/>
      <c r="N1257" s="260"/>
      <c r="O1257" s="235"/>
      <c r="P1257" s="235"/>
      <c r="Q1257" s="235"/>
    </row>
    <row r="1258" spans="2:17">
      <c r="B1258" s="241"/>
      <c r="C1258" s="241"/>
      <c r="D1258" s="241"/>
      <c r="E1258" s="241"/>
      <c r="F1258" s="260"/>
      <c r="G1258" s="260"/>
      <c r="H1258" s="260"/>
      <c r="I1258" s="260"/>
      <c r="J1258" s="260"/>
      <c r="K1258" s="260"/>
      <c r="L1258" s="260"/>
      <c r="M1258" s="260"/>
      <c r="N1258" s="260"/>
      <c r="O1258" s="235"/>
      <c r="P1258" s="235"/>
      <c r="Q1258" s="235"/>
    </row>
    <row r="1259" spans="2:17">
      <c r="B1259" s="241"/>
      <c r="C1259" s="241"/>
      <c r="D1259" s="241"/>
      <c r="E1259" s="241"/>
      <c r="F1259" s="260"/>
      <c r="G1259" s="260"/>
      <c r="H1259" s="260"/>
      <c r="I1259" s="260"/>
      <c r="J1259" s="260"/>
      <c r="K1259" s="260"/>
      <c r="L1259" s="260"/>
      <c r="M1259" s="260"/>
      <c r="N1259" s="260"/>
      <c r="O1259" s="235"/>
      <c r="P1259" s="235"/>
      <c r="Q1259" s="235"/>
    </row>
    <row r="1260" spans="2:17">
      <c r="B1260" s="241"/>
      <c r="C1260" s="241"/>
      <c r="D1260" s="241"/>
      <c r="E1260" s="241"/>
      <c r="F1260" s="260"/>
      <c r="G1260" s="260"/>
      <c r="H1260" s="260"/>
      <c r="I1260" s="260"/>
      <c r="J1260" s="260"/>
      <c r="K1260" s="260"/>
      <c r="L1260" s="260"/>
      <c r="M1260" s="260"/>
      <c r="N1260" s="260"/>
      <c r="O1260" s="235"/>
      <c r="P1260" s="235"/>
      <c r="Q1260" s="235"/>
    </row>
    <row r="1261" spans="2:17">
      <c r="B1261" s="241"/>
      <c r="C1261" s="241"/>
      <c r="D1261" s="241"/>
      <c r="E1261" s="241"/>
      <c r="F1261" s="260"/>
      <c r="G1261" s="260"/>
      <c r="H1261" s="260"/>
      <c r="I1261" s="260"/>
      <c r="J1261" s="260"/>
      <c r="K1261" s="260"/>
      <c r="L1261" s="260"/>
      <c r="M1261" s="260"/>
      <c r="N1261" s="260"/>
      <c r="O1261" s="235"/>
      <c r="P1261" s="235"/>
      <c r="Q1261" s="235"/>
    </row>
    <row r="1262" spans="2:17">
      <c r="B1262" s="241"/>
      <c r="C1262" s="241"/>
      <c r="D1262" s="241"/>
      <c r="E1262" s="241"/>
      <c r="F1262" s="260"/>
      <c r="G1262" s="260"/>
      <c r="H1262" s="260"/>
      <c r="I1262" s="260"/>
      <c r="J1262" s="260"/>
      <c r="K1262" s="260"/>
      <c r="L1262" s="260"/>
      <c r="M1262" s="260"/>
      <c r="N1262" s="260"/>
      <c r="O1262" s="235"/>
      <c r="P1262" s="235"/>
      <c r="Q1262" s="235"/>
    </row>
    <row r="1263" spans="2:17">
      <c r="B1263" s="241"/>
      <c r="C1263" s="241"/>
      <c r="D1263" s="241"/>
      <c r="E1263" s="241"/>
      <c r="F1263" s="260"/>
      <c r="G1263" s="260"/>
      <c r="H1263" s="260"/>
      <c r="I1263" s="260"/>
      <c r="J1263" s="260"/>
      <c r="K1263" s="260"/>
      <c r="L1263" s="260"/>
      <c r="M1263" s="260"/>
      <c r="N1263" s="260"/>
      <c r="O1263" s="235"/>
      <c r="P1263" s="235"/>
      <c r="Q1263" s="235"/>
    </row>
    <row r="1264" spans="2:17">
      <c r="B1264" s="241"/>
      <c r="C1264" s="241"/>
      <c r="D1264" s="241"/>
      <c r="E1264" s="241"/>
      <c r="F1264" s="260"/>
      <c r="G1264" s="260"/>
      <c r="H1264" s="260"/>
      <c r="I1264" s="260"/>
      <c r="J1264" s="260"/>
      <c r="K1264" s="260"/>
      <c r="L1264" s="260"/>
      <c r="M1264" s="260"/>
      <c r="N1264" s="260"/>
      <c r="O1264" s="235"/>
      <c r="P1264" s="235"/>
      <c r="Q1264" s="235"/>
    </row>
    <row r="1265" spans="2:17">
      <c r="B1265" s="241"/>
      <c r="C1265" s="241"/>
      <c r="D1265" s="241"/>
      <c r="E1265" s="241"/>
      <c r="F1265" s="260"/>
      <c r="G1265" s="260"/>
      <c r="H1265" s="260"/>
      <c r="I1265" s="260"/>
      <c r="J1265" s="260"/>
      <c r="K1265" s="260"/>
      <c r="L1265" s="260"/>
      <c r="M1265" s="260"/>
      <c r="N1265" s="260"/>
      <c r="O1265" s="235"/>
      <c r="P1265" s="235"/>
      <c r="Q1265" s="235"/>
    </row>
    <row r="1266" spans="2:17">
      <c r="B1266" s="241"/>
      <c r="C1266" s="241"/>
      <c r="D1266" s="241"/>
      <c r="E1266" s="241"/>
      <c r="F1266" s="260"/>
      <c r="G1266" s="260"/>
      <c r="H1266" s="260"/>
      <c r="I1266" s="260"/>
      <c r="J1266" s="260"/>
      <c r="K1266" s="260"/>
      <c r="L1266" s="260"/>
      <c r="M1266" s="260"/>
      <c r="N1266" s="260"/>
      <c r="O1266" s="235"/>
      <c r="P1266" s="235"/>
      <c r="Q1266" s="235"/>
    </row>
    <row r="1267" spans="2:17">
      <c r="B1267" s="241"/>
      <c r="C1267" s="241"/>
      <c r="D1267" s="241"/>
      <c r="E1267" s="241"/>
      <c r="F1267" s="260"/>
      <c r="G1267" s="260"/>
      <c r="H1267" s="260"/>
      <c r="I1267" s="260"/>
      <c r="J1267" s="260"/>
      <c r="K1267" s="260"/>
      <c r="L1267" s="260"/>
      <c r="M1267" s="260"/>
      <c r="N1267" s="260"/>
      <c r="O1267" s="235"/>
      <c r="P1267" s="235"/>
      <c r="Q1267" s="235"/>
    </row>
    <row r="1268" spans="2:17">
      <c r="B1268" s="241"/>
      <c r="C1268" s="241"/>
      <c r="D1268" s="241"/>
      <c r="E1268" s="241"/>
      <c r="F1268" s="260"/>
      <c r="G1268" s="260"/>
      <c r="H1268" s="260"/>
      <c r="I1268" s="260"/>
      <c r="J1268" s="260"/>
      <c r="K1268" s="260"/>
      <c r="L1268" s="260"/>
      <c r="M1268" s="260"/>
      <c r="N1268" s="260"/>
      <c r="O1268" s="235"/>
      <c r="P1268" s="235"/>
      <c r="Q1268" s="235"/>
    </row>
    <row r="1269" spans="2:17">
      <c r="B1269" s="241"/>
      <c r="C1269" s="241"/>
      <c r="D1269" s="241"/>
      <c r="E1269" s="241"/>
      <c r="F1269" s="260"/>
      <c r="G1269" s="260"/>
      <c r="H1269" s="260"/>
      <c r="I1269" s="260"/>
      <c r="J1269" s="260"/>
      <c r="K1269" s="260"/>
      <c r="L1269" s="260"/>
      <c r="M1269" s="260"/>
      <c r="N1269" s="260"/>
      <c r="O1269" s="235"/>
      <c r="P1269" s="235"/>
      <c r="Q1269" s="235"/>
    </row>
    <row r="1270" spans="2:17">
      <c r="B1270" s="241"/>
      <c r="C1270" s="241"/>
      <c r="D1270" s="241"/>
      <c r="E1270" s="241"/>
      <c r="F1270" s="260"/>
      <c r="G1270" s="260"/>
      <c r="H1270" s="260"/>
      <c r="I1270" s="260"/>
      <c r="J1270" s="260"/>
      <c r="K1270" s="260"/>
      <c r="L1270" s="260"/>
      <c r="M1270" s="260"/>
      <c r="N1270" s="260"/>
      <c r="O1270" s="235"/>
      <c r="P1270" s="235"/>
      <c r="Q1270" s="235"/>
    </row>
    <row r="1271" spans="2:17">
      <c r="B1271" s="241"/>
      <c r="C1271" s="241"/>
      <c r="D1271" s="241"/>
      <c r="E1271" s="241"/>
      <c r="F1271" s="260"/>
      <c r="G1271" s="260"/>
      <c r="H1271" s="260"/>
      <c r="I1271" s="260"/>
      <c r="J1271" s="260"/>
      <c r="K1271" s="260"/>
      <c r="L1271" s="260"/>
      <c r="M1271" s="260"/>
      <c r="N1271" s="260"/>
      <c r="O1271" s="235"/>
      <c r="P1271" s="235"/>
      <c r="Q1271" s="235"/>
    </row>
    <row r="1272" spans="2:17">
      <c r="B1272" s="241"/>
      <c r="C1272" s="241"/>
      <c r="D1272" s="241"/>
      <c r="E1272" s="241"/>
      <c r="F1272" s="260"/>
      <c r="G1272" s="260"/>
      <c r="H1272" s="260"/>
      <c r="I1272" s="260"/>
      <c r="J1272" s="260"/>
      <c r="K1272" s="260"/>
      <c r="L1272" s="260"/>
      <c r="M1272" s="260"/>
      <c r="N1272" s="260"/>
      <c r="O1272" s="235"/>
      <c r="P1272" s="235"/>
      <c r="Q1272" s="235"/>
    </row>
    <row r="1273" spans="2:17">
      <c r="B1273" s="241"/>
      <c r="C1273" s="241"/>
      <c r="D1273" s="241"/>
      <c r="E1273" s="241"/>
      <c r="F1273" s="260"/>
      <c r="G1273" s="260"/>
      <c r="H1273" s="260"/>
      <c r="I1273" s="260"/>
      <c r="J1273" s="260"/>
      <c r="K1273" s="260"/>
      <c r="L1273" s="260"/>
      <c r="M1273" s="260"/>
      <c r="N1273" s="260"/>
      <c r="O1273" s="235"/>
      <c r="P1273" s="235"/>
      <c r="Q1273" s="235"/>
    </row>
    <row r="1274" spans="2:17">
      <c r="B1274" s="241"/>
      <c r="C1274" s="241"/>
      <c r="D1274" s="241"/>
      <c r="E1274" s="241"/>
      <c r="F1274" s="260"/>
      <c r="G1274" s="260"/>
      <c r="H1274" s="260"/>
      <c r="I1274" s="260"/>
      <c r="J1274" s="260"/>
      <c r="K1274" s="260"/>
      <c r="L1274" s="260"/>
      <c r="M1274" s="260"/>
      <c r="N1274" s="260"/>
      <c r="O1274" s="235"/>
      <c r="P1274" s="235"/>
      <c r="Q1274" s="235"/>
    </row>
    <row r="1275" spans="2:17">
      <c r="B1275" s="241"/>
      <c r="C1275" s="241"/>
      <c r="D1275" s="241"/>
      <c r="E1275" s="241"/>
      <c r="F1275" s="260"/>
      <c r="G1275" s="260"/>
      <c r="H1275" s="260"/>
      <c r="I1275" s="260"/>
      <c r="J1275" s="260"/>
      <c r="K1275" s="260"/>
      <c r="L1275" s="260"/>
      <c r="M1275" s="260"/>
      <c r="N1275" s="260"/>
      <c r="O1275" s="235"/>
      <c r="P1275" s="235"/>
      <c r="Q1275" s="235"/>
    </row>
    <row r="1276" spans="2:17">
      <c r="B1276" s="241"/>
      <c r="C1276" s="241"/>
      <c r="D1276" s="241"/>
      <c r="E1276" s="241"/>
      <c r="F1276" s="260"/>
      <c r="G1276" s="260"/>
      <c r="H1276" s="260"/>
      <c r="I1276" s="260"/>
      <c r="J1276" s="260"/>
      <c r="K1276" s="260"/>
      <c r="L1276" s="260"/>
      <c r="M1276" s="260"/>
      <c r="N1276" s="260"/>
      <c r="O1276" s="235"/>
      <c r="P1276" s="235"/>
      <c r="Q1276" s="235"/>
    </row>
    <row r="1277" spans="2:17">
      <c r="B1277" s="241"/>
      <c r="C1277" s="241"/>
      <c r="D1277" s="241"/>
      <c r="E1277" s="241"/>
      <c r="F1277" s="260"/>
      <c r="G1277" s="260"/>
      <c r="H1277" s="260"/>
      <c r="I1277" s="260"/>
      <c r="J1277" s="260"/>
      <c r="K1277" s="260"/>
      <c r="L1277" s="260"/>
      <c r="M1277" s="260"/>
      <c r="N1277" s="260"/>
      <c r="O1277" s="235"/>
      <c r="P1277" s="235"/>
      <c r="Q1277" s="235"/>
    </row>
    <row r="1278" spans="2:17">
      <c r="B1278" s="241"/>
      <c r="C1278" s="241"/>
      <c r="D1278" s="241"/>
      <c r="E1278" s="241"/>
      <c r="F1278" s="260"/>
      <c r="G1278" s="260"/>
      <c r="H1278" s="260"/>
      <c r="I1278" s="260"/>
      <c r="J1278" s="260"/>
      <c r="K1278" s="260"/>
      <c r="L1278" s="260"/>
      <c r="M1278" s="260"/>
      <c r="N1278" s="260"/>
      <c r="O1278" s="235"/>
      <c r="P1278" s="235"/>
      <c r="Q1278" s="235"/>
    </row>
    <row r="1279" spans="2:17">
      <c r="B1279" s="241"/>
      <c r="C1279" s="241"/>
      <c r="D1279" s="241"/>
      <c r="E1279" s="241"/>
      <c r="F1279" s="260"/>
      <c r="G1279" s="260"/>
      <c r="H1279" s="260"/>
      <c r="I1279" s="260"/>
      <c r="J1279" s="260"/>
      <c r="K1279" s="260"/>
      <c r="L1279" s="260"/>
      <c r="M1279" s="260"/>
      <c r="N1279" s="260"/>
      <c r="O1279" s="235"/>
      <c r="P1279" s="235"/>
      <c r="Q1279" s="235"/>
    </row>
    <row r="1280" spans="2:17">
      <c r="B1280" s="241"/>
      <c r="C1280" s="241"/>
      <c r="D1280" s="241"/>
      <c r="E1280" s="241"/>
      <c r="F1280" s="260"/>
      <c r="G1280" s="260"/>
      <c r="H1280" s="260"/>
      <c r="I1280" s="260"/>
      <c r="J1280" s="260"/>
      <c r="K1280" s="260"/>
      <c r="L1280" s="260"/>
      <c r="M1280" s="260"/>
      <c r="N1280" s="260"/>
      <c r="O1280" s="235"/>
      <c r="P1280" s="235"/>
      <c r="Q1280" s="235"/>
    </row>
    <row r="1281" spans="2:17">
      <c r="B1281" s="241"/>
      <c r="C1281" s="241"/>
      <c r="D1281" s="241"/>
      <c r="E1281" s="241"/>
      <c r="F1281" s="260"/>
      <c r="G1281" s="260"/>
      <c r="H1281" s="260"/>
      <c r="I1281" s="260"/>
      <c r="J1281" s="260"/>
      <c r="K1281" s="260"/>
      <c r="L1281" s="260"/>
      <c r="M1281" s="260"/>
      <c r="N1281" s="260"/>
      <c r="O1281" s="235"/>
      <c r="P1281" s="235"/>
      <c r="Q1281" s="235"/>
    </row>
    <row r="1282" spans="2:17">
      <c r="B1282" s="241"/>
      <c r="C1282" s="241"/>
      <c r="D1282" s="241"/>
      <c r="E1282" s="241"/>
      <c r="F1282" s="260"/>
      <c r="G1282" s="260"/>
      <c r="H1282" s="260"/>
      <c r="I1282" s="260"/>
      <c r="J1282" s="260"/>
      <c r="K1282" s="260"/>
      <c r="L1282" s="260"/>
      <c r="M1282" s="260"/>
      <c r="N1282" s="260"/>
      <c r="O1282" s="235"/>
      <c r="P1282" s="235"/>
      <c r="Q1282" s="235"/>
    </row>
    <row r="1283" spans="2:17">
      <c r="B1283" s="241"/>
      <c r="C1283" s="241"/>
      <c r="D1283" s="241"/>
      <c r="E1283" s="241"/>
      <c r="F1283" s="260"/>
      <c r="G1283" s="260"/>
      <c r="H1283" s="260"/>
      <c r="I1283" s="260"/>
      <c r="J1283" s="260"/>
      <c r="K1283" s="260"/>
      <c r="L1283" s="260"/>
      <c r="M1283" s="260"/>
      <c r="N1283" s="260"/>
      <c r="O1283" s="235"/>
      <c r="P1283" s="235"/>
      <c r="Q1283" s="235"/>
    </row>
    <row r="1284" spans="2:17">
      <c r="B1284" s="241"/>
      <c r="C1284" s="241"/>
      <c r="D1284" s="241"/>
      <c r="E1284" s="241"/>
      <c r="F1284" s="260"/>
      <c r="G1284" s="260"/>
      <c r="H1284" s="260"/>
      <c r="I1284" s="260"/>
      <c r="J1284" s="260"/>
      <c r="K1284" s="260"/>
      <c r="L1284" s="260"/>
      <c r="M1284" s="260"/>
      <c r="N1284" s="260"/>
      <c r="O1284" s="235"/>
      <c r="P1284" s="235"/>
      <c r="Q1284" s="235"/>
    </row>
    <row r="1285" spans="2:17">
      <c r="B1285" s="241"/>
      <c r="C1285" s="241"/>
      <c r="D1285" s="241"/>
      <c r="E1285" s="241"/>
      <c r="F1285" s="260"/>
      <c r="G1285" s="260"/>
      <c r="H1285" s="260"/>
      <c r="I1285" s="260"/>
      <c r="J1285" s="260"/>
      <c r="K1285" s="260"/>
      <c r="L1285" s="260"/>
      <c r="M1285" s="260"/>
      <c r="N1285" s="260"/>
      <c r="O1285" s="235"/>
      <c r="P1285" s="235"/>
      <c r="Q1285" s="235"/>
    </row>
    <row r="1286" spans="2:17">
      <c r="B1286" s="241"/>
      <c r="C1286" s="241"/>
      <c r="D1286" s="241"/>
      <c r="E1286" s="241"/>
      <c r="F1286" s="260"/>
      <c r="G1286" s="260"/>
      <c r="H1286" s="260"/>
      <c r="I1286" s="260"/>
      <c r="J1286" s="260"/>
      <c r="K1286" s="260"/>
      <c r="L1286" s="260"/>
      <c r="M1286" s="260"/>
      <c r="N1286" s="260"/>
      <c r="O1286" s="235"/>
      <c r="P1286" s="235"/>
      <c r="Q1286" s="235"/>
    </row>
    <row r="1287" spans="2:17">
      <c r="B1287" s="241"/>
      <c r="C1287" s="241"/>
      <c r="D1287" s="241"/>
      <c r="E1287" s="241"/>
      <c r="F1287" s="260"/>
      <c r="G1287" s="260"/>
      <c r="H1287" s="260"/>
      <c r="I1287" s="260"/>
      <c r="J1287" s="260"/>
      <c r="K1287" s="260"/>
      <c r="L1287" s="260"/>
      <c r="M1287" s="260"/>
      <c r="N1287" s="260"/>
      <c r="O1287" s="235"/>
      <c r="P1287" s="235"/>
      <c r="Q1287" s="235"/>
    </row>
    <row r="1288" spans="2:17">
      <c r="B1288" s="241"/>
      <c r="C1288" s="241"/>
      <c r="D1288" s="241"/>
      <c r="E1288" s="241"/>
      <c r="F1288" s="260"/>
      <c r="G1288" s="260"/>
      <c r="H1288" s="260"/>
      <c r="I1288" s="260"/>
      <c r="J1288" s="260"/>
      <c r="K1288" s="260"/>
      <c r="L1288" s="260"/>
      <c r="M1288" s="260"/>
      <c r="N1288" s="260"/>
      <c r="O1288" s="235"/>
      <c r="P1288" s="235"/>
      <c r="Q1288" s="235"/>
    </row>
    <row r="1289" spans="2:17">
      <c r="B1289" s="241"/>
      <c r="C1289" s="241"/>
      <c r="D1289" s="241"/>
      <c r="E1289" s="241"/>
      <c r="F1289" s="260"/>
      <c r="G1289" s="260"/>
      <c r="H1289" s="260"/>
      <c r="I1289" s="260"/>
      <c r="J1289" s="260"/>
      <c r="K1289" s="260"/>
      <c r="L1289" s="260"/>
      <c r="M1289" s="260"/>
      <c r="N1289" s="260"/>
      <c r="O1289" s="235"/>
      <c r="P1289" s="235"/>
      <c r="Q1289" s="235"/>
    </row>
    <row r="1290" spans="2:17">
      <c r="B1290" s="241"/>
      <c r="C1290" s="241"/>
      <c r="D1290" s="241"/>
      <c r="E1290" s="241"/>
      <c r="F1290" s="260"/>
      <c r="G1290" s="260"/>
      <c r="H1290" s="260"/>
      <c r="I1290" s="260"/>
      <c r="J1290" s="260"/>
      <c r="K1290" s="260"/>
      <c r="L1290" s="260"/>
      <c r="M1290" s="260"/>
      <c r="N1290" s="260"/>
      <c r="O1290" s="235"/>
      <c r="P1290" s="235"/>
      <c r="Q1290" s="235"/>
    </row>
    <row r="1291" spans="2:17">
      <c r="B1291" s="241"/>
      <c r="C1291" s="241"/>
      <c r="D1291" s="241"/>
      <c r="E1291" s="241"/>
      <c r="F1291" s="260"/>
      <c r="G1291" s="260"/>
      <c r="H1291" s="260"/>
      <c r="I1291" s="260"/>
      <c r="J1291" s="260"/>
      <c r="K1291" s="260"/>
      <c r="L1291" s="260"/>
      <c r="M1291" s="260"/>
      <c r="N1291" s="260"/>
      <c r="O1291" s="235"/>
      <c r="P1291" s="235"/>
      <c r="Q1291" s="235"/>
    </row>
    <row r="1292" spans="2:17">
      <c r="B1292" s="241"/>
      <c r="C1292" s="241"/>
      <c r="D1292" s="241"/>
      <c r="E1292" s="241"/>
      <c r="F1292" s="260"/>
      <c r="G1292" s="260"/>
      <c r="H1292" s="260"/>
      <c r="I1292" s="260"/>
      <c r="J1292" s="260"/>
      <c r="K1292" s="260"/>
      <c r="L1292" s="260"/>
      <c r="M1292" s="260"/>
      <c r="N1292" s="260"/>
      <c r="O1292" s="235"/>
      <c r="P1292" s="235"/>
      <c r="Q1292" s="235"/>
    </row>
    <row r="1293" spans="2:17">
      <c r="B1293" s="241"/>
      <c r="C1293" s="241"/>
      <c r="D1293" s="241"/>
      <c r="E1293" s="241"/>
      <c r="F1293" s="260"/>
      <c r="G1293" s="260"/>
      <c r="H1293" s="260"/>
      <c r="I1293" s="260"/>
      <c r="J1293" s="260"/>
      <c r="K1293" s="260"/>
      <c r="L1293" s="260"/>
      <c r="M1293" s="260"/>
      <c r="N1293" s="260"/>
      <c r="O1293" s="235"/>
      <c r="P1293" s="235"/>
      <c r="Q1293" s="235"/>
    </row>
    <row r="1294" spans="2:17">
      <c r="B1294" s="241"/>
      <c r="C1294" s="241"/>
      <c r="D1294" s="241"/>
      <c r="E1294" s="241"/>
      <c r="F1294" s="260"/>
      <c r="G1294" s="260"/>
      <c r="H1294" s="260"/>
      <c r="I1294" s="260"/>
      <c r="J1294" s="260"/>
      <c r="K1294" s="260"/>
      <c r="L1294" s="260"/>
      <c r="M1294" s="260"/>
      <c r="N1294" s="260"/>
      <c r="O1294" s="235"/>
      <c r="P1294" s="235"/>
      <c r="Q1294" s="235"/>
    </row>
    <row r="1295" spans="2:17">
      <c r="B1295" s="241"/>
      <c r="C1295" s="241"/>
      <c r="D1295" s="241"/>
      <c r="E1295" s="241"/>
      <c r="F1295" s="260"/>
      <c r="G1295" s="260"/>
      <c r="H1295" s="260"/>
      <c r="I1295" s="260"/>
      <c r="J1295" s="260"/>
      <c r="K1295" s="260"/>
      <c r="L1295" s="260"/>
      <c r="M1295" s="260"/>
      <c r="N1295" s="260"/>
      <c r="O1295" s="235"/>
      <c r="P1295" s="235"/>
      <c r="Q1295" s="235"/>
    </row>
    <row r="1296" spans="2:17">
      <c r="B1296" s="241"/>
      <c r="C1296" s="241"/>
      <c r="D1296" s="241"/>
      <c r="E1296" s="241"/>
      <c r="F1296" s="260"/>
      <c r="G1296" s="260"/>
      <c r="H1296" s="260"/>
      <c r="I1296" s="260"/>
      <c r="J1296" s="260"/>
      <c r="K1296" s="260"/>
      <c r="L1296" s="260"/>
      <c r="M1296" s="260"/>
      <c r="N1296" s="260"/>
      <c r="O1296" s="235"/>
      <c r="P1296" s="235"/>
      <c r="Q1296" s="235"/>
    </row>
    <row r="1297" spans="2:17">
      <c r="B1297" s="241"/>
      <c r="C1297" s="241"/>
      <c r="D1297" s="241"/>
      <c r="E1297" s="241"/>
      <c r="F1297" s="260"/>
      <c r="G1297" s="260"/>
      <c r="H1297" s="260"/>
      <c r="I1297" s="260"/>
      <c r="J1297" s="260"/>
      <c r="K1297" s="260"/>
      <c r="L1297" s="260"/>
      <c r="M1297" s="260"/>
      <c r="N1297" s="260"/>
      <c r="O1297" s="235"/>
      <c r="P1297" s="235"/>
      <c r="Q1297" s="235"/>
    </row>
    <row r="1298" spans="2:17">
      <c r="B1298" s="241"/>
      <c r="C1298" s="241"/>
      <c r="D1298" s="241"/>
      <c r="E1298" s="241"/>
      <c r="F1298" s="260"/>
      <c r="G1298" s="260"/>
      <c r="H1298" s="260"/>
      <c r="I1298" s="260"/>
      <c r="J1298" s="260"/>
      <c r="K1298" s="260"/>
      <c r="L1298" s="260"/>
      <c r="M1298" s="260"/>
      <c r="N1298" s="260"/>
      <c r="O1298" s="235"/>
      <c r="P1298" s="235"/>
      <c r="Q1298" s="235"/>
    </row>
    <row r="1299" spans="2:17">
      <c r="B1299" s="241"/>
      <c r="C1299" s="241"/>
      <c r="D1299" s="241"/>
      <c r="E1299" s="241"/>
      <c r="F1299" s="260"/>
      <c r="G1299" s="260"/>
      <c r="H1299" s="260"/>
      <c r="I1299" s="260"/>
      <c r="J1299" s="260"/>
      <c r="K1299" s="260"/>
      <c r="L1299" s="260"/>
      <c r="M1299" s="260"/>
      <c r="N1299" s="260"/>
      <c r="O1299" s="235"/>
      <c r="P1299" s="235"/>
      <c r="Q1299" s="235"/>
    </row>
    <row r="1300" spans="2:17">
      <c r="B1300" s="241"/>
      <c r="C1300" s="241"/>
      <c r="D1300" s="241"/>
      <c r="E1300" s="241"/>
      <c r="F1300" s="260"/>
      <c r="G1300" s="260"/>
      <c r="H1300" s="260"/>
      <c r="I1300" s="260"/>
      <c r="J1300" s="260"/>
      <c r="K1300" s="260"/>
      <c r="L1300" s="260"/>
      <c r="M1300" s="260"/>
      <c r="N1300" s="260"/>
      <c r="O1300" s="235"/>
      <c r="P1300" s="235"/>
      <c r="Q1300" s="235"/>
    </row>
    <row r="1301" spans="2:17">
      <c r="B1301" s="241"/>
      <c r="C1301" s="241"/>
      <c r="D1301" s="241"/>
      <c r="E1301" s="241"/>
      <c r="F1301" s="260"/>
      <c r="G1301" s="260"/>
      <c r="H1301" s="260"/>
      <c r="I1301" s="260"/>
      <c r="J1301" s="260"/>
      <c r="K1301" s="260"/>
      <c r="L1301" s="260"/>
      <c r="M1301" s="260"/>
      <c r="N1301" s="260"/>
      <c r="O1301" s="235"/>
      <c r="P1301" s="235"/>
      <c r="Q1301" s="235"/>
    </row>
    <row r="1302" spans="2:17">
      <c r="B1302" s="241"/>
      <c r="C1302" s="241"/>
      <c r="D1302" s="241"/>
      <c r="E1302" s="241"/>
      <c r="F1302" s="260"/>
      <c r="G1302" s="260"/>
      <c r="H1302" s="260"/>
      <c r="I1302" s="260"/>
      <c r="J1302" s="260"/>
      <c r="K1302" s="260"/>
      <c r="L1302" s="260"/>
      <c r="M1302" s="260"/>
      <c r="N1302" s="260"/>
      <c r="O1302" s="235"/>
      <c r="P1302" s="235"/>
      <c r="Q1302" s="235"/>
    </row>
    <row r="1303" spans="2:17">
      <c r="B1303" s="241"/>
      <c r="C1303" s="241"/>
      <c r="D1303" s="241"/>
      <c r="E1303" s="241"/>
      <c r="F1303" s="260"/>
      <c r="G1303" s="260"/>
      <c r="H1303" s="260"/>
      <c r="I1303" s="260"/>
      <c r="J1303" s="260"/>
      <c r="K1303" s="260"/>
      <c r="L1303" s="260"/>
      <c r="M1303" s="260"/>
      <c r="N1303" s="260"/>
      <c r="O1303" s="235"/>
      <c r="P1303" s="235"/>
      <c r="Q1303" s="235"/>
    </row>
    <row r="1304" spans="2:17">
      <c r="B1304" s="241"/>
      <c r="C1304" s="241"/>
      <c r="D1304" s="241"/>
      <c r="E1304" s="241"/>
      <c r="F1304" s="260"/>
      <c r="G1304" s="260"/>
      <c r="H1304" s="260"/>
      <c r="I1304" s="260"/>
      <c r="J1304" s="260"/>
      <c r="K1304" s="260"/>
      <c r="L1304" s="260"/>
      <c r="M1304" s="260"/>
      <c r="N1304" s="260"/>
      <c r="O1304" s="235"/>
      <c r="P1304" s="235"/>
      <c r="Q1304" s="235"/>
    </row>
    <row r="1305" spans="2:17">
      <c r="B1305" s="241"/>
      <c r="C1305" s="241"/>
      <c r="D1305" s="241"/>
      <c r="E1305" s="241"/>
      <c r="F1305" s="260"/>
      <c r="G1305" s="260"/>
      <c r="H1305" s="260"/>
      <c r="I1305" s="260"/>
      <c r="J1305" s="260"/>
      <c r="K1305" s="260"/>
      <c r="L1305" s="260"/>
      <c r="M1305" s="260"/>
      <c r="N1305" s="260"/>
      <c r="O1305" s="235"/>
      <c r="P1305" s="235"/>
      <c r="Q1305" s="235"/>
    </row>
    <row r="1306" spans="2:17">
      <c r="B1306" s="241"/>
      <c r="C1306" s="241"/>
      <c r="D1306" s="241"/>
      <c r="E1306" s="241"/>
      <c r="F1306" s="260"/>
      <c r="G1306" s="260"/>
      <c r="H1306" s="260"/>
      <c r="I1306" s="260"/>
      <c r="J1306" s="260"/>
      <c r="K1306" s="260"/>
      <c r="L1306" s="260"/>
      <c r="M1306" s="260"/>
      <c r="N1306" s="260"/>
      <c r="O1306" s="235"/>
      <c r="P1306" s="235"/>
      <c r="Q1306" s="235"/>
    </row>
    <row r="1307" spans="2:17">
      <c r="B1307" s="241"/>
      <c r="C1307" s="241"/>
      <c r="D1307" s="241"/>
      <c r="E1307" s="241"/>
      <c r="F1307" s="260"/>
      <c r="G1307" s="260"/>
      <c r="H1307" s="260"/>
      <c r="I1307" s="260"/>
      <c r="J1307" s="260"/>
      <c r="K1307" s="260"/>
      <c r="L1307" s="260"/>
      <c r="M1307" s="260"/>
      <c r="N1307" s="260"/>
      <c r="O1307" s="235"/>
      <c r="P1307" s="235"/>
      <c r="Q1307" s="235"/>
    </row>
    <row r="1308" spans="2:17">
      <c r="B1308" s="241"/>
      <c r="C1308" s="241"/>
      <c r="D1308" s="241"/>
      <c r="E1308" s="241"/>
      <c r="F1308" s="260"/>
      <c r="G1308" s="260"/>
      <c r="H1308" s="260"/>
      <c r="I1308" s="260"/>
      <c r="J1308" s="260"/>
      <c r="K1308" s="260"/>
      <c r="L1308" s="260"/>
      <c r="M1308" s="260"/>
      <c r="N1308" s="260"/>
      <c r="O1308" s="235"/>
      <c r="P1308" s="235"/>
      <c r="Q1308" s="235"/>
    </row>
    <row r="1309" spans="2:17">
      <c r="B1309" s="241"/>
      <c r="C1309" s="241"/>
      <c r="D1309" s="241"/>
      <c r="E1309" s="241"/>
      <c r="F1309" s="260"/>
      <c r="G1309" s="260"/>
      <c r="H1309" s="260"/>
      <c r="I1309" s="260"/>
      <c r="J1309" s="260"/>
      <c r="K1309" s="260"/>
      <c r="L1309" s="260"/>
      <c r="M1309" s="260"/>
      <c r="N1309" s="260"/>
      <c r="O1309" s="235"/>
      <c r="P1309" s="235"/>
      <c r="Q1309" s="235"/>
    </row>
    <row r="1310" spans="2:17">
      <c r="B1310" s="241"/>
      <c r="C1310" s="241"/>
      <c r="D1310" s="241"/>
      <c r="E1310" s="241"/>
      <c r="F1310" s="260"/>
      <c r="G1310" s="260"/>
      <c r="H1310" s="260"/>
      <c r="I1310" s="260"/>
      <c r="J1310" s="260"/>
      <c r="K1310" s="260"/>
      <c r="L1310" s="260"/>
      <c r="M1310" s="260"/>
      <c r="N1310" s="260"/>
      <c r="O1310" s="235"/>
      <c r="P1310" s="235"/>
      <c r="Q1310" s="235"/>
    </row>
    <row r="1311" spans="2:17">
      <c r="B1311" s="241"/>
      <c r="C1311" s="241"/>
      <c r="D1311" s="241"/>
      <c r="E1311" s="241"/>
      <c r="F1311" s="260"/>
      <c r="G1311" s="260"/>
      <c r="H1311" s="260"/>
      <c r="I1311" s="260"/>
      <c r="J1311" s="260"/>
      <c r="K1311" s="260"/>
      <c r="L1311" s="260"/>
      <c r="M1311" s="260"/>
      <c r="N1311" s="260"/>
      <c r="O1311" s="235"/>
      <c r="P1311" s="235"/>
      <c r="Q1311" s="235"/>
    </row>
    <row r="1312" spans="2:17">
      <c r="B1312" s="241"/>
      <c r="C1312" s="241"/>
      <c r="D1312" s="241"/>
      <c r="E1312" s="241"/>
      <c r="F1312" s="260"/>
      <c r="G1312" s="260"/>
      <c r="H1312" s="260"/>
      <c r="I1312" s="260"/>
      <c r="J1312" s="260"/>
      <c r="K1312" s="260"/>
      <c r="L1312" s="260"/>
      <c r="M1312" s="260"/>
      <c r="N1312" s="260"/>
      <c r="O1312" s="235"/>
      <c r="P1312" s="235"/>
      <c r="Q1312" s="235"/>
    </row>
    <row r="1313" spans="2:17">
      <c r="B1313" s="241"/>
      <c r="C1313" s="241"/>
      <c r="D1313" s="241"/>
      <c r="E1313" s="241"/>
      <c r="F1313" s="260"/>
      <c r="G1313" s="260"/>
      <c r="H1313" s="260"/>
      <c r="I1313" s="260"/>
      <c r="J1313" s="260"/>
      <c r="K1313" s="260"/>
      <c r="L1313" s="260"/>
      <c r="M1313" s="260"/>
      <c r="N1313" s="260"/>
      <c r="O1313" s="235"/>
      <c r="P1313" s="235"/>
      <c r="Q1313" s="235"/>
    </row>
    <row r="1314" spans="2:17">
      <c r="B1314" s="241"/>
      <c r="C1314" s="241"/>
      <c r="D1314" s="241"/>
      <c r="E1314" s="241"/>
      <c r="F1314" s="260"/>
      <c r="G1314" s="260"/>
      <c r="H1314" s="260"/>
      <c r="I1314" s="260"/>
      <c r="J1314" s="260"/>
      <c r="K1314" s="260"/>
      <c r="L1314" s="260"/>
      <c r="M1314" s="260"/>
      <c r="N1314" s="260"/>
      <c r="O1314" s="235"/>
      <c r="P1314" s="235"/>
      <c r="Q1314" s="235"/>
    </row>
    <row r="1315" spans="2:17">
      <c r="B1315" s="241"/>
      <c r="C1315" s="241"/>
      <c r="D1315" s="241"/>
      <c r="E1315" s="241"/>
      <c r="F1315" s="260"/>
      <c r="G1315" s="260"/>
      <c r="H1315" s="260"/>
      <c r="I1315" s="260"/>
      <c r="J1315" s="260"/>
      <c r="K1315" s="260"/>
      <c r="L1315" s="260"/>
      <c r="M1315" s="260"/>
      <c r="N1315" s="260"/>
      <c r="O1315" s="235"/>
      <c r="P1315" s="235"/>
      <c r="Q1315" s="235"/>
    </row>
    <row r="1316" spans="2:17">
      <c r="B1316" s="241"/>
      <c r="C1316" s="241"/>
      <c r="D1316" s="241"/>
      <c r="E1316" s="241"/>
      <c r="F1316" s="260"/>
      <c r="G1316" s="260"/>
      <c r="H1316" s="260"/>
      <c r="I1316" s="260"/>
      <c r="J1316" s="260"/>
      <c r="K1316" s="260"/>
      <c r="L1316" s="260"/>
      <c r="M1316" s="260"/>
      <c r="N1316" s="260"/>
      <c r="O1316" s="235"/>
      <c r="P1316" s="235"/>
      <c r="Q1316" s="235"/>
    </row>
    <row r="1317" spans="2:17">
      <c r="B1317" s="241"/>
      <c r="C1317" s="241"/>
      <c r="D1317" s="241"/>
      <c r="E1317" s="241"/>
      <c r="F1317" s="260"/>
      <c r="G1317" s="260"/>
      <c r="H1317" s="260"/>
      <c r="I1317" s="260"/>
      <c r="J1317" s="260"/>
      <c r="K1317" s="260"/>
      <c r="L1317" s="260"/>
      <c r="M1317" s="260"/>
      <c r="N1317" s="260"/>
      <c r="O1317" s="235"/>
      <c r="P1317" s="235"/>
      <c r="Q1317" s="235"/>
    </row>
    <row r="1318" spans="2:17">
      <c r="B1318" s="241"/>
      <c r="C1318" s="241"/>
      <c r="D1318" s="241"/>
      <c r="E1318" s="241"/>
      <c r="F1318" s="260"/>
      <c r="G1318" s="260"/>
      <c r="H1318" s="260"/>
      <c r="I1318" s="260"/>
      <c r="J1318" s="260"/>
      <c r="K1318" s="260"/>
      <c r="L1318" s="260"/>
      <c r="M1318" s="260"/>
      <c r="N1318" s="260"/>
      <c r="O1318" s="235"/>
      <c r="P1318" s="235"/>
      <c r="Q1318" s="235"/>
    </row>
    <row r="1319" spans="2:17">
      <c r="B1319" s="241"/>
      <c r="C1319" s="241"/>
      <c r="D1319" s="241"/>
      <c r="E1319" s="241"/>
      <c r="F1319" s="260"/>
      <c r="G1319" s="260"/>
      <c r="H1319" s="260"/>
      <c r="I1319" s="260"/>
      <c r="J1319" s="260"/>
      <c r="K1319" s="260"/>
      <c r="L1319" s="260"/>
      <c r="M1319" s="260"/>
      <c r="N1319" s="260"/>
      <c r="O1319" s="235"/>
      <c r="P1319" s="235"/>
      <c r="Q1319" s="235"/>
    </row>
    <row r="1320" spans="2:17">
      <c r="B1320" s="241"/>
      <c r="C1320" s="241"/>
      <c r="D1320" s="241"/>
      <c r="E1320" s="241"/>
      <c r="F1320" s="260"/>
      <c r="G1320" s="260"/>
      <c r="H1320" s="260"/>
      <c r="I1320" s="260"/>
      <c r="J1320" s="260"/>
      <c r="K1320" s="260"/>
      <c r="L1320" s="260"/>
      <c r="M1320" s="260"/>
      <c r="N1320" s="260"/>
      <c r="O1320" s="235"/>
      <c r="P1320" s="235"/>
      <c r="Q1320" s="235"/>
    </row>
    <row r="1321" spans="2:17">
      <c r="B1321" s="241"/>
      <c r="C1321" s="241"/>
      <c r="D1321" s="241"/>
      <c r="E1321" s="241"/>
      <c r="F1321" s="260"/>
      <c r="G1321" s="260"/>
      <c r="H1321" s="260"/>
      <c r="I1321" s="260"/>
      <c r="J1321" s="260"/>
      <c r="K1321" s="260"/>
      <c r="L1321" s="260"/>
      <c r="M1321" s="260"/>
      <c r="N1321" s="260"/>
      <c r="O1321" s="235"/>
      <c r="P1321" s="235"/>
      <c r="Q1321" s="235"/>
    </row>
    <row r="1322" spans="2:17">
      <c r="B1322" s="241"/>
      <c r="C1322" s="241"/>
      <c r="D1322" s="241"/>
      <c r="E1322" s="241"/>
      <c r="F1322" s="260"/>
      <c r="G1322" s="260"/>
      <c r="H1322" s="260"/>
      <c r="I1322" s="260"/>
      <c r="J1322" s="260"/>
      <c r="K1322" s="260"/>
      <c r="L1322" s="260"/>
      <c r="M1322" s="260"/>
      <c r="N1322" s="260"/>
      <c r="O1322" s="235"/>
      <c r="P1322" s="235"/>
      <c r="Q1322" s="235"/>
    </row>
    <row r="1323" spans="2:17">
      <c r="B1323" s="241"/>
      <c r="C1323" s="241"/>
      <c r="D1323" s="241"/>
      <c r="E1323" s="241"/>
      <c r="F1323" s="260"/>
      <c r="G1323" s="260"/>
      <c r="H1323" s="260"/>
      <c r="I1323" s="260"/>
      <c r="J1323" s="260"/>
      <c r="K1323" s="260"/>
      <c r="L1323" s="260"/>
      <c r="M1323" s="260"/>
      <c r="N1323" s="260"/>
      <c r="O1323" s="235"/>
      <c r="P1323" s="235"/>
      <c r="Q1323" s="235"/>
    </row>
    <row r="1324" spans="2:17">
      <c r="B1324" s="241"/>
      <c r="C1324" s="241"/>
      <c r="D1324" s="241"/>
      <c r="E1324" s="241"/>
      <c r="F1324" s="260"/>
      <c r="G1324" s="260"/>
      <c r="H1324" s="260"/>
      <c r="I1324" s="260"/>
      <c r="J1324" s="260"/>
      <c r="K1324" s="260"/>
      <c r="L1324" s="260"/>
      <c r="M1324" s="260"/>
      <c r="N1324" s="260"/>
      <c r="O1324" s="235"/>
      <c r="P1324" s="235"/>
      <c r="Q1324" s="235"/>
    </row>
    <row r="1325" spans="2:17">
      <c r="B1325" s="241"/>
      <c r="C1325" s="241"/>
      <c r="D1325" s="241"/>
      <c r="E1325" s="241"/>
      <c r="F1325" s="260"/>
      <c r="G1325" s="260"/>
      <c r="H1325" s="260"/>
      <c r="I1325" s="260"/>
      <c r="J1325" s="260"/>
      <c r="K1325" s="260"/>
      <c r="L1325" s="260"/>
      <c r="M1325" s="260"/>
      <c r="N1325" s="260"/>
      <c r="O1325" s="235"/>
      <c r="P1325" s="235"/>
      <c r="Q1325" s="235"/>
    </row>
    <row r="1326" spans="2:17">
      <c r="B1326" s="241"/>
      <c r="C1326" s="241"/>
      <c r="D1326" s="241"/>
      <c r="E1326" s="241"/>
      <c r="F1326" s="260"/>
      <c r="G1326" s="260"/>
      <c r="H1326" s="260"/>
      <c r="I1326" s="260"/>
      <c r="J1326" s="260"/>
      <c r="K1326" s="260"/>
      <c r="L1326" s="260"/>
      <c r="M1326" s="260"/>
      <c r="N1326" s="260"/>
      <c r="O1326" s="235"/>
      <c r="P1326" s="235"/>
      <c r="Q1326" s="235"/>
    </row>
    <row r="1327" spans="2:17">
      <c r="B1327" s="241"/>
      <c r="C1327" s="241"/>
      <c r="D1327" s="241"/>
      <c r="E1327" s="241"/>
      <c r="F1327" s="260"/>
      <c r="G1327" s="260"/>
      <c r="H1327" s="260"/>
      <c r="I1327" s="260"/>
      <c r="J1327" s="260"/>
      <c r="K1327" s="260"/>
      <c r="L1327" s="260"/>
      <c r="M1327" s="260"/>
      <c r="N1327" s="260"/>
      <c r="O1327" s="235"/>
      <c r="P1327" s="235"/>
      <c r="Q1327" s="235"/>
    </row>
    <row r="1328" spans="2:17">
      <c r="B1328" s="241"/>
      <c r="C1328" s="241"/>
      <c r="D1328" s="241"/>
      <c r="E1328" s="241"/>
      <c r="F1328" s="260"/>
      <c r="G1328" s="260"/>
      <c r="H1328" s="260"/>
      <c r="I1328" s="260"/>
      <c r="J1328" s="260"/>
      <c r="K1328" s="260"/>
      <c r="L1328" s="260"/>
      <c r="M1328" s="260"/>
      <c r="N1328" s="260"/>
      <c r="O1328" s="235"/>
      <c r="P1328" s="235"/>
      <c r="Q1328" s="235"/>
    </row>
    <row r="1329" spans="2:17">
      <c r="B1329" s="241"/>
      <c r="C1329" s="241"/>
      <c r="D1329" s="241"/>
      <c r="E1329" s="241"/>
      <c r="F1329" s="260"/>
      <c r="G1329" s="260"/>
      <c r="H1329" s="260"/>
      <c r="I1329" s="260"/>
      <c r="J1329" s="260"/>
      <c r="K1329" s="260"/>
      <c r="L1329" s="260"/>
      <c r="M1329" s="260"/>
      <c r="N1329" s="260"/>
      <c r="O1329" s="235"/>
      <c r="P1329" s="235"/>
      <c r="Q1329" s="235"/>
    </row>
    <row r="1330" spans="2:17">
      <c r="B1330" s="241"/>
      <c r="C1330" s="241"/>
      <c r="D1330" s="241"/>
      <c r="E1330" s="241"/>
      <c r="F1330" s="260"/>
      <c r="G1330" s="260"/>
      <c r="H1330" s="260"/>
      <c r="I1330" s="260"/>
      <c r="J1330" s="260"/>
      <c r="K1330" s="260"/>
      <c r="L1330" s="260"/>
      <c r="M1330" s="260"/>
      <c r="N1330" s="260"/>
      <c r="O1330" s="235"/>
      <c r="P1330" s="235"/>
      <c r="Q1330" s="235"/>
    </row>
    <row r="1331" spans="2:17">
      <c r="B1331" s="241"/>
      <c r="C1331" s="241"/>
      <c r="D1331" s="241"/>
      <c r="E1331" s="241"/>
      <c r="F1331" s="260"/>
      <c r="G1331" s="260"/>
      <c r="H1331" s="260"/>
      <c r="I1331" s="260"/>
      <c r="J1331" s="260"/>
      <c r="K1331" s="260"/>
      <c r="L1331" s="260"/>
      <c r="M1331" s="260"/>
      <c r="N1331" s="260"/>
      <c r="O1331" s="235"/>
      <c r="P1331" s="235"/>
      <c r="Q1331" s="235"/>
    </row>
    <row r="1332" spans="2:17">
      <c r="B1332" s="241"/>
      <c r="C1332" s="241"/>
      <c r="D1332" s="241"/>
      <c r="E1332" s="241"/>
      <c r="F1332" s="260"/>
      <c r="G1332" s="260"/>
      <c r="H1332" s="260"/>
      <c r="I1332" s="260"/>
      <c r="J1332" s="260"/>
      <c r="K1332" s="260"/>
      <c r="L1332" s="260"/>
      <c r="M1332" s="260"/>
      <c r="N1332" s="260"/>
      <c r="O1332" s="235"/>
      <c r="P1332" s="235"/>
      <c r="Q1332" s="235"/>
    </row>
    <row r="1333" spans="2:17">
      <c r="B1333" s="241"/>
      <c r="C1333" s="241"/>
      <c r="D1333" s="241"/>
      <c r="E1333" s="241"/>
      <c r="F1333" s="260"/>
      <c r="G1333" s="260"/>
      <c r="H1333" s="260"/>
      <c r="I1333" s="260"/>
      <c r="J1333" s="260"/>
      <c r="K1333" s="260"/>
      <c r="L1333" s="260"/>
      <c r="M1333" s="260"/>
      <c r="N1333" s="260"/>
      <c r="O1333" s="235"/>
      <c r="P1333" s="235"/>
      <c r="Q1333" s="235"/>
    </row>
    <row r="1334" spans="2:17">
      <c r="B1334" s="241"/>
      <c r="C1334" s="241"/>
      <c r="D1334" s="241"/>
      <c r="E1334" s="241"/>
      <c r="F1334" s="260"/>
      <c r="G1334" s="260"/>
      <c r="H1334" s="260"/>
      <c r="I1334" s="260"/>
      <c r="J1334" s="260"/>
      <c r="K1334" s="260"/>
      <c r="L1334" s="260"/>
      <c r="M1334" s="260"/>
      <c r="N1334" s="260"/>
      <c r="O1334" s="235"/>
      <c r="P1334" s="235"/>
      <c r="Q1334" s="235"/>
    </row>
    <row r="1335" spans="2:17">
      <c r="B1335" s="241"/>
      <c r="C1335" s="241"/>
      <c r="D1335" s="241"/>
      <c r="E1335" s="241"/>
      <c r="F1335" s="260"/>
      <c r="G1335" s="260"/>
      <c r="H1335" s="260"/>
      <c r="I1335" s="260"/>
      <c r="J1335" s="260"/>
      <c r="K1335" s="260"/>
      <c r="L1335" s="260"/>
      <c r="M1335" s="260"/>
      <c r="N1335" s="260"/>
      <c r="O1335" s="235"/>
      <c r="P1335" s="235"/>
      <c r="Q1335" s="235"/>
    </row>
    <row r="1336" spans="2:17">
      <c r="B1336" s="241"/>
      <c r="C1336" s="241"/>
      <c r="D1336" s="241"/>
      <c r="E1336" s="241"/>
      <c r="F1336" s="260"/>
      <c r="G1336" s="260"/>
      <c r="H1336" s="260"/>
      <c r="I1336" s="260"/>
      <c r="J1336" s="260"/>
      <c r="K1336" s="260"/>
      <c r="L1336" s="260"/>
      <c r="M1336" s="260"/>
      <c r="N1336" s="260"/>
      <c r="O1336" s="235"/>
      <c r="P1336" s="235"/>
      <c r="Q1336" s="235"/>
    </row>
    <row r="1337" spans="2:17">
      <c r="B1337" s="241"/>
      <c r="C1337" s="241"/>
      <c r="D1337" s="241"/>
      <c r="E1337" s="241"/>
      <c r="F1337" s="260"/>
      <c r="G1337" s="260"/>
      <c r="H1337" s="260"/>
      <c r="I1337" s="260"/>
      <c r="J1337" s="260"/>
      <c r="K1337" s="260"/>
      <c r="L1337" s="260"/>
      <c r="M1337" s="260"/>
      <c r="N1337" s="260"/>
      <c r="O1337" s="235"/>
      <c r="P1337" s="235"/>
      <c r="Q1337" s="235"/>
    </row>
    <row r="1338" spans="2:17">
      <c r="B1338" s="241"/>
      <c r="C1338" s="241"/>
      <c r="D1338" s="241"/>
      <c r="E1338" s="241"/>
      <c r="F1338" s="260"/>
      <c r="G1338" s="260"/>
      <c r="H1338" s="260"/>
      <c r="I1338" s="260"/>
      <c r="J1338" s="260"/>
      <c r="K1338" s="260"/>
      <c r="L1338" s="260"/>
      <c r="M1338" s="260"/>
      <c r="N1338" s="260"/>
      <c r="O1338" s="235"/>
      <c r="P1338" s="235"/>
      <c r="Q1338" s="235"/>
    </row>
    <row r="1339" spans="2:17">
      <c r="B1339" s="241"/>
      <c r="C1339" s="241"/>
      <c r="D1339" s="241"/>
      <c r="E1339" s="241"/>
      <c r="F1339" s="260"/>
      <c r="G1339" s="260"/>
      <c r="H1339" s="260"/>
      <c r="I1339" s="260"/>
      <c r="J1339" s="260"/>
      <c r="K1339" s="260"/>
      <c r="L1339" s="260"/>
      <c r="M1339" s="260"/>
      <c r="N1339" s="260"/>
      <c r="O1339" s="235"/>
      <c r="P1339" s="235"/>
      <c r="Q1339" s="235"/>
    </row>
    <row r="1340" spans="2:17">
      <c r="B1340" s="241"/>
      <c r="C1340" s="241"/>
      <c r="D1340" s="241"/>
      <c r="E1340" s="241"/>
      <c r="F1340" s="260"/>
      <c r="G1340" s="260"/>
      <c r="H1340" s="260"/>
      <c r="I1340" s="260"/>
      <c r="J1340" s="260"/>
      <c r="K1340" s="260"/>
      <c r="L1340" s="260"/>
      <c r="M1340" s="260"/>
      <c r="N1340" s="260"/>
      <c r="O1340" s="235"/>
      <c r="P1340" s="235"/>
      <c r="Q1340" s="235"/>
    </row>
    <row r="1341" spans="2:17">
      <c r="B1341" s="241"/>
      <c r="C1341" s="241"/>
      <c r="D1341" s="241"/>
      <c r="E1341" s="241"/>
      <c r="F1341" s="260"/>
      <c r="G1341" s="260"/>
      <c r="H1341" s="260"/>
      <c r="I1341" s="260"/>
      <c r="J1341" s="260"/>
      <c r="K1341" s="260"/>
      <c r="L1341" s="260"/>
      <c r="M1341" s="260"/>
      <c r="N1341" s="260"/>
      <c r="O1341" s="235"/>
      <c r="P1341" s="235"/>
      <c r="Q1341" s="235"/>
    </row>
    <row r="1342" spans="2:17">
      <c r="B1342" s="241"/>
      <c r="C1342" s="241"/>
      <c r="D1342" s="241"/>
      <c r="E1342" s="241"/>
      <c r="F1342" s="260"/>
      <c r="G1342" s="260"/>
      <c r="H1342" s="260"/>
      <c r="I1342" s="260"/>
      <c r="J1342" s="260"/>
      <c r="K1342" s="260"/>
      <c r="L1342" s="260"/>
      <c r="M1342" s="260"/>
      <c r="N1342" s="260"/>
      <c r="O1342" s="235"/>
      <c r="P1342" s="235"/>
      <c r="Q1342" s="235"/>
    </row>
    <row r="1343" spans="2:17">
      <c r="B1343" s="241"/>
      <c r="C1343" s="241"/>
      <c r="D1343" s="241"/>
      <c r="E1343" s="241"/>
      <c r="F1343" s="260"/>
      <c r="G1343" s="260"/>
      <c r="H1343" s="260"/>
      <c r="I1343" s="260"/>
      <c r="J1343" s="260"/>
      <c r="K1343" s="260"/>
      <c r="L1343" s="260"/>
      <c r="M1343" s="260"/>
      <c r="N1343" s="260"/>
      <c r="O1343" s="235"/>
      <c r="P1343" s="235"/>
      <c r="Q1343" s="235"/>
    </row>
    <row r="1344" spans="2:17">
      <c r="B1344" s="241"/>
      <c r="C1344" s="241"/>
      <c r="D1344" s="241"/>
      <c r="E1344" s="241"/>
      <c r="F1344" s="260"/>
      <c r="G1344" s="260"/>
      <c r="H1344" s="260"/>
      <c r="I1344" s="260"/>
      <c r="J1344" s="260"/>
      <c r="K1344" s="260"/>
      <c r="L1344" s="260"/>
      <c r="M1344" s="260"/>
      <c r="N1344" s="260"/>
      <c r="O1344" s="235"/>
      <c r="P1344" s="235"/>
      <c r="Q1344" s="235"/>
    </row>
    <row r="1345" spans="2:17">
      <c r="B1345" s="241"/>
      <c r="C1345" s="241"/>
      <c r="D1345" s="241"/>
      <c r="E1345" s="241"/>
      <c r="F1345" s="260"/>
      <c r="G1345" s="260"/>
      <c r="H1345" s="260"/>
      <c r="I1345" s="260"/>
      <c r="J1345" s="260"/>
      <c r="K1345" s="260"/>
      <c r="L1345" s="260"/>
      <c r="M1345" s="260"/>
      <c r="N1345" s="260"/>
      <c r="O1345" s="235"/>
      <c r="P1345" s="235"/>
      <c r="Q1345" s="235"/>
    </row>
    <row r="1346" spans="2:17">
      <c r="B1346" s="241"/>
      <c r="C1346" s="241"/>
      <c r="D1346" s="241"/>
      <c r="E1346" s="241"/>
      <c r="F1346" s="260"/>
      <c r="G1346" s="260"/>
      <c r="H1346" s="260"/>
      <c r="I1346" s="260"/>
      <c r="J1346" s="260"/>
      <c r="K1346" s="260"/>
      <c r="L1346" s="260"/>
      <c r="M1346" s="260"/>
      <c r="N1346" s="260"/>
      <c r="O1346" s="235"/>
      <c r="P1346" s="235"/>
      <c r="Q1346" s="235"/>
    </row>
    <row r="1347" spans="2:17">
      <c r="B1347" s="241"/>
      <c r="C1347" s="241"/>
      <c r="D1347" s="241"/>
      <c r="E1347" s="241"/>
      <c r="F1347" s="260"/>
      <c r="G1347" s="260"/>
      <c r="H1347" s="260"/>
      <c r="I1347" s="260"/>
      <c r="J1347" s="260"/>
      <c r="K1347" s="260"/>
      <c r="L1347" s="260"/>
      <c r="M1347" s="260"/>
      <c r="N1347" s="260"/>
      <c r="O1347" s="235"/>
      <c r="P1347" s="235"/>
      <c r="Q1347" s="235"/>
    </row>
    <row r="1348" spans="2:17">
      <c r="B1348" s="241"/>
      <c r="C1348" s="241"/>
      <c r="D1348" s="241"/>
      <c r="E1348" s="241"/>
      <c r="F1348" s="260"/>
      <c r="G1348" s="260"/>
      <c r="H1348" s="260"/>
      <c r="I1348" s="260"/>
      <c r="J1348" s="260"/>
      <c r="K1348" s="260"/>
      <c r="L1348" s="260"/>
      <c r="M1348" s="260"/>
      <c r="N1348" s="260"/>
      <c r="O1348" s="235"/>
      <c r="P1348" s="235"/>
      <c r="Q1348" s="235"/>
    </row>
    <row r="1349" spans="2:17">
      <c r="B1349" s="241"/>
      <c r="C1349" s="241"/>
      <c r="D1349" s="241"/>
      <c r="E1349" s="241"/>
      <c r="F1349" s="260"/>
      <c r="G1349" s="260"/>
      <c r="H1349" s="260"/>
      <c r="I1349" s="260"/>
      <c r="J1349" s="260"/>
      <c r="K1349" s="260"/>
      <c r="L1349" s="260"/>
      <c r="M1349" s="260"/>
      <c r="N1349" s="260"/>
      <c r="O1349" s="235"/>
      <c r="P1349" s="235"/>
      <c r="Q1349" s="235"/>
    </row>
    <row r="1350" spans="2:17">
      <c r="B1350" s="241"/>
      <c r="C1350" s="241"/>
      <c r="D1350" s="241"/>
      <c r="E1350" s="241"/>
      <c r="F1350" s="260"/>
      <c r="G1350" s="260"/>
      <c r="H1350" s="260"/>
      <c r="I1350" s="260"/>
      <c r="J1350" s="260"/>
      <c r="K1350" s="260"/>
      <c r="L1350" s="260"/>
      <c r="M1350" s="260"/>
      <c r="N1350" s="260"/>
      <c r="O1350" s="235"/>
      <c r="P1350" s="235"/>
      <c r="Q1350" s="235"/>
    </row>
    <row r="1351" spans="2:17">
      <c r="B1351" s="241"/>
      <c r="C1351" s="241"/>
      <c r="D1351" s="241"/>
      <c r="E1351" s="241"/>
      <c r="F1351" s="260"/>
      <c r="G1351" s="260"/>
      <c r="H1351" s="260"/>
      <c r="I1351" s="260"/>
      <c r="J1351" s="260"/>
      <c r="K1351" s="260"/>
      <c r="L1351" s="260"/>
      <c r="M1351" s="260"/>
      <c r="N1351" s="260"/>
      <c r="O1351" s="235"/>
      <c r="P1351" s="235"/>
      <c r="Q1351" s="235"/>
    </row>
    <row r="1352" spans="2:17">
      <c r="B1352" s="241"/>
      <c r="C1352" s="241"/>
      <c r="D1352" s="241"/>
      <c r="E1352" s="241"/>
      <c r="F1352" s="260"/>
      <c r="G1352" s="260"/>
      <c r="H1352" s="260"/>
      <c r="I1352" s="260"/>
      <c r="J1352" s="260"/>
      <c r="K1352" s="260"/>
      <c r="L1352" s="260"/>
      <c r="M1352" s="260"/>
      <c r="N1352" s="260"/>
      <c r="O1352" s="235"/>
      <c r="P1352" s="235"/>
      <c r="Q1352" s="235"/>
    </row>
    <row r="1353" spans="2:17">
      <c r="B1353" s="241"/>
      <c r="C1353" s="241"/>
      <c r="D1353" s="241"/>
      <c r="E1353" s="241"/>
      <c r="F1353" s="260"/>
      <c r="G1353" s="260"/>
      <c r="H1353" s="260"/>
      <c r="I1353" s="260"/>
      <c r="J1353" s="260"/>
      <c r="K1353" s="260"/>
      <c r="L1353" s="260"/>
      <c r="M1353" s="260"/>
      <c r="N1353" s="260"/>
      <c r="O1353" s="235"/>
      <c r="P1353" s="235"/>
      <c r="Q1353" s="235"/>
    </row>
    <row r="1354" spans="2:17">
      <c r="B1354" s="241"/>
      <c r="C1354" s="241"/>
      <c r="D1354" s="241"/>
      <c r="E1354" s="241"/>
      <c r="F1354" s="260"/>
      <c r="G1354" s="260"/>
      <c r="H1354" s="260"/>
      <c r="I1354" s="260"/>
      <c r="J1354" s="260"/>
      <c r="K1354" s="260"/>
      <c r="L1354" s="260"/>
      <c r="M1354" s="260"/>
      <c r="N1354" s="260"/>
      <c r="O1354" s="235"/>
      <c r="P1354" s="235"/>
      <c r="Q1354" s="235"/>
    </row>
    <row r="1355" spans="2:17">
      <c r="B1355" s="241"/>
      <c r="C1355" s="241"/>
      <c r="D1355" s="241"/>
      <c r="E1355" s="241"/>
      <c r="F1355" s="260"/>
      <c r="G1355" s="260"/>
      <c r="H1355" s="260"/>
      <c r="I1355" s="260"/>
      <c r="J1355" s="260"/>
      <c r="K1355" s="260"/>
      <c r="L1355" s="260"/>
      <c r="M1355" s="260"/>
      <c r="N1355" s="260"/>
      <c r="O1355" s="235"/>
      <c r="P1355" s="235"/>
      <c r="Q1355" s="235"/>
    </row>
    <row r="1356" spans="2:17">
      <c r="B1356" s="241"/>
      <c r="C1356" s="241"/>
      <c r="D1356" s="241"/>
      <c r="E1356" s="241"/>
      <c r="F1356" s="260"/>
      <c r="G1356" s="260"/>
      <c r="H1356" s="260"/>
      <c r="I1356" s="260"/>
      <c r="J1356" s="260"/>
      <c r="K1356" s="260"/>
      <c r="L1356" s="260"/>
      <c r="M1356" s="260"/>
      <c r="N1356" s="260"/>
      <c r="O1356" s="235"/>
      <c r="P1356" s="235"/>
      <c r="Q1356" s="235"/>
    </row>
    <row r="1357" spans="2:17">
      <c r="B1357" s="241"/>
      <c r="C1357" s="241"/>
      <c r="D1357" s="241"/>
      <c r="E1357" s="241"/>
      <c r="F1357" s="260"/>
      <c r="G1357" s="260"/>
      <c r="H1357" s="260"/>
      <c r="I1357" s="260"/>
      <c r="J1357" s="260"/>
      <c r="K1357" s="260"/>
      <c r="L1357" s="260"/>
      <c r="M1357" s="260"/>
      <c r="N1357" s="260"/>
      <c r="O1357" s="235"/>
      <c r="P1357" s="235"/>
      <c r="Q1357" s="235"/>
    </row>
    <row r="1358" spans="2:17">
      <c r="B1358" s="241"/>
      <c r="C1358" s="241"/>
      <c r="D1358" s="241"/>
      <c r="E1358" s="241"/>
      <c r="F1358" s="260"/>
      <c r="G1358" s="260"/>
      <c r="H1358" s="260"/>
      <c r="I1358" s="260"/>
      <c r="J1358" s="260"/>
      <c r="K1358" s="260"/>
      <c r="L1358" s="260"/>
      <c r="M1358" s="260"/>
      <c r="N1358" s="260"/>
      <c r="O1358" s="235"/>
      <c r="P1358" s="235"/>
      <c r="Q1358" s="235"/>
    </row>
    <row r="1359" spans="2:17">
      <c r="B1359" s="241"/>
      <c r="C1359" s="241"/>
      <c r="D1359" s="241"/>
      <c r="E1359" s="241"/>
      <c r="F1359" s="260"/>
      <c r="G1359" s="260"/>
      <c r="H1359" s="260"/>
      <c r="I1359" s="260"/>
      <c r="J1359" s="260"/>
      <c r="K1359" s="260"/>
      <c r="L1359" s="260"/>
      <c r="M1359" s="260"/>
      <c r="N1359" s="260"/>
      <c r="O1359" s="235"/>
      <c r="P1359" s="235"/>
      <c r="Q1359" s="235"/>
    </row>
    <row r="1360" spans="2:17">
      <c r="B1360" s="241"/>
      <c r="C1360" s="241"/>
      <c r="D1360" s="241"/>
      <c r="E1360" s="241"/>
      <c r="F1360" s="260"/>
      <c r="G1360" s="260"/>
      <c r="H1360" s="260"/>
      <c r="I1360" s="260"/>
      <c r="J1360" s="260"/>
      <c r="K1360" s="260"/>
      <c r="L1360" s="260"/>
      <c r="M1360" s="260"/>
      <c r="N1360" s="260"/>
      <c r="O1360" s="235"/>
      <c r="P1360" s="235"/>
      <c r="Q1360" s="235"/>
    </row>
    <row r="1361" spans="2:17">
      <c r="B1361" s="241"/>
      <c r="C1361" s="241"/>
      <c r="D1361" s="241"/>
      <c r="E1361" s="241"/>
      <c r="F1361" s="260"/>
      <c r="G1361" s="260"/>
      <c r="H1361" s="260"/>
      <c r="I1361" s="260"/>
      <c r="J1361" s="260"/>
      <c r="K1361" s="260"/>
      <c r="L1361" s="260"/>
      <c r="M1361" s="260"/>
      <c r="N1361" s="260"/>
      <c r="O1361" s="235"/>
      <c r="P1361" s="235"/>
      <c r="Q1361" s="235"/>
    </row>
    <row r="1362" spans="2:17">
      <c r="B1362" s="241"/>
      <c r="C1362" s="241"/>
      <c r="D1362" s="241"/>
      <c r="E1362" s="241"/>
      <c r="F1362" s="260"/>
      <c r="G1362" s="260"/>
      <c r="H1362" s="260"/>
      <c r="I1362" s="260"/>
      <c r="J1362" s="260"/>
      <c r="K1362" s="260"/>
      <c r="L1362" s="260"/>
      <c r="M1362" s="260"/>
      <c r="N1362" s="260"/>
      <c r="O1362" s="235"/>
      <c r="P1362" s="235"/>
      <c r="Q1362" s="235"/>
    </row>
    <row r="1363" spans="2:17">
      <c r="B1363" s="241"/>
      <c r="C1363" s="241"/>
      <c r="D1363" s="241"/>
      <c r="E1363" s="241"/>
      <c r="F1363" s="260"/>
      <c r="G1363" s="260"/>
      <c r="H1363" s="260"/>
      <c r="I1363" s="260"/>
      <c r="J1363" s="260"/>
      <c r="K1363" s="260"/>
      <c r="L1363" s="260"/>
      <c r="M1363" s="260"/>
      <c r="N1363" s="260"/>
      <c r="O1363" s="235"/>
      <c r="P1363" s="235"/>
      <c r="Q1363" s="235"/>
    </row>
    <row r="1364" spans="2:17">
      <c r="B1364" s="241"/>
      <c r="C1364" s="241"/>
      <c r="D1364" s="241"/>
      <c r="E1364" s="241"/>
      <c r="F1364" s="260"/>
      <c r="G1364" s="260"/>
      <c r="H1364" s="260"/>
      <c r="I1364" s="260"/>
      <c r="J1364" s="260"/>
      <c r="K1364" s="260"/>
      <c r="L1364" s="260"/>
      <c r="M1364" s="260"/>
      <c r="N1364" s="260"/>
      <c r="O1364" s="235"/>
      <c r="P1364" s="235"/>
      <c r="Q1364" s="235"/>
    </row>
    <row r="1365" spans="2:17">
      <c r="B1365" s="241"/>
      <c r="C1365" s="241"/>
      <c r="D1365" s="241"/>
      <c r="E1365" s="241"/>
      <c r="F1365" s="260"/>
      <c r="G1365" s="260"/>
      <c r="H1365" s="260"/>
      <c r="I1365" s="260"/>
      <c r="J1365" s="260"/>
      <c r="K1365" s="260"/>
      <c r="L1365" s="260"/>
      <c r="M1365" s="260"/>
      <c r="N1365" s="260"/>
      <c r="O1365" s="235"/>
      <c r="P1365" s="235"/>
      <c r="Q1365" s="235"/>
    </row>
    <row r="1366" spans="2:17">
      <c r="B1366" s="241"/>
      <c r="C1366" s="241"/>
      <c r="D1366" s="241"/>
      <c r="E1366" s="241"/>
      <c r="F1366" s="260"/>
      <c r="G1366" s="260"/>
      <c r="H1366" s="260"/>
      <c r="I1366" s="260"/>
      <c r="J1366" s="260"/>
      <c r="K1366" s="260"/>
      <c r="L1366" s="260"/>
      <c r="M1366" s="260"/>
      <c r="N1366" s="260"/>
      <c r="O1366" s="235"/>
      <c r="P1366" s="235"/>
      <c r="Q1366" s="235"/>
    </row>
    <row r="1367" spans="2:17">
      <c r="B1367" s="241"/>
      <c r="C1367" s="241"/>
      <c r="D1367" s="241"/>
      <c r="E1367" s="241"/>
      <c r="F1367" s="260"/>
      <c r="G1367" s="260"/>
      <c r="H1367" s="260"/>
      <c r="I1367" s="260"/>
      <c r="J1367" s="260"/>
      <c r="K1367" s="260"/>
      <c r="L1367" s="260"/>
      <c r="M1367" s="260"/>
      <c r="N1367" s="260"/>
      <c r="O1367" s="235"/>
      <c r="P1367" s="235"/>
      <c r="Q1367" s="235"/>
    </row>
    <row r="1368" spans="2:17">
      <c r="B1368" s="241"/>
      <c r="C1368" s="241"/>
      <c r="D1368" s="241"/>
      <c r="E1368" s="241"/>
      <c r="F1368" s="260"/>
      <c r="G1368" s="260"/>
      <c r="H1368" s="260"/>
      <c r="I1368" s="260"/>
      <c r="J1368" s="260"/>
      <c r="K1368" s="260"/>
      <c r="L1368" s="260"/>
      <c r="M1368" s="260"/>
      <c r="N1368" s="260"/>
      <c r="O1368" s="235"/>
      <c r="P1368" s="235"/>
      <c r="Q1368" s="235"/>
    </row>
    <row r="1369" spans="2:17">
      <c r="B1369" s="241"/>
      <c r="C1369" s="241"/>
      <c r="D1369" s="241"/>
      <c r="E1369" s="241"/>
      <c r="F1369" s="260"/>
      <c r="G1369" s="260"/>
      <c r="H1369" s="260"/>
      <c r="I1369" s="260"/>
      <c r="J1369" s="260"/>
      <c r="K1369" s="260"/>
      <c r="L1369" s="260"/>
      <c r="M1369" s="260"/>
      <c r="N1369" s="260"/>
      <c r="O1369" s="235"/>
      <c r="P1369" s="235"/>
      <c r="Q1369" s="235"/>
    </row>
    <row r="1370" spans="2:17">
      <c r="B1370" s="241"/>
      <c r="C1370" s="241"/>
      <c r="D1370" s="241"/>
      <c r="E1370" s="241"/>
      <c r="F1370" s="260"/>
      <c r="G1370" s="260"/>
      <c r="H1370" s="260"/>
      <c r="I1370" s="260"/>
      <c r="J1370" s="260"/>
      <c r="K1370" s="260"/>
      <c r="L1370" s="260"/>
      <c r="M1370" s="260"/>
      <c r="N1370" s="260"/>
      <c r="O1370" s="235"/>
      <c r="P1370" s="235"/>
      <c r="Q1370" s="235"/>
    </row>
    <row r="1371" spans="2:17">
      <c r="B1371" s="241"/>
      <c r="C1371" s="241"/>
      <c r="D1371" s="241"/>
      <c r="E1371" s="241"/>
      <c r="F1371" s="260"/>
      <c r="G1371" s="260"/>
      <c r="H1371" s="260"/>
      <c r="I1371" s="260"/>
      <c r="J1371" s="260"/>
      <c r="K1371" s="260"/>
      <c r="L1371" s="260"/>
      <c r="M1371" s="260"/>
      <c r="N1371" s="260"/>
      <c r="O1371" s="235"/>
      <c r="P1371" s="235"/>
      <c r="Q1371" s="235"/>
    </row>
    <row r="1372" spans="2:17">
      <c r="B1372" s="241"/>
      <c r="C1372" s="241"/>
      <c r="D1372" s="241"/>
      <c r="E1372" s="241"/>
      <c r="F1372" s="260"/>
      <c r="G1372" s="260"/>
      <c r="H1372" s="260"/>
      <c r="I1372" s="260"/>
      <c r="J1372" s="260"/>
      <c r="K1372" s="260"/>
      <c r="L1372" s="260"/>
      <c r="M1372" s="260"/>
      <c r="N1372" s="260"/>
      <c r="O1372" s="235"/>
      <c r="P1372" s="235"/>
      <c r="Q1372" s="235"/>
    </row>
    <row r="1373" spans="2:17">
      <c r="B1373" s="241"/>
      <c r="C1373" s="241"/>
      <c r="D1373" s="241"/>
      <c r="E1373" s="241"/>
      <c r="F1373" s="260"/>
      <c r="G1373" s="260"/>
      <c r="H1373" s="260"/>
      <c r="I1373" s="260"/>
      <c r="J1373" s="260"/>
      <c r="K1373" s="260"/>
      <c r="L1373" s="260"/>
      <c r="M1373" s="260"/>
      <c r="N1373" s="260"/>
      <c r="O1373" s="235"/>
      <c r="P1373" s="235"/>
      <c r="Q1373" s="235"/>
    </row>
    <row r="1374" spans="2:17">
      <c r="B1374" s="241"/>
      <c r="C1374" s="241"/>
      <c r="D1374" s="241"/>
      <c r="E1374" s="241"/>
      <c r="F1374" s="260"/>
      <c r="G1374" s="260"/>
      <c r="H1374" s="260"/>
      <c r="I1374" s="260"/>
      <c r="J1374" s="260"/>
      <c r="K1374" s="260"/>
      <c r="L1374" s="260"/>
      <c r="M1374" s="260"/>
      <c r="N1374" s="260"/>
      <c r="O1374" s="235"/>
      <c r="P1374" s="235"/>
      <c r="Q1374" s="235"/>
    </row>
    <row r="1375" spans="2:17">
      <c r="B1375" s="241"/>
      <c r="C1375" s="241"/>
      <c r="D1375" s="241"/>
      <c r="E1375" s="241"/>
      <c r="F1375" s="260"/>
      <c r="G1375" s="260"/>
      <c r="H1375" s="260"/>
      <c r="I1375" s="260"/>
      <c r="J1375" s="260"/>
      <c r="K1375" s="260"/>
      <c r="L1375" s="260"/>
      <c r="M1375" s="260"/>
      <c r="N1375" s="260"/>
      <c r="O1375" s="235"/>
      <c r="P1375" s="235"/>
      <c r="Q1375" s="235"/>
    </row>
    <row r="1376" spans="2:17">
      <c r="B1376" s="241"/>
      <c r="C1376" s="241"/>
      <c r="D1376" s="241"/>
      <c r="E1376" s="241"/>
      <c r="F1376" s="260"/>
      <c r="G1376" s="260"/>
      <c r="H1376" s="260"/>
      <c r="I1376" s="260"/>
      <c r="J1376" s="260"/>
      <c r="K1376" s="260"/>
      <c r="L1376" s="260"/>
      <c r="M1376" s="260"/>
      <c r="N1376" s="260"/>
      <c r="O1376" s="235"/>
      <c r="P1376" s="235"/>
      <c r="Q1376" s="235"/>
    </row>
    <row r="1377" spans="2:17">
      <c r="B1377" s="241"/>
      <c r="C1377" s="241"/>
      <c r="D1377" s="241"/>
      <c r="E1377" s="241"/>
      <c r="F1377" s="260"/>
      <c r="G1377" s="260"/>
      <c r="H1377" s="260"/>
      <c r="I1377" s="260"/>
      <c r="J1377" s="260"/>
      <c r="K1377" s="260"/>
      <c r="L1377" s="260"/>
      <c r="M1377" s="260"/>
      <c r="N1377" s="260"/>
      <c r="O1377" s="235"/>
      <c r="P1377" s="235"/>
      <c r="Q1377" s="235"/>
    </row>
    <row r="1378" spans="2:17">
      <c r="B1378" s="241"/>
      <c r="C1378" s="241"/>
      <c r="D1378" s="241"/>
      <c r="E1378" s="241"/>
      <c r="F1378" s="260"/>
      <c r="G1378" s="260"/>
      <c r="H1378" s="260"/>
      <c r="I1378" s="260"/>
      <c r="J1378" s="260"/>
      <c r="K1378" s="260"/>
      <c r="L1378" s="260"/>
      <c r="M1378" s="260"/>
      <c r="N1378" s="260"/>
      <c r="O1378" s="235"/>
      <c r="P1378" s="235"/>
      <c r="Q1378" s="235"/>
    </row>
    <row r="1379" spans="2:17">
      <c r="B1379" s="241"/>
      <c r="C1379" s="241"/>
      <c r="D1379" s="241"/>
      <c r="E1379" s="241"/>
      <c r="F1379" s="260"/>
      <c r="G1379" s="260"/>
      <c r="H1379" s="260"/>
      <c r="I1379" s="260"/>
      <c r="J1379" s="260"/>
      <c r="K1379" s="260"/>
      <c r="L1379" s="260"/>
      <c r="M1379" s="260"/>
      <c r="N1379" s="260"/>
      <c r="O1379" s="235"/>
      <c r="P1379" s="235"/>
      <c r="Q1379" s="235"/>
    </row>
    <row r="1380" spans="2:17">
      <c r="B1380" s="241"/>
      <c r="C1380" s="241"/>
      <c r="D1380" s="241"/>
      <c r="E1380" s="241"/>
      <c r="F1380" s="260"/>
      <c r="G1380" s="260"/>
      <c r="H1380" s="260"/>
      <c r="I1380" s="260"/>
      <c r="J1380" s="260"/>
      <c r="K1380" s="260"/>
      <c r="L1380" s="260"/>
      <c r="M1380" s="260"/>
      <c r="N1380" s="260"/>
      <c r="O1380" s="235"/>
      <c r="P1380" s="235"/>
      <c r="Q1380" s="235"/>
    </row>
    <row r="1381" spans="2:17">
      <c r="B1381" s="241"/>
      <c r="C1381" s="241"/>
      <c r="D1381" s="241"/>
      <c r="E1381" s="241"/>
      <c r="F1381" s="260"/>
      <c r="G1381" s="260"/>
      <c r="H1381" s="260"/>
      <c r="I1381" s="260"/>
      <c r="J1381" s="260"/>
      <c r="K1381" s="260"/>
      <c r="L1381" s="260"/>
      <c r="M1381" s="260"/>
      <c r="N1381" s="260"/>
      <c r="O1381" s="235"/>
      <c r="P1381" s="235"/>
      <c r="Q1381" s="235"/>
    </row>
    <row r="1382" spans="2:17">
      <c r="B1382" s="241"/>
      <c r="C1382" s="241"/>
      <c r="D1382" s="241"/>
      <c r="E1382" s="241"/>
      <c r="F1382" s="260"/>
      <c r="G1382" s="260"/>
      <c r="H1382" s="260"/>
      <c r="I1382" s="260"/>
      <c r="J1382" s="260"/>
      <c r="K1382" s="260"/>
      <c r="L1382" s="260"/>
      <c r="M1382" s="260"/>
      <c r="N1382" s="260"/>
      <c r="O1382" s="235"/>
      <c r="P1382" s="235"/>
      <c r="Q1382" s="235"/>
    </row>
    <row r="1383" spans="2:17">
      <c r="B1383" s="241"/>
      <c r="C1383" s="241"/>
      <c r="D1383" s="241"/>
      <c r="E1383" s="241"/>
      <c r="F1383" s="260"/>
      <c r="G1383" s="260"/>
      <c r="H1383" s="260"/>
      <c r="I1383" s="260"/>
      <c r="J1383" s="260"/>
      <c r="K1383" s="260"/>
      <c r="L1383" s="260"/>
      <c r="M1383" s="260"/>
      <c r="N1383" s="260"/>
      <c r="O1383" s="235"/>
      <c r="P1383" s="235"/>
      <c r="Q1383" s="235"/>
    </row>
    <row r="1384" spans="2:17">
      <c r="B1384" s="241"/>
      <c r="C1384" s="241"/>
      <c r="D1384" s="241"/>
      <c r="E1384" s="241"/>
      <c r="F1384" s="260"/>
      <c r="G1384" s="260"/>
      <c r="H1384" s="260"/>
      <c r="I1384" s="260"/>
      <c r="J1384" s="260"/>
      <c r="K1384" s="260"/>
      <c r="L1384" s="260"/>
      <c r="M1384" s="260"/>
      <c r="N1384" s="260"/>
      <c r="O1384" s="235"/>
      <c r="P1384" s="235"/>
      <c r="Q1384" s="235"/>
    </row>
    <row r="1385" spans="2:17">
      <c r="B1385" s="241"/>
      <c r="C1385" s="241"/>
      <c r="D1385" s="241"/>
      <c r="E1385" s="241"/>
      <c r="F1385" s="260"/>
      <c r="G1385" s="260"/>
      <c r="H1385" s="260"/>
      <c r="I1385" s="260"/>
      <c r="J1385" s="260"/>
      <c r="K1385" s="260"/>
      <c r="L1385" s="260"/>
      <c r="M1385" s="260"/>
      <c r="N1385" s="260"/>
      <c r="O1385" s="235"/>
      <c r="P1385" s="235"/>
      <c r="Q1385" s="235"/>
    </row>
    <row r="1386" spans="2:17">
      <c r="B1386" s="241"/>
      <c r="C1386" s="241"/>
      <c r="D1386" s="241"/>
      <c r="E1386" s="241"/>
      <c r="F1386" s="260"/>
      <c r="G1386" s="260"/>
      <c r="H1386" s="260"/>
      <c r="I1386" s="260"/>
      <c r="J1386" s="260"/>
      <c r="K1386" s="260"/>
      <c r="L1386" s="260"/>
      <c r="M1386" s="260"/>
      <c r="N1386" s="260"/>
      <c r="O1386" s="235"/>
      <c r="P1386" s="235"/>
      <c r="Q1386" s="235"/>
    </row>
    <row r="1387" spans="2:17">
      <c r="B1387" s="241"/>
      <c r="C1387" s="241"/>
      <c r="D1387" s="241"/>
      <c r="E1387" s="241"/>
      <c r="F1387" s="260"/>
      <c r="G1387" s="260"/>
      <c r="H1387" s="260"/>
      <c r="I1387" s="260"/>
      <c r="J1387" s="260"/>
      <c r="K1387" s="260"/>
      <c r="L1387" s="260"/>
      <c r="M1387" s="260"/>
      <c r="N1387" s="260"/>
      <c r="O1387" s="235"/>
      <c r="P1387" s="235"/>
      <c r="Q1387" s="235"/>
    </row>
    <row r="1388" spans="2:17">
      <c r="B1388" s="241"/>
      <c r="C1388" s="241"/>
      <c r="D1388" s="241"/>
      <c r="E1388" s="241"/>
      <c r="F1388" s="260"/>
      <c r="G1388" s="260"/>
      <c r="H1388" s="260"/>
      <c r="I1388" s="260"/>
      <c r="J1388" s="260"/>
      <c r="K1388" s="260"/>
      <c r="L1388" s="260"/>
      <c r="M1388" s="260"/>
      <c r="N1388" s="260"/>
      <c r="O1388" s="235"/>
      <c r="P1388" s="235"/>
      <c r="Q1388" s="235"/>
    </row>
    <row r="1389" spans="2:17">
      <c r="B1389" s="241"/>
      <c r="C1389" s="241"/>
      <c r="D1389" s="241"/>
      <c r="E1389" s="241"/>
      <c r="F1389" s="260"/>
      <c r="G1389" s="260"/>
      <c r="H1389" s="260"/>
      <c r="I1389" s="260"/>
      <c r="J1389" s="260"/>
      <c r="K1389" s="260"/>
      <c r="L1389" s="260"/>
      <c r="M1389" s="260"/>
      <c r="N1389" s="260"/>
      <c r="O1389" s="235"/>
      <c r="P1389" s="235"/>
      <c r="Q1389" s="235"/>
    </row>
    <row r="1390" spans="2:17">
      <c r="B1390" s="241"/>
      <c r="C1390" s="241"/>
      <c r="D1390" s="241"/>
      <c r="E1390" s="241"/>
      <c r="F1390" s="260"/>
      <c r="G1390" s="260"/>
      <c r="H1390" s="260"/>
      <c r="I1390" s="260"/>
      <c r="J1390" s="260"/>
      <c r="K1390" s="260"/>
      <c r="L1390" s="260"/>
      <c r="M1390" s="260"/>
      <c r="N1390" s="260"/>
      <c r="O1390" s="235"/>
      <c r="P1390" s="235"/>
      <c r="Q1390" s="235"/>
    </row>
    <row r="1391" spans="2:17">
      <c r="B1391" s="241"/>
      <c r="C1391" s="241"/>
      <c r="D1391" s="241"/>
      <c r="E1391" s="241"/>
      <c r="F1391" s="260"/>
      <c r="G1391" s="260"/>
      <c r="H1391" s="260"/>
      <c r="I1391" s="260"/>
      <c r="J1391" s="260"/>
      <c r="K1391" s="260"/>
      <c r="L1391" s="260"/>
      <c r="M1391" s="260"/>
      <c r="N1391" s="260"/>
      <c r="O1391" s="235"/>
      <c r="P1391" s="235"/>
      <c r="Q1391" s="235"/>
    </row>
    <row r="1392" spans="2:17">
      <c r="B1392" s="241"/>
      <c r="C1392" s="241"/>
      <c r="D1392" s="241"/>
      <c r="E1392" s="241"/>
      <c r="F1392" s="260"/>
      <c r="G1392" s="260"/>
      <c r="H1392" s="260"/>
      <c r="I1392" s="260"/>
      <c r="J1392" s="260"/>
      <c r="K1392" s="260"/>
      <c r="L1392" s="260"/>
      <c r="M1392" s="260"/>
      <c r="N1392" s="260"/>
      <c r="O1392" s="235"/>
      <c r="P1392" s="235"/>
      <c r="Q1392" s="235"/>
    </row>
    <row r="1393" spans="2:17">
      <c r="B1393" s="241"/>
      <c r="C1393" s="241"/>
      <c r="D1393" s="241"/>
      <c r="E1393" s="241"/>
      <c r="F1393" s="260"/>
      <c r="G1393" s="260"/>
      <c r="H1393" s="260"/>
      <c r="I1393" s="260"/>
      <c r="J1393" s="260"/>
      <c r="K1393" s="260"/>
      <c r="L1393" s="260"/>
      <c r="M1393" s="260"/>
      <c r="N1393" s="260"/>
      <c r="O1393" s="235"/>
      <c r="P1393" s="235"/>
      <c r="Q1393" s="235"/>
    </row>
    <row r="1394" spans="2:17">
      <c r="B1394" s="241"/>
      <c r="C1394" s="241"/>
      <c r="D1394" s="241"/>
      <c r="E1394" s="241"/>
      <c r="F1394" s="260"/>
      <c r="G1394" s="260"/>
      <c r="H1394" s="260"/>
      <c r="I1394" s="260"/>
      <c r="J1394" s="260"/>
      <c r="K1394" s="260"/>
      <c r="L1394" s="260"/>
      <c r="M1394" s="260"/>
      <c r="N1394" s="260"/>
      <c r="O1394" s="235"/>
      <c r="P1394" s="235"/>
      <c r="Q1394" s="235"/>
    </row>
    <row r="1395" spans="2:17">
      <c r="B1395" s="241"/>
      <c r="C1395" s="241"/>
      <c r="D1395" s="241"/>
      <c r="E1395" s="241"/>
      <c r="F1395" s="260"/>
      <c r="G1395" s="260"/>
      <c r="H1395" s="260"/>
      <c r="I1395" s="260"/>
      <c r="J1395" s="260"/>
      <c r="K1395" s="260"/>
      <c r="L1395" s="260"/>
      <c r="M1395" s="260"/>
      <c r="N1395" s="260"/>
      <c r="O1395" s="235"/>
      <c r="P1395" s="235"/>
      <c r="Q1395" s="235"/>
    </row>
    <row r="1396" spans="2:17">
      <c r="B1396" s="241"/>
      <c r="C1396" s="241"/>
      <c r="D1396" s="241"/>
      <c r="E1396" s="241"/>
      <c r="F1396" s="260"/>
      <c r="G1396" s="260"/>
      <c r="H1396" s="260"/>
      <c r="I1396" s="260"/>
      <c r="J1396" s="260"/>
      <c r="K1396" s="260"/>
      <c r="L1396" s="260"/>
      <c r="M1396" s="260"/>
      <c r="N1396" s="260"/>
      <c r="O1396" s="235"/>
      <c r="P1396" s="235"/>
      <c r="Q1396" s="235"/>
    </row>
    <row r="1397" spans="2:17">
      <c r="B1397" s="241"/>
      <c r="C1397" s="241"/>
      <c r="D1397" s="241"/>
      <c r="E1397" s="241"/>
      <c r="F1397" s="260"/>
      <c r="G1397" s="260"/>
      <c r="H1397" s="260"/>
      <c r="I1397" s="260"/>
      <c r="J1397" s="260"/>
      <c r="K1397" s="260"/>
      <c r="L1397" s="260"/>
      <c r="M1397" s="260"/>
      <c r="N1397" s="260"/>
      <c r="O1397" s="235"/>
      <c r="P1397" s="235"/>
      <c r="Q1397" s="235"/>
    </row>
    <row r="1398" spans="2:17">
      <c r="B1398" s="241"/>
      <c r="C1398" s="241"/>
      <c r="D1398" s="241"/>
      <c r="E1398" s="241"/>
      <c r="F1398" s="260"/>
      <c r="G1398" s="260"/>
      <c r="H1398" s="260"/>
      <c r="I1398" s="260"/>
      <c r="J1398" s="260"/>
      <c r="K1398" s="260"/>
      <c r="L1398" s="260"/>
      <c r="M1398" s="260"/>
      <c r="N1398" s="260"/>
      <c r="O1398" s="235"/>
      <c r="P1398" s="235"/>
      <c r="Q1398" s="235"/>
    </row>
    <row r="1399" spans="2:17">
      <c r="B1399" s="241"/>
      <c r="C1399" s="241"/>
      <c r="D1399" s="241"/>
      <c r="E1399" s="241"/>
      <c r="F1399" s="260"/>
      <c r="G1399" s="260"/>
      <c r="H1399" s="260"/>
      <c r="I1399" s="260"/>
      <c r="J1399" s="260"/>
      <c r="K1399" s="260"/>
      <c r="L1399" s="260"/>
      <c r="M1399" s="260"/>
      <c r="N1399" s="260"/>
      <c r="O1399" s="235"/>
      <c r="P1399" s="235"/>
      <c r="Q1399" s="235"/>
    </row>
    <row r="1400" spans="2:17">
      <c r="B1400" s="241"/>
      <c r="C1400" s="241"/>
      <c r="D1400" s="241"/>
      <c r="E1400" s="241"/>
      <c r="F1400" s="260"/>
      <c r="G1400" s="260"/>
      <c r="H1400" s="260"/>
      <c r="I1400" s="260"/>
      <c r="J1400" s="260"/>
      <c r="K1400" s="260"/>
      <c r="L1400" s="260"/>
      <c r="M1400" s="260"/>
      <c r="N1400" s="260"/>
      <c r="O1400" s="235"/>
      <c r="P1400" s="235"/>
      <c r="Q1400" s="235"/>
    </row>
    <row r="1401" spans="2:17">
      <c r="B1401" s="241"/>
      <c r="C1401" s="241"/>
      <c r="D1401" s="241"/>
      <c r="E1401" s="241"/>
      <c r="F1401" s="260"/>
      <c r="G1401" s="260"/>
      <c r="H1401" s="260"/>
      <c r="I1401" s="260"/>
      <c r="J1401" s="260"/>
      <c r="K1401" s="260"/>
      <c r="L1401" s="260"/>
      <c r="M1401" s="260"/>
      <c r="N1401" s="260"/>
      <c r="O1401" s="235"/>
      <c r="P1401" s="235"/>
      <c r="Q1401" s="235"/>
    </row>
    <row r="1402" spans="2:17">
      <c r="B1402" s="241"/>
      <c r="C1402" s="241"/>
      <c r="D1402" s="241"/>
      <c r="E1402" s="241"/>
      <c r="F1402" s="260"/>
      <c r="G1402" s="260"/>
      <c r="H1402" s="260"/>
      <c r="I1402" s="260"/>
      <c r="J1402" s="260"/>
      <c r="K1402" s="260"/>
      <c r="L1402" s="260"/>
      <c r="M1402" s="260"/>
      <c r="N1402" s="260"/>
      <c r="O1402" s="235"/>
      <c r="P1402" s="235"/>
      <c r="Q1402" s="235"/>
    </row>
    <row r="1403" spans="2:17">
      <c r="B1403" s="241"/>
      <c r="C1403" s="241"/>
      <c r="D1403" s="241"/>
      <c r="E1403" s="241"/>
      <c r="F1403" s="260"/>
      <c r="G1403" s="260"/>
      <c r="H1403" s="260"/>
      <c r="I1403" s="260"/>
      <c r="J1403" s="260"/>
      <c r="K1403" s="260"/>
      <c r="L1403" s="260"/>
      <c r="M1403" s="260"/>
      <c r="N1403" s="260"/>
      <c r="O1403" s="235"/>
      <c r="P1403" s="235"/>
      <c r="Q1403" s="235"/>
    </row>
    <row r="1404" spans="2:17">
      <c r="B1404" s="241"/>
      <c r="C1404" s="241"/>
      <c r="D1404" s="241"/>
      <c r="E1404" s="241"/>
      <c r="F1404" s="260"/>
      <c r="G1404" s="260"/>
      <c r="H1404" s="260"/>
      <c r="I1404" s="260"/>
      <c r="J1404" s="260"/>
      <c r="K1404" s="260"/>
      <c r="L1404" s="260"/>
      <c r="M1404" s="260"/>
      <c r="N1404" s="260"/>
      <c r="O1404" s="235"/>
      <c r="P1404" s="235"/>
      <c r="Q1404" s="235"/>
    </row>
    <row r="1405" spans="2:17">
      <c r="B1405" s="241"/>
      <c r="C1405" s="241"/>
      <c r="D1405" s="241"/>
      <c r="E1405" s="241"/>
      <c r="F1405" s="260"/>
      <c r="G1405" s="260"/>
      <c r="H1405" s="260"/>
      <c r="I1405" s="260"/>
      <c r="J1405" s="260"/>
      <c r="K1405" s="260"/>
      <c r="L1405" s="260"/>
      <c r="M1405" s="260"/>
      <c r="N1405" s="260"/>
      <c r="O1405" s="235"/>
      <c r="P1405" s="235"/>
      <c r="Q1405" s="235"/>
    </row>
    <row r="1406" spans="2:17">
      <c r="B1406" s="241"/>
      <c r="C1406" s="241"/>
      <c r="D1406" s="241"/>
      <c r="E1406" s="241"/>
      <c r="F1406" s="260"/>
      <c r="G1406" s="260"/>
      <c r="H1406" s="260"/>
      <c r="I1406" s="260"/>
      <c r="J1406" s="260"/>
      <c r="K1406" s="260"/>
      <c r="L1406" s="260"/>
      <c r="M1406" s="260"/>
      <c r="N1406" s="260"/>
      <c r="O1406" s="235"/>
      <c r="P1406" s="235"/>
      <c r="Q1406" s="235"/>
    </row>
    <row r="1407" spans="2:17">
      <c r="B1407" s="241"/>
      <c r="C1407" s="241"/>
      <c r="D1407" s="241"/>
      <c r="E1407" s="241"/>
      <c r="F1407" s="260"/>
      <c r="G1407" s="260"/>
      <c r="H1407" s="260"/>
      <c r="I1407" s="260"/>
      <c r="J1407" s="260"/>
      <c r="K1407" s="260"/>
      <c r="L1407" s="260"/>
      <c r="M1407" s="260"/>
      <c r="N1407" s="260"/>
      <c r="O1407" s="235"/>
      <c r="P1407" s="235"/>
      <c r="Q1407" s="235"/>
    </row>
    <row r="1408" spans="2:17">
      <c r="B1408" s="241"/>
      <c r="C1408" s="241"/>
      <c r="D1408" s="241"/>
      <c r="E1408" s="241"/>
      <c r="F1408" s="260"/>
      <c r="G1408" s="260"/>
      <c r="H1408" s="260"/>
      <c r="I1408" s="260"/>
      <c r="J1408" s="260"/>
      <c r="K1408" s="260"/>
      <c r="L1408" s="260"/>
      <c r="M1408" s="260"/>
      <c r="N1408" s="260"/>
      <c r="O1408" s="235"/>
      <c r="P1408" s="235"/>
      <c r="Q1408" s="235"/>
    </row>
    <row r="1409" spans="2:17">
      <c r="B1409" s="241"/>
      <c r="C1409" s="241"/>
      <c r="D1409" s="241"/>
      <c r="E1409" s="241"/>
      <c r="F1409" s="260"/>
      <c r="G1409" s="260"/>
      <c r="H1409" s="260"/>
      <c r="I1409" s="260"/>
      <c r="J1409" s="260"/>
      <c r="K1409" s="260"/>
      <c r="L1409" s="260"/>
      <c r="M1409" s="260"/>
      <c r="N1409" s="260"/>
      <c r="O1409" s="235"/>
      <c r="P1409" s="235"/>
      <c r="Q1409" s="235"/>
    </row>
    <row r="1410" spans="2:17">
      <c r="B1410" s="241"/>
      <c r="C1410" s="241"/>
      <c r="D1410" s="241"/>
      <c r="E1410" s="241"/>
      <c r="F1410" s="260"/>
      <c r="G1410" s="260"/>
      <c r="H1410" s="260"/>
      <c r="I1410" s="260"/>
      <c r="J1410" s="260"/>
      <c r="K1410" s="260"/>
      <c r="L1410" s="260"/>
      <c r="M1410" s="260"/>
      <c r="N1410" s="260"/>
      <c r="O1410" s="235"/>
      <c r="P1410" s="235"/>
      <c r="Q1410" s="235"/>
    </row>
    <row r="1411" spans="2:17">
      <c r="B1411" s="241"/>
      <c r="C1411" s="241"/>
      <c r="D1411" s="241"/>
      <c r="E1411" s="241"/>
      <c r="F1411" s="260"/>
      <c r="G1411" s="260"/>
      <c r="H1411" s="260"/>
      <c r="I1411" s="260"/>
      <c r="J1411" s="260"/>
      <c r="K1411" s="260"/>
      <c r="L1411" s="260"/>
      <c r="M1411" s="260"/>
      <c r="N1411" s="260"/>
      <c r="O1411" s="235"/>
      <c r="P1411" s="235"/>
      <c r="Q1411" s="235"/>
    </row>
    <row r="1412" spans="2:17">
      <c r="B1412" s="241"/>
      <c r="C1412" s="241"/>
      <c r="D1412" s="241"/>
      <c r="E1412" s="241"/>
      <c r="F1412" s="260"/>
      <c r="G1412" s="260"/>
      <c r="H1412" s="260"/>
      <c r="I1412" s="260"/>
      <c r="J1412" s="260"/>
      <c r="K1412" s="260"/>
      <c r="L1412" s="260"/>
      <c r="M1412" s="260"/>
      <c r="N1412" s="260"/>
      <c r="O1412" s="235"/>
      <c r="P1412" s="235"/>
      <c r="Q1412" s="235"/>
    </row>
    <row r="1413" spans="2:17">
      <c r="B1413" s="241"/>
      <c r="C1413" s="241"/>
      <c r="D1413" s="241"/>
      <c r="E1413" s="241"/>
      <c r="F1413" s="260"/>
      <c r="G1413" s="260"/>
      <c r="H1413" s="260"/>
      <c r="I1413" s="260"/>
      <c r="J1413" s="260"/>
      <c r="K1413" s="260"/>
      <c r="L1413" s="260"/>
      <c r="M1413" s="260"/>
      <c r="N1413" s="260"/>
      <c r="O1413" s="235"/>
      <c r="P1413" s="235"/>
      <c r="Q1413" s="235"/>
    </row>
    <row r="1414" spans="2:17">
      <c r="B1414" s="241"/>
      <c r="C1414" s="241"/>
      <c r="D1414" s="241"/>
      <c r="E1414" s="241"/>
      <c r="F1414" s="260"/>
      <c r="G1414" s="260"/>
      <c r="H1414" s="260"/>
      <c r="I1414" s="260"/>
      <c r="J1414" s="260"/>
      <c r="K1414" s="260"/>
      <c r="L1414" s="260"/>
      <c r="M1414" s="260"/>
      <c r="N1414" s="260"/>
      <c r="O1414" s="235"/>
      <c r="P1414" s="235"/>
      <c r="Q1414" s="235"/>
    </row>
    <row r="1415" spans="2:17">
      <c r="B1415" s="241"/>
      <c r="C1415" s="241"/>
      <c r="D1415" s="241"/>
      <c r="E1415" s="241"/>
      <c r="F1415" s="260"/>
      <c r="G1415" s="260"/>
      <c r="H1415" s="260"/>
      <c r="I1415" s="260"/>
      <c r="J1415" s="260"/>
      <c r="K1415" s="260"/>
      <c r="L1415" s="260"/>
      <c r="M1415" s="260"/>
      <c r="N1415" s="260"/>
      <c r="O1415" s="235"/>
      <c r="P1415" s="235"/>
      <c r="Q1415" s="235"/>
    </row>
    <row r="1416" spans="2:17">
      <c r="B1416" s="241"/>
      <c r="C1416" s="241"/>
      <c r="D1416" s="241"/>
      <c r="E1416" s="241"/>
      <c r="F1416" s="260"/>
      <c r="G1416" s="260"/>
      <c r="H1416" s="260"/>
      <c r="I1416" s="260"/>
      <c r="J1416" s="260"/>
      <c r="K1416" s="260"/>
      <c r="L1416" s="260"/>
      <c r="M1416" s="260"/>
      <c r="N1416" s="260"/>
      <c r="O1416" s="235"/>
      <c r="P1416" s="235"/>
      <c r="Q1416" s="235"/>
    </row>
    <row r="1417" spans="2:17">
      <c r="B1417" s="241"/>
      <c r="C1417" s="241"/>
      <c r="D1417" s="241"/>
      <c r="E1417" s="241"/>
      <c r="F1417" s="260"/>
      <c r="G1417" s="260"/>
      <c r="H1417" s="260"/>
      <c r="I1417" s="260"/>
      <c r="J1417" s="260"/>
      <c r="K1417" s="260"/>
      <c r="L1417" s="260"/>
      <c r="M1417" s="260"/>
      <c r="N1417" s="260"/>
      <c r="O1417" s="235"/>
      <c r="P1417" s="235"/>
      <c r="Q1417" s="235"/>
    </row>
    <row r="1418" spans="2:17">
      <c r="B1418" s="241"/>
      <c r="C1418" s="241"/>
      <c r="D1418" s="241"/>
      <c r="E1418" s="241"/>
      <c r="F1418" s="260"/>
      <c r="G1418" s="260"/>
      <c r="H1418" s="260"/>
      <c r="I1418" s="260"/>
      <c r="J1418" s="260"/>
      <c r="K1418" s="260"/>
      <c r="L1418" s="260"/>
      <c r="M1418" s="260"/>
      <c r="N1418" s="260"/>
      <c r="O1418" s="235"/>
      <c r="P1418" s="235"/>
      <c r="Q1418" s="235"/>
    </row>
    <row r="1419" spans="2:17">
      <c r="B1419" s="241"/>
      <c r="C1419" s="241"/>
      <c r="D1419" s="241"/>
      <c r="E1419" s="241"/>
      <c r="F1419" s="260"/>
      <c r="G1419" s="260"/>
      <c r="H1419" s="260"/>
      <c r="I1419" s="260"/>
      <c r="J1419" s="260"/>
      <c r="K1419" s="260"/>
      <c r="L1419" s="260"/>
      <c r="M1419" s="260"/>
      <c r="N1419" s="260"/>
      <c r="O1419" s="235"/>
      <c r="P1419" s="235"/>
      <c r="Q1419" s="235"/>
    </row>
    <row r="1420" spans="2:17">
      <c r="B1420" s="241"/>
      <c r="C1420" s="241"/>
      <c r="D1420" s="241"/>
      <c r="E1420" s="241"/>
      <c r="F1420" s="260"/>
      <c r="G1420" s="260"/>
      <c r="H1420" s="260"/>
      <c r="I1420" s="260"/>
      <c r="J1420" s="260"/>
      <c r="K1420" s="260"/>
      <c r="L1420" s="260"/>
      <c r="M1420" s="260"/>
      <c r="N1420" s="260"/>
      <c r="O1420" s="235"/>
      <c r="P1420" s="235"/>
      <c r="Q1420" s="235"/>
    </row>
    <row r="1421" spans="2:17">
      <c r="B1421" s="241"/>
      <c r="C1421" s="241"/>
      <c r="D1421" s="241"/>
      <c r="E1421" s="241"/>
      <c r="F1421" s="260"/>
      <c r="G1421" s="260"/>
      <c r="H1421" s="260"/>
      <c r="I1421" s="260"/>
      <c r="J1421" s="260"/>
      <c r="K1421" s="260"/>
      <c r="L1421" s="260"/>
      <c r="M1421" s="260"/>
      <c r="N1421" s="260"/>
      <c r="O1421" s="235"/>
      <c r="P1421" s="235"/>
      <c r="Q1421" s="235"/>
    </row>
    <row r="1422" spans="2:17">
      <c r="B1422" s="241"/>
      <c r="C1422" s="241"/>
      <c r="D1422" s="241"/>
      <c r="E1422" s="241"/>
      <c r="F1422" s="260"/>
      <c r="G1422" s="260"/>
      <c r="H1422" s="260"/>
      <c r="I1422" s="260"/>
      <c r="J1422" s="260"/>
      <c r="K1422" s="260"/>
      <c r="L1422" s="260"/>
      <c r="M1422" s="260"/>
      <c r="N1422" s="260"/>
      <c r="O1422" s="235"/>
      <c r="P1422" s="235"/>
      <c r="Q1422" s="235"/>
    </row>
    <row r="1423" spans="2:17">
      <c r="B1423" s="241"/>
      <c r="C1423" s="241"/>
      <c r="D1423" s="241"/>
      <c r="E1423" s="241"/>
      <c r="F1423" s="260"/>
      <c r="G1423" s="260"/>
      <c r="H1423" s="260"/>
      <c r="I1423" s="260"/>
      <c r="J1423" s="260"/>
      <c r="K1423" s="260"/>
      <c r="L1423" s="260"/>
      <c r="M1423" s="260"/>
      <c r="N1423" s="260"/>
      <c r="O1423" s="235"/>
      <c r="P1423" s="235"/>
      <c r="Q1423" s="235"/>
    </row>
    <row r="1424" spans="2:17">
      <c r="B1424" s="241"/>
      <c r="C1424" s="241"/>
      <c r="D1424" s="241"/>
      <c r="E1424" s="241"/>
      <c r="F1424" s="260"/>
      <c r="G1424" s="260"/>
      <c r="H1424" s="260"/>
      <c r="I1424" s="260"/>
      <c r="J1424" s="260"/>
      <c r="K1424" s="260"/>
      <c r="L1424" s="260"/>
      <c r="M1424" s="260"/>
      <c r="N1424" s="260"/>
      <c r="O1424" s="235"/>
      <c r="P1424" s="235"/>
      <c r="Q1424" s="235"/>
    </row>
    <row r="1425" spans="2:17">
      <c r="B1425" s="241"/>
      <c r="C1425" s="241"/>
      <c r="D1425" s="241"/>
      <c r="E1425" s="241"/>
      <c r="F1425" s="260"/>
      <c r="G1425" s="260"/>
      <c r="H1425" s="260"/>
      <c r="I1425" s="260"/>
      <c r="J1425" s="260"/>
      <c r="K1425" s="260"/>
      <c r="L1425" s="260"/>
      <c r="M1425" s="260"/>
      <c r="N1425" s="260"/>
      <c r="O1425" s="235"/>
      <c r="P1425" s="235"/>
      <c r="Q1425" s="235"/>
    </row>
    <row r="1426" spans="2:17">
      <c r="B1426" s="241"/>
      <c r="C1426" s="241"/>
      <c r="D1426" s="241"/>
      <c r="E1426" s="241"/>
      <c r="F1426" s="260"/>
      <c r="G1426" s="260"/>
      <c r="H1426" s="260"/>
      <c r="I1426" s="260"/>
      <c r="J1426" s="260"/>
      <c r="K1426" s="260"/>
      <c r="L1426" s="260"/>
      <c r="M1426" s="260"/>
      <c r="N1426" s="260"/>
      <c r="O1426" s="235"/>
      <c r="P1426" s="235"/>
      <c r="Q1426" s="235"/>
    </row>
    <row r="1427" spans="2:17">
      <c r="B1427" s="241"/>
      <c r="C1427" s="241"/>
      <c r="D1427" s="241"/>
      <c r="E1427" s="241"/>
      <c r="F1427" s="260"/>
      <c r="G1427" s="260"/>
      <c r="H1427" s="260"/>
      <c r="I1427" s="260"/>
      <c r="J1427" s="260"/>
      <c r="K1427" s="260"/>
      <c r="L1427" s="260"/>
      <c r="M1427" s="260"/>
      <c r="N1427" s="260"/>
      <c r="O1427" s="235"/>
      <c r="P1427" s="235"/>
      <c r="Q1427" s="235"/>
    </row>
    <row r="1428" spans="2:17">
      <c r="B1428" s="241"/>
      <c r="C1428" s="241"/>
      <c r="D1428" s="241"/>
      <c r="E1428" s="241"/>
      <c r="F1428" s="260"/>
      <c r="G1428" s="260"/>
      <c r="H1428" s="260"/>
      <c r="I1428" s="260"/>
      <c r="J1428" s="260"/>
      <c r="K1428" s="260"/>
      <c r="L1428" s="260"/>
      <c r="M1428" s="260"/>
      <c r="N1428" s="260"/>
      <c r="O1428" s="235"/>
      <c r="P1428" s="235"/>
      <c r="Q1428" s="235"/>
    </row>
    <row r="1429" spans="2:17">
      <c r="B1429" s="241"/>
      <c r="C1429" s="241"/>
      <c r="D1429" s="241"/>
      <c r="E1429" s="241"/>
      <c r="F1429" s="260"/>
      <c r="G1429" s="260"/>
      <c r="H1429" s="260"/>
      <c r="I1429" s="260"/>
      <c r="J1429" s="260"/>
      <c r="K1429" s="260"/>
      <c r="L1429" s="260"/>
      <c r="M1429" s="260"/>
      <c r="N1429" s="260"/>
      <c r="O1429" s="235"/>
      <c r="P1429" s="235"/>
      <c r="Q1429" s="235"/>
    </row>
    <row r="1430" spans="2:17">
      <c r="B1430" s="241"/>
      <c r="C1430" s="241"/>
      <c r="D1430" s="241"/>
      <c r="E1430" s="241"/>
      <c r="F1430" s="260"/>
      <c r="G1430" s="260"/>
      <c r="H1430" s="260"/>
      <c r="I1430" s="260"/>
      <c r="J1430" s="260"/>
      <c r="K1430" s="260"/>
      <c r="L1430" s="260"/>
      <c r="M1430" s="260"/>
      <c r="N1430" s="260"/>
      <c r="O1430" s="235"/>
      <c r="P1430" s="235"/>
      <c r="Q1430" s="235"/>
    </row>
    <row r="1431" spans="2:17">
      <c r="B1431" s="241"/>
      <c r="C1431" s="241"/>
      <c r="D1431" s="241"/>
      <c r="E1431" s="241"/>
      <c r="F1431" s="260"/>
      <c r="G1431" s="260"/>
      <c r="H1431" s="260"/>
      <c r="I1431" s="260"/>
      <c r="J1431" s="260"/>
      <c r="K1431" s="260"/>
      <c r="L1431" s="260"/>
      <c r="M1431" s="260"/>
      <c r="N1431" s="260"/>
      <c r="O1431" s="235"/>
      <c r="P1431" s="235"/>
      <c r="Q1431" s="235"/>
    </row>
    <row r="1432" spans="2:17">
      <c r="B1432" s="241"/>
      <c r="C1432" s="241"/>
      <c r="D1432" s="241"/>
      <c r="E1432" s="241"/>
      <c r="F1432" s="260"/>
      <c r="G1432" s="260"/>
      <c r="H1432" s="260"/>
      <c r="I1432" s="260"/>
      <c r="J1432" s="260"/>
      <c r="K1432" s="260"/>
      <c r="L1432" s="260"/>
      <c r="M1432" s="260"/>
      <c r="N1432" s="260"/>
      <c r="O1432" s="235"/>
      <c r="P1432" s="235"/>
      <c r="Q1432" s="235"/>
    </row>
    <row r="1433" spans="2:17">
      <c r="B1433" s="241"/>
      <c r="C1433" s="241"/>
      <c r="D1433" s="241"/>
      <c r="E1433" s="241"/>
      <c r="F1433" s="260"/>
      <c r="G1433" s="260"/>
      <c r="H1433" s="260"/>
      <c r="I1433" s="260"/>
      <c r="J1433" s="260"/>
      <c r="K1433" s="260"/>
      <c r="L1433" s="260"/>
      <c r="M1433" s="260"/>
      <c r="N1433" s="260"/>
      <c r="O1433" s="235"/>
      <c r="P1433" s="235"/>
      <c r="Q1433" s="235"/>
    </row>
    <row r="1434" spans="2:17">
      <c r="B1434" s="241"/>
      <c r="C1434" s="241"/>
      <c r="D1434" s="241"/>
      <c r="E1434" s="241"/>
      <c r="F1434" s="260"/>
      <c r="G1434" s="260"/>
      <c r="H1434" s="260"/>
      <c r="I1434" s="260"/>
      <c r="J1434" s="260"/>
      <c r="K1434" s="260"/>
      <c r="L1434" s="260"/>
      <c r="M1434" s="260"/>
      <c r="N1434" s="260"/>
      <c r="O1434" s="235"/>
      <c r="P1434" s="235"/>
      <c r="Q1434" s="235"/>
    </row>
    <row r="1435" spans="2:17">
      <c r="B1435" s="241"/>
      <c r="C1435" s="241"/>
      <c r="D1435" s="241"/>
      <c r="E1435" s="241"/>
      <c r="F1435" s="260"/>
      <c r="G1435" s="260"/>
      <c r="H1435" s="260"/>
      <c r="I1435" s="260"/>
      <c r="J1435" s="260"/>
      <c r="K1435" s="260"/>
      <c r="L1435" s="260"/>
      <c r="M1435" s="260"/>
      <c r="N1435" s="260"/>
      <c r="O1435" s="235"/>
      <c r="P1435" s="235"/>
      <c r="Q1435" s="235"/>
    </row>
    <row r="1436" spans="2:17">
      <c r="B1436" s="241"/>
      <c r="C1436" s="241"/>
      <c r="D1436" s="241"/>
      <c r="E1436" s="241"/>
      <c r="F1436" s="260"/>
      <c r="G1436" s="260"/>
      <c r="H1436" s="260"/>
      <c r="I1436" s="260"/>
      <c r="J1436" s="260"/>
      <c r="K1436" s="260"/>
      <c r="L1436" s="260"/>
      <c r="M1436" s="260"/>
      <c r="N1436" s="260"/>
      <c r="O1436" s="235"/>
      <c r="P1436" s="235"/>
      <c r="Q1436" s="235"/>
    </row>
    <row r="1437" spans="2:17">
      <c r="B1437" s="241"/>
      <c r="C1437" s="241"/>
      <c r="D1437" s="241"/>
      <c r="E1437" s="241"/>
      <c r="F1437" s="260"/>
      <c r="G1437" s="260"/>
      <c r="H1437" s="260"/>
      <c r="I1437" s="260"/>
      <c r="J1437" s="260"/>
      <c r="K1437" s="260"/>
      <c r="L1437" s="260"/>
      <c r="M1437" s="260"/>
      <c r="N1437" s="260"/>
      <c r="O1437" s="235"/>
      <c r="P1437" s="235"/>
      <c r="Q1437" s="235"/>
    </row>
    <row r="1438" spans="2:17">
      <c r="B1438" s="241"/>
      <c r="C1438" s="241"/>
      <c r="D1438" s="241"/>
      <c r="E1438" s="241"/>
      <c r="F1438" s="260"/>
      <c r="G1438" s="260"/>
      <c r="H1438" s="260"/>
      <c r="I1438" s="260"/>
      <c r="J1438" s="260"/>
      <c r="K1438" s="260"/>
      <c r="L1438" s="260"/>
      <c r="M1438" s="260"/>
      <c r="N1438" s="260"/>
      <c r="O1438" s="235"/>
      <c r="P1438" s="235"/>
      <c r="Q1438" s="235"/>
    </row>
    <row r="1439" spans="2:17">
      <c r="B1439" s="241"/>
      <c r="C1439" s="241"/>
      <c r="D1439" s="241"/>
      <c r="E1439" s="241"/>
      <c r="F1439" s="260"/>
      <c r="G1439" s="260"/>
      <c r="H1439" s="260"/>
      <c r="I1439" s="260"/>
      <c r="J1439" s="260"/>
      <c r="K1439" s="260"/>
      <c r="L1439" s="260"/>
      <c r="M1439" s="260"/>
      <c r="N1439" s="260"/>
      <c r="O1439" s="235"/>
      <c r="P1439" s="235"/>
      <c r="Q1439" s="235"/>
    </row>
    <row r="1440" spans="2:17">
      <c r="B1440" s="241"/>
      <c r="C1440" s="241"/>
      <c r="D1440" s="241"/>
      <c r="E1440" s="241"/>
      <c r="F1440" s="260"/>
      <c r="G1440" s="260"/>
      <c r="H1440" s="260"/>
      <c r="I1440" s="260"/>
      <c r="J1440" s="260"/>
      <c r="K1440" s="260"/>
      <c r="L1440" s="260"/>
      <c r="M1440" s="260"/>
      <c r="N1440" s="260"/>
      <c r="O1440" s="235"/>
      <c r="P1440" s="235"/>
      <c r="Q1440" s="235"/>
    </row>
    <row r="1441" spans="2:17">
      <c r="B1441" s="241"/>
      <c r="C1441" s="241"/>
      <c r="D1441" s="241"/>
      <c r="E1441" s="241"/>
      <c r="F1441" s="260"/>
      <c r="G1441" s="260"/>
      <c r="H1441" s="260"/>
      <c r="I1441" s="260"/>
      <c r="J1441" s="260"/>
      <c r="K1441" s="260"/>
      <c r="L1441" s="260"/>
      <c r="M1441" s="260"/>
      <c r="N1441" s="260"/>
      <c r="O1441" s="235"/>
      <c r="P1441" s="235"/>
      <c r="Q1441" s="235"/>
    </row>
    <row r="1442" spans="2:17">
      <c r="B1442" s="241"/>
      <c r="C1442" s="241"/>
      <c r="D1442" s="241"/>
      <c r="E1442" s="241"/>
      <c r="F1442" s="260"/>
      <c r="G1442" s="260"/>
      <c r="H1442" s="260"/>
      <c r="I1442" s="260"/>
      <c r="J1442" s="260"/>
      <c r="K1442" s="260"/>
      <c r="L1442" s="260"/>
      <c r="M1442" s="260"/>
      <c r="N1442" s="260"/>
      <c r="O1442" s="235"/>
      <c r="P1442" s="235"/>
      <c r="Q1442" s="235"/>
    </row>
    <row r="1443" spans="2:17">
      <c r="B1443" s="241"/>
      <c r="C1443" s="241"/>
      <c r="D1443" s="241"/>
      <c r="E1443" s="241"/>
      <c r="F1443" s="260"/>
      <c r="G1443" s="260"/>
      <c r="H1443" s="260"/>
      <c r="I1443" s="260"/>
      <c r="J1443" s="260"/>
      <c r="K1443" s="260"/>
      <c r="L1443" s="260"/>
      <c r="M1443" s="260"/>
      <c r="N1443" s="260"/>
      <c r="O1443" s="235"/>
      <c r="P1443" s="235"/>
      <c r="Q1443" s="235"/>
    </row>
    <row r="1444" spans="2:17">
      <c r="B1444" s="241"/>
      <c r="C1444" s="241"/>
      <c r="D1444" s="241"/>
      <c r="E1444" s="241"/>
      <c r="F1444" s="260"/>
      <c r="G1444" s="260"/>
      <c r="H1444" s="260"/>
      <c r="I1444" s="260"/>
      <c r="J1444" s="260"/>
      <c r="K1444" s="260"/>
      <c r="L1444" s="260"/>
      <c r="M1444" s="260"/>
      <c r="N1444" s="260"/>
      <c r="O1444" s="235"/>
      <c r="P1444" s="235"/>
      <c r="Q1444" s="235"/>
    </row>
    <row r="1445" spans="2:17">
      <c r="B1445" s="241"/>
      <c r="C1445" s="241"/>
      <c r="D1445" s="241"/>
      <c r="E1445" s="241"/>
      <c r="F1445" s="260"/>
      <c r="G1445" s="260"/>
      <c r="H1445" s="260"/>
      <c r="I1445" s="260"/>
      <c r="J1445" s="260"/>
      <c r="K1445" s="260"/>
      <c r="L1445" s="260"/>
      <c r="M1445" s="260"/>
      <c r="N1445" s="260"/>
      <c r="O1445" s="235"/>
      <c r="P1445" s="235"/>
      <c r="Q1445" s="235"/>
    </row>
    <row r="1446" spans="2:17">
      <c r="B1446" s="241"/>
      <c r="C1446" s="241"/>
      <c r="D1446" s="241"/>
      <c r="E1446" s="241"/>
      <c r="F1446" s="260"/>
      <c r="G1446" s="260"/>
      <c r="H1446" s="260"/>
      <c r="I1446" s="260"/>
      <c r="J1446" s="260"/>
      <c r="K1446" s="260"/>
      <c r="L1446" s="260"/>
      <c r="M1446" s="260"/>
      <c r="N1446" s="260"/>
      <c r="O1446" s="235"/>
      <c r="P1446" s="235"/>
      <c r="Q1446" s="235"/>
    </row>
    <row r="1447" spans="2:17">
      <c r="B1447" s="241"/>
      <c r="C1447" s="241"/>
      <c r="D1447" s="241"/>
      <c r="E1447" s="241"/>
      <c r="F1447" s="260"/>
      <c r="G1447" s="260"/>
      <c r="H1447" s="260"/>
      <c r="I1447" s="260"/>
      <c r="J1447" s="260"/>
      <c r="K1447" s="260"/>
      <c r="L1447" s="260"/>
      <c r="M1447" s="260"/>
      <c r="N1447" s="260"/>
      <c r="O1447" s="235"/>
      <c r="P1447" s="235"/>
      <c r="Q1447" s="235"/>
    </row>
    <row r="1448" spans="2:17">
      <c r="B1448" s="241"/>
      <c r="C1448" s="241"/>
      <c r="D1448" s="241"/>
      <c r="E1448" s="241"/>
      <c r="F1448" s="260"/>
      <c r="G1448" s="260"/>
      <c r="H1448" s="260"/>
      <c r="I1448" s="260"/>
      <c r="J1448" s="260"/>
      <c r="K1448" s="260"/>
      <c r="L1448" s="260"/>
      <c r="M1448" s="260"/>
      <c r="N1448" s="260"/>
      <c r="O1448" s="235"/>
      <c r="P1448" s="235"/>
      <c r="Q1448" s="235"/>
    </row>
    <row r="1449" spans="2:17">
      <c r="B1449" s="241"/>
      <c r="C1449" s="241"/>
      <c r="D1449" s="241"/>
      <c r="E1449" s="241"/>
      <c r="F1449" s="260"/>
      <c r="G1449" s="260"/>
      <c r="H1449" s="260"/>
      <c r="I1449" s="260"/>
      <c r="J1449" s="260"/>
      <c r="K1449" s="260"/>
      <c r="L1449" s="260"/>
      <c r="M1449" s="260"/>
      <c r="N1449" s="260"/>
      <c r="O1449" s="235"/>
      <c r="P1449" s="235"/>
      <c r="Q1449" s="235"/>
    </row>
    <row r="1450" spans="2:17">
      <c r="B1450" s="241"/>
      <c r="C1450" s="241"/>
      <c r="D1450" s="241"/>
      <c r="E1450" s="241"/>
      <c r="F1450" s="260"/>
      <c r="G1450" s="260"/>
      <c r="H1450" s="260"/>
      <c r="I1450" s="260"/>
      <c r="J1450" s="260"/>
      <c r="K1450" s="260"/>
      <c r="L1450" s="260"/>
      <c r="M1450" s="260"/>
      <c r="N1450" s="260"/>
      <c r="O1450" s="235"/>
      <c r="P1450" s="235"/>
      <c r="Q1450" s="235"/>
    </row>
    <row r="1451" spans="2:17">
      <c r="B1451" s="241"/>
      <c r="C1451" s="241"/>
      <c r="D1451" s="241"/>
      <c r="E1451" s="241"/>
      <c r="F1451" s="260"/>
      <c r="G1451" s="260"/>
      <c r="H1451" s="260"/>
      <c r="I1451" s="260"/>
      <c r="J1451" s="260"/>
      <c r="K1451" s="260"/>
      <c r="L1451" s="260"/>
      <c r="M1451" s="260"/>
      <c r="N1451" s="260"/>
      <c r="O1451" s="235"/>
      <c r="P1451" s="235"/>
      <c r="Q1451" s="235"/>
    </row>
    <row r="1452" spans="2:17">
      <c r="B1452" s="241"/>
      <c r="C1452" s="241"/>
      <c r="D1452" s="241"/>
      <c r="E1452" s="241"/>
      <c r="F1452" s="260"/>
      <c r="G1452" s="260"/>
      <c r="H1452" s="260"/>
      <c r="I1452" s="260"/>
      <c r="J1452" s="260"/>
      <c r="K1452" s="260"/>
      <c r="L1452" s="260"/>
      <c r="M1452" s="260"/>
      <c r="N1452" s="260"/>
      <c r="O1452" s="235"/>
      <c r="P1452" s="235"/>
      <c r="Q1452" s="235"/>
    </row>
    <row r="1453" spans="2:17">
      <c r="B1453" s="241"/>
      <c r="C1453" s="241"/>
      <c r="D1453" s="241"/>
      <c r="E1453" s="241"/>
      <c r="F1453" s="260"/>
      <c r="G1453" s="260"/>
      <c r="H1453" s="260"/>
      <c r="I1453" s="260"/>
      <c r="J1453" s="260"/>
      <c r="K1453" s="260"/>
      <c r="L1453" s="260"/>
      <c r="M1453" s="260"/>
      <c r="N1453" s="260"/>
      <c r="O1453" s="235"/>
      <c r="P1453" s="235"/>
      <c r="Q1453" s="235"/>
    </row>
    <row r="1454" spans="2:17">
      <c r="B1454" s="241"/>
      <c r="C1454" s="241"/>
      <c r="D1454" s="241"/>
      <c r="E1454" s="241"/>
      <c r="F1454" s="260"/>
      <c r="G1454" s="260"/>
      <c r="H1454" s="260"/>
      <c r="I1454" s="260"/>
      <c r="J1454" s="260"/>
      <c r="K1454" s="260"/>
      <c r="L1454" s="260"/>
      <c r="M1454" s="260"/>
      <c r="N1454" s="260"/>
      <c r="O1454" s="235"/>
      <c r="P1454" s="235"/>
      <c r="Q1454" s="235"/>
    </row>
    <row r="1455" spans="2:17">
      <c r="B1455" s="241"/>
      <c r="C1455" s="241"/>
      <c r="D1455" s="241"/>
      <c r="E1455" s="241"/>
      <c r="F1455" s="260"/>
      <c r="G1455" s="260"/>
      <c r="H1455" s="260"/>
      <c r="I1455" s="260"/>
      <c r="J1455" s="260"/>
      <c r="K1455" s="260"/>
      <c r="L1455" s="260"/>
      <c r="M1455" s="260"/>
      <c r="N1455" s="260"/>
      <c r="O1455" s="235"/>
      <c r="P1455" s="235"/>
      <c r="Q1455" s="235"/>
    </row>
    <row r="1456" spans="2:17">
      <c r="B1456" s="241"/>
      <c r="C1456" s="241"/>
      <c r="D1456" s="241"/>
      <c r="E1456" s="241"/>
      <c r="F1456" s="260"/>
      <c r="G1456" s="260"/>
      <c r="H1456" s="260"/>
      <c r="I1456" s="260"/>
      <c r="J1456" s="260"/>
      <c r="K1456" s="260"/>
      <c r="L1456" s="260"/>
      <c r="M1456" s="260"/>
      <c r="N1456" s="260"/>
      <c r="O1456" s="235"/>
      <c r="P1456" s="235"/>
      <c r="Q1456" s="235"/>
    </row>
    <row r="1457" spans="2:17">
      <c r="B1457" s="241"/>
      <c r="C1457" s="241"/>
      <c r="D1457" s="241"/>
      <c r="E1457" s="241"/>
      <c r="F1457" s="260"/>
      <c r="G1457" s="260"/>
      <c r="H1457" s="260"/>
      <c r="I1457" s="260"/>
      <c r="J1457" s="260"/>
      <c r="K1457" s="260"/>
      <c r="L1457" s="260"/>
      <c r="M1457" s="260"/>
      <c r="N1457" s="260"/>
      <c r="O1457" s="235"/>
      <c r="P1457" s="235"/>
      <c r="Q1457" s="235"/>
    </row>
    <row r="1458" spans="2:17">
      <c r="B1458" s="241"/>
      <c r="C1458" s="241"/>
      <c r="D1458" s="241"/>
      <c r="E1458" s="241"/>
      <c r="F1458" s="260"/>
      <c r="G1458" s="260"/>
      <c r="H1458" s="260"/>
      <c r="I1458" s="260"/>
      <c r="J1458" s="260"/>
      <c r="K1458" s="260"/>
      <c r="L1458" s="260"/>
      <c r="M1458" s="260"/>
      <c r="N1458" s="260"/>
      <c r="O1458" s="235"/>
      <c r="P1458" s="235"/>
      <c r="Q1458" s="235"/>
    </row>
    <row r="1459" spans="2:17">
      <c r="B1459" s="241"/>
      <c r="C1459" s="241"/>
      <c r="D1459" s="241"/>
      <c r="E1459" s="241"/>
      <c r="F1459" s="260"/>
      <c r="G1459" s="260"/>
      <c r="H1459" s="260"/>
      <c r="I1459" s="260"/>
      <c r="J1459" s="260"/>
      <c r="K1459" s="260"/>
      <c r="L1459" s="260"/>
      <c r="M1459" s="260"/>
      <c r="N1459" s="260"/>
      <c r="O1459" s="235"/>
      <c r="P1459" s="235"/>
      <c r="Q1459" s="235"/>
    </row>
    <row r="1460" spans="2:17">
      <c r="B1460" s="241"/>
      <c r="C1460" s="241"/>
      <c r="D1460" s="241"/>
      <c r="E1460" s="241"/>
      <c r="F1460" s="260"/>
      <c r="G1460" s="260"/>
      <c r="H1460" s="260"/>
      <c r="I1460" s="260"/>
      <c r="J1460" s="260"/>
      <c r="K1460" s="260"/>
      <c r="L1460" s="260"/>
      <c r="M1460" s="260"/>
      <c r="N1460" s="260"/>
      <c r="O1460" s="235"/>
      <c r="P1460" s="235"/>
      <c r="Q1460" s="235"/>
    </row>
    <row r="1461" spans="2:17">
      <c r="B1461" s="241"/>
      <c r="C1461" s="241"/>
      <c r="D1461" s="241"/>
      <c r="E1461" s="241"/>
      <c r="F1461" s="260"/>
      <c r="G1461" s="260"/>
      <c r="H1461" s="260"/>
      <c r="I1461" s="260"/>
      <c r="J1461" s="260"/>
      <c r="K1461" s="260"/>
      <c r="L1461" s="260"/>
      <c r="M1461" s="260"/>
      <c r="N1461" s="260"/>
      <c r="O1461" s="235"/>
      <c r="P1461" s="235"/>
      <c r="Q1461" s="235"/>
    </row>
    <row r="1462" spans="2:17">
      <c r="B1462" s="241"/>
      <c r="C1462" s="241"/>
      <c r="D1462" s="241"/>
      <c r="E1462" s="241"/>
      <c r="F1462" s="260"/>
      <c r="G1462" s="260"/>
      <c r="H1462" s="260"/>
      <c r="I1462" s="260"/>
      <c r="J1462" s="260"/>
      <c r="K1462" s="260"/>
      <c r="L1462" s="260"/>
      <c r="M1462" s="260"/>
      <c r="N1462" s="260"/>
      <c r="O1462" s="235"/>
      <c r="P1462" s="235"/>
      <c r="Q1462" s="235"/>
    </row>
    <row r="1463" spans="2:17">
      <c r="B1463" s="241"/>
      <c r="C1463" s="241"/>
      <c r="D1463" s="241"/>
      <c r="E1463" s="241"/>
      <c r="F1463" s="260"/>
      <c r="G1463" s="260"/>
      <c r="H1463" s="260"/>
      <c r="I1463" s="260"/>
      <c r="J1463" s="260"/>
      <c r="K1463" s="260"/>
      <c r="L1463" s="260"/>
      <c r="M1463" s="260"/>
      <c r="N1463" s="260"/>
      <c r="O1463" s="235"/>
      <c r="P1463" s="235"/>
      <c r="Q1463" s="235"/>
    </row>
    <row r="1464" spans="2:17">
      <c r="B1464" s="241"/>
      <c r="C1464" s="241"/>
      <c r="D1464" s="241"/>
      <c r="E1464" s="241"/>
      <c r="F1464" s="260"/>
      <c r="G1464" s="260"/>
      <c r="H1464" s="260"/>
      <c r="I1464" s="260"/>
      <c r="J1464" s="260"/>
      <c r="K1464" s="260"/>
      <c r="L1464" s="260"/>
      <c r="M1464" s="260"/>
      <c r="N1464" s="260"/>
      <c r="O1464" s="235"/>
      <c r="P1464" s="235"/>
      <c r="Q1464" s="235"/>
    </row>
    <row r="1465" spans="2:17">
      <c r="B1465" s="241"/>
      <c r="C1465" s="241"/>
      <c r="D1465" s="241"/>
      <c r="E1465" s="241"/>
      <c r="F1465" s="260"/>
      <c r="G1465" s="260"/>
      <c r="H1465" s="260"/>
      <c r="I1465" s="260"/>
      <c r="J1465" s="260"/>
      <c r="K1465" s="260"/>
      <c r="L1465" s="260"/>
      <c r="M1465" s="260"/>
      <c r="N1465" s="260"/>
      <c r="O1465" s="235"/>
      <c r="P1465" s="235"/>
      <c r="Q1465" s="235"/>
    </row>
    <row r="1466" spans="2:17">
      <c r="B1466" s="241"/>
      <c r="C1466" s="241"/>
      <c r="D1466" s="241"/>
      <c r="E1466" s="241"/>
      <c r="F1466" s="260"/>
      <c r="G1466" s="260"/>
      <c r="H1466" s="260"/>
      <c r="I1466" s="260"/>
      <c r="J1466" s="260"/>
      <c r="K1466" s="260"/>
      <c r="L1466" s="260"/>
      <c r="M1466" s="260"/>
      <c r="N1466" s="260"/>
      <c r="O1466" s="235"/>
      <c r="P1466" s="235"/>
      <c r="Q1466" s="235"/>
    </row>
    <row r="1467" spans="2:17">
      <c r="B1467" s="241"/>
      <c r="C1467" s="241"/>
      <c r="D1467" s="241"/>
      <c r="E1467" s="241"/>
      <c r="F1467" s="260"/>
      <c r="G1467" s="260"/>
      <c r="H1467" s="260"/>
      <c r="I1467" s="260"/>
      <c r="J1467" s="260"/>
      <c r="K1467" s="260"/>
      <c r="L1467" s="260"/>
      <c r="M1467" s="260"/>
      <c r="N1467" s="260"/>
      <c r="O1467" s="235"/>
      <c r="P1467" s="235"/>
      <c r="Q1467" s="235"/>
    </row>
    <row r="1468" spans="2:17">
      <c r="B1468" s="241"/>
      <c r="C1468" s="241"/>
      <c r="D1468" s="241"/>
      <c r="E1468" s="241"/>
      <c r="F1468" s="260"/>
      <c r="G1468" s="260"/>
      <c r="H1468" s="260"/>
      <c r="I1468" s="260"/>
      <c r="J1468" s="260"/>
      <c r="K1468" s="260"/>
      <c r="L1468" s="260"/>
      <c r="M1468" s="260"/>
      <c r="N1468" s="260"/>
      <c r="O1468" s="235"/>
      <c r="P1468" s="235"/>
      <c r="Q1468" s="235"/>
    </row>
    <row r="1469" spans="2:17">
      <c r="B1469" s="241"/>
      <c r="C1469" s="241"/>
      <c r="D1469" s="241"/>
      <c r="E1469" s="241"/>
      <c r="F1469" s="260"/>
      <c r="G1469" s="260"/>
      <c r="H1469" s="260"/>
      <c r="I1469" s="260"/>
      <c r="J1469" s="260"/>
      <c r="K1469" s="260"/>
      <c r="L1469" s="260"/>
      <c r="M1469" s="260"/>
      <c r="N1469" s="260"/>
      <c r="O1469" s="235"/>
      <c r="P1469" s="235"/>
      <c r="Q1469" s="235"/>
    </row>
    <row r="1470" spans="2:17">
      <c r="B1470" s="241"/>
      <c r="C1470" s="241"/>
      <c r="D1470" s="241"/>
      <c r="E1470" s="241"/>
      <c r="F1470" s="260"/>
      <c r="G1470" s="260"/>
      <c r="H1470" s="260"/>
      <c r="I1470" s="260"/>
      <c r="J1470" s="260"/>
      <c r="K1470" s="260"/>
      <c r="L1470" s="260"/>
      <c r="M1470" s="260"/>
      <c r="N1470" s="260"/>
      <c r="O1470" s="235"/>
      <c r="P1470" s="235"/>
      <c r="Q1470" s="235"/>
    </row>
    <row r="1471" spans="2:17">
      <c r="B1471" s="241"/>
      <c r="C1471" s="241"/>
      <c r="D1471" s="241"/>
      <c r="E1471" s="241"/>
      <c r="F1471" s="260"/>
      <c r="G1471" s="260"/>
      <c r="H1471" s="260"/>
      <c r="I1471" s="260"/>
      <c r="J1471" s="260"/>
      <c r="K1471" s="260"/>
      <c r="L1471" s="260"/>
      <c r="M1471" s="260"/>
      <c r="N1471" s="260"/>
      <c r="O1471" s="235"/>
      <c r="P1471" s="235"/>
      <c r="Q1471" s="235"/>
    </row>
    <row r="1472" spans="2:17">
      <c r="B1472" s="241"/>
      <c r="C1472" s="241"/>
      <c r="D1472" s="241"/>
      <c r="E1472" s="241"/>
      <c r="F1472" s="260"/>
      <c r="G1472" s="260"/>
      <c r="H1472" s="260"/>
      <c r="I1472" s="260"/>
      <c r="J1472" s="260"/>
      <c r="K1472" s="260"/>
      <c r="L1472" s="260"/>
      <c r="M1472" s="260"/>
      <c r="N1472" s="260"/>
      <c r="O1472" s="235"/>
      <c r="P1472" s="235"/>
      <c r="Q1472" s="235"/>
    </row>
    <row r="1473" spans="2:17">
      <c r="B1473" s="241"/>
      <c r="C1473" s="241"/>
      <c r="D1473" s="241"/>
      <c r="E1473" s="241"/>
      <c r="F1473" s="260"/>
      <c r="G1473" s="260"/>
      <c r="H1473" s="260"/>
      <c r="I1473" s="260"/>
      <c r="J1473" s="260"/>
      <c r="K1473" s="260"/>
      <c r="L1473" s="260"/>
      <c r="M1473" s="260"/>
      <c r="N1473" s="260"/>
      <c r="O1473" s="235"/>
      <c r="P1473" s="235"/>
      <c r="Q1473" s="235"/>
    </row>
    <row r="1474" spans="2:17">
      <c r="B1474" s="241"/>
      <c r="C1474" s="241"/>
      <c r="D1474" s="241"/>
      <c r="E1474" s="241"/>
      <c r="F1474" s="260"/>
      <c r="G1474" s="260"/>
      <c r="H1474" s="260"/>
      <c r="I1474" s="260"/>
      <c r="J1474" s="260"/>
      <c r="K1474" s="260"/>
      <c r="L1474" s="260"/>
      <c r="M1474" s="260"/>
      <c r="N1474" s="260"/>
      <c r="O1474" s="235"/>
      <c r="P1474" s="235"/>
      <c r="Q1474" s="235"/>
    </row>
    <row r="1475" spans="2:17">
      <c r="B1475" s="241"/>
      <c r="C1475" s="241"/>
      <c r="D1475" s="241"/>
      <c r="E1475" s="241"/>
      <c r="F1475" s="260"/>
      <c r="G1475" s="260"/>
      <c r="H1475" s="260"/>
      <c r="I1475" s="260"/>
      <c r="J1475" s="260"/>
      <c r="K1475" s="260"/>
      <c r="L1475" s="260"/>
      <c r="M1475" s="260"/>
      <c r="N1475" s="260"/>
      <c r="O1475" s="235"/>
      <c r="P1475" s="235"/>
      <c r="Q1475" s="235"/>
    </row>
    <row r="1476" spans="2:17">
      <c r="B1476" s="241"/>
      <c r="C1476" s="241"/>
      <c r="D1476" s="241"/>
      <c r="E1476" s="241"/>
      <c r="F1476" s="260"/>
      <c r="G1476" s="260"/>
      <c r="H1476" s="260"/>
      <c r="I1476" s="260"/>
      <c r="J1476" s="260"/>
      <c r="K1476" s="260"/>
      <c r="L1476" s="260"/>
      <c r="M1476" s="260"/>
      <c r="N1476" s="260"/>
      <c r="O1476" s="235"/>
      <c r="P1476" s="235"/>
      <c r="Q1476" s="235"/>
    </row>
    <row r="1477" spans="2:17">
      <c r="B1477" s="241"/>
      <c r="C1477" s="241"/>
      <c r="D1477" s="241"/>
      <c r="E1477" s="241"/>
      <c r="F1477" s="260"/>
      <c r="G1477" s="260"/>
      <c r="H1477" s="260"/>
      <c r="I1477" s="260"/>
      <c r="J1477" s="260"/>
      <c r="K1477" s="260"/>
      <c r="L1477" s="260"/>
      <c r="M1477" s="260"/>
      <c r="N1477" s="260"/>
      <c r="O1477" s="235"/>
      <c r="P1477" s="235"/>
      <c r="Q1477" s="235"/>
    </row>
    <row r="1478" spans="2:17">
      <c r="B1478" s="241"/>
      <c r="C1478" s="241"/>
      <c r="D1478" s="241"/>
      <c r="E1478" s="241"/>
      <c r="F1478" s="260"/>
      <c r="G1478" s="260"/>
      <c r="H1478" s="260"/>
      <c r="I1478" s="260"/>
      <c r="J1478" s="260"/>
      <c r="K1478" s="260"/>
      <c r="L1478" s="260"/>
      <c r="M1478" s="260"/>
      <c r="N1478" s="260"/>
      <c r="O1478" s="235"/>
      <c r="P1478" s="235"/>
      <c r="Q1478" s="235"/>
    </row>
    <row r="1479" spans="2:17">
      <c r="B1479" s="241"/>
      <c r="C1479" s="241"/>
      <c r="D1479" s="241"/>
      <c r="E1479" s="241"/>
      <c r="F1479" s="260"/>
      <c r="G1479" s="260"/>
      <c r="H1479" s="260"/>
      <c r="I1479" s="260"/>
      <c r="J1479" s="260"/>
      <c r="K1479" s="260"/>
      <c r="L1479" s="260"/>
      <c r="M1479" s="260"/>
      <c r="N1479" s="260"/>
      <c r="O1479" s="235"/>
      <c r="P1479" s="235"/>
      <c r="Q1479" s="235"/>
    </row>
    <row r="1480" spans="2:17">
      <c r="B1480" s="241"/>
      <c r="C1480" s="241"/>
      <c r="D1480" s="241"/>
      <c r="E1480" s="241"/>
      <c r="F1480" s="260"/>
      <c r="G1480" s="260"/>
      <c r="H1480" s="260"/>
      <c r="I1480" s="260"/>
      <c r="J1480" s="260"/>
      <c r="K1480" s="260"/>
      <c r="L1480" s="260"/>
      <c r="M1480" s="260"/>
      <c r="N1480" s="260"/>
      <c r="O1480" s="235"/>
      <c r="P1480" s="235"/>
      <c r="Q1480" s="235"/>
    </row>
    <row r="1481" spans="2:17">
      <c r="B1481" s="241"/>
      <c r="C1481" s="241"/>
      <c r="D1481" s="241"/>
      <c r="E1481" s="241"/>
      <c r="F1481" s="260"/>
      <c r="G1481" s="260"/>
      <c r="H1481" s="260"/>
      <c r="I1481" s="260"/>
      <c r="J1481" s="260"/>
      <c r="K1481" s="260"/>
      <c r="L1481" s="260"/>
      <c r="M1481" s="260"/>
      <c r="N1481" s="260"/>
      <c r="O1481" s="235"/>
      <c r="P1481" s="235"/>
      <c r="Q1481" s="235"/>
    </row>
    <row r="1482" spans="2:17">
      <c r="B1482" s="241"/>
      <c r="C1482" s="241"/>
      <c r="D1482" s="241"/>
      <c r="E1482" s="241"/>
      <c r="F1482" s="260"/>
      <c r="G1482" s="260"/>
      <c r="H1482" s="260"/>
      <c r="I1482" s="260"/>
      <c r="J1482" s="260"/>
      <c r="K1482" s="260"/>
      <c r="L1482" s="260"/>
      <c r="M1482" s="260"/>
      <c r="N1482" s="260"/>
      <c r="O1482" s="235"/>
      <c r="P1482" s="235"/>
      <c r="Q1482" s="235"/>
    </row>
    <row r="1483" spans="2:17">
      <c r="B1483" s="241"/>
      <c r="C1483" s="241"/>
      <c r="D1483" s="241"/>
      <c r="E1483" s="241"/>
      <c r="F1483" s="260"/>
      <c r="G1483" s="260"/>
      <c r="H1483" s="260"/>
      <c r="I1483" s="260"/>
      <c r="J1483" s="260"/>
      <c r="K1483" s="260"/>
      <c r="L1483" s="260"/>
      <c r="M1483" s="260"/>
      <c r="N1483" s="260"/>
      <c r="O1483" s="235"/>
      <c r="P1483" s="235"/>
      <c r="Q1483" s="235"/>
    </row>
    <row r="1484" spans="2:17">
      <c r="B1484" s="241"/>
      <c r="C1484" s="241"/>
      <c r="D1484" s="241"/>
      <c r="E1484" s="241"/>
      <c r="F1484" s="260"/>
      <c r="G1484" s="260"/>
      <c r="H1484" s="260"/>
      <c r="I1484" s="260"/>
      <c r="J1484" s="260"/>
      <c r="K1484" s="260"/>
      <c r="L1484" s="260"/>
      <c r="M1484" s="260"/>
      <c r="N1484" s="260"/>
      <c r="O1484" s="235"/>
      <c r="P1484" s="235"/>
      <c r="Q1484" s="235"/>
    </row>
    <row r="1485" spans="2:17">
      <c r="B1485" s="241"/>
      <c r="C1485" s="241"/>
      <c r="D1485" s="241"/>
      <c r="E1485" s="241"/>
      <c r="F1485" s="260"/>
      <c r="G1485" s="260"/>
      <c r="H1485" s="260"/>
      <c r="I1485" s="260"/>
      <c r="J1485" s="260"/>
      <c r="K1485" s="260"/>
      <c r="L1485" s="260"/>
      <c r="M1485" s="260"/>
      <c r="N1485" s="260"/>
      <c r="O1485" s="235"/>
      <c r="P1485" s="235"/>
      <c r="Q1485" s="235"/>
    </row>
    <row r="1486" spans="2:17">
      <c r="B1486" s="241"/>
      <c r="C1486" s="241"/>
      <c r="D1486" s="241"/>
      <c r="E1486" s="241"/>
      <c r="F1486" s="260"/>
      <c r="G1486" s="260"/>
      <c r="H1486" s="260"/>
      <c r="I1486" s="260"/>
      <c r="J1486" s="260"/>
      <c r="K1486" s="260"/>
      <c r="L1486" s="260"/>
      <c r="M1486" s="260"/>
      <c r="N1486" s="260"/>
      <c r="O1486" s="235"/>
      <c r="P1486" s="235"/>
      <c r="Q1486" s="235"/>
    </row>
    <row r="1487" spans="2:17">
      <c r="B1487" s="241"/>
      <c r="C1487" s="241"/>
      <c r="D1487" s="241"/>
      <c r="E1487" s="241"/>
      <c r="F1487" s="260"/>
      <c r="G1487" s="260"/>
      <c r="H1487" s="260"/>
      <c r="I1487" s="260"/>
      <c r="J1487" s="260"/>
      <c r="K1487" s="260"/>
      <c r="L1487" s="260"/>
      <c r="M1487" s="260"/>
      <c r="N1487" s="260"/>
      <c r="O1487" s="235"/>
      <c r="P1487" s="235"/>
      <c r="Q1487" s="235"/>
    </row>
    <row r="1488" spans="2:17">
      <c r="B1488" s="241"/>
      <c r="C1488" s="241"/>
      <c r="D1488" s="241"/>
      <c r="E1488" s="241"/>
      <c r="F1488" s="260"/>
      <c r="G1488" s="260"/>
      <c r="H1488" s="260"/>
      <c r="I1488" s="260"/>
      <c r="J1488" s="260"/>
      <c r="K1488" s="260"/>
      <c r="L1488" s="260"/>
      <c r="M1488" s="260"/>
      <c r="N1488" s="260"/>
      <c r="O1488" s="235"/>
      <c r="P1488" s="235"/>
      <c r="Q1488" s="235"/>
    </row>
    <row r="1489" spans="2:17">
      <c r="B1489" s="241"/>
      <c r="C1489" s="241"/>
      <c r="D1489" s="241"/>
      <c r="E1489" s="241"/>
      <c r="F1489" s="260"/>
      <c r="G1489" s="260"/>
      <c r="H1489" s="260"/>
      <c r="I1489" s="260"/>
      <c r="J1489" s="260"/>
      <c r="K1489" s="260"/>
      <c r="L1489" s="260"/>
      <c r="M1489" s="260"/>
      <c r="N1489" s="260"/>
      <c r="O1489" s="235"/>
      <c r="P1489" s="235"/>
      <c r="Q1489" s="235"/>
    </row>
    <row r="1490" spans="2:17">
      <c r="B1490" s="241"/>
      <c r="C1490" s="241"/>
      <c r="D1490" s="241"/>
      <c r="E1490" s="241"/>
      <c r="F1490" s="260"/>
      <c r="G1490" s="260"/>
      <c r="H1490" s="260"/>
      <c r="I1490" s="260"/>
      <c r="J1490" s="260"/>
      <c r="K1490" s="260"/>
      <c r="L1490" s="260"/>
      <c r="M1490" s="260"/>
      <c r="N1490" s="260"/>
      <c r="O1490" s="235"/>
      <c r="P1490" s="235"/>
      <c r="Q1490" s="235"/>
    </row>
    <row r="1491" spans="2:17">
      <c r="B1491" s="241"/>
      <c r="C1491" s="241"/>
      <c r="D1491" s="241"/>
      <c r="E1491" s="241"/>
      <c r="F1491" s="260"/>
      <c r="G1491" s="260"/>
      <c r="H1491" s="260"/>
      <c r="I1491" s="260"/>
      <c r="J1491" s="260"/>
      <c r="K1491" s="260"/>
      <c r="L1491" s="260"/>
      <c r="M1491" s="260"/>
      <c r="N1491" s="260"/>
      <c r="O1491" s="235"/>
      <c r="P1491" s="235"/>
      <c r="Q1491" s="235"/>
    </row>
    <row r="1492" spans="2:17">
      <c r="B1492" s="241"/>
      <c r="C1492" s="241"/>
      <c r="D1492" s="241"/>
      <c r="E1492" s="241"/>
      <c r="F1492" s="260"/>
      <c r="G1492" s="260"/>
      <c r="H1492" s="260"/>
      <c r="I1492" s="260"/>
      <c r="J1492" s="260"/>
      <c r="K1492" s="260"/>
      <c r="L1492" s="260"/>
      <c r="M1492" s="260"/>
      <c r="N1492" s="260"/>
      <c r="O1492" s="235"/>
      <c r="P1492" s="235"/>
      <c r="Q1492" s="235"/>
    </row>
    <row r="1493" spans="2:17">
      <c r="B1493" s="241"/>
      <c r="C1493" s="241"/>
      <c r="D1493" s="241"/>
      <c r="E1493" s="241"/>
      <c r="F1493" s="260"/>
      <c r="G1493" s="260"/>
      <c r="H1493" s="260"/>
      <c r="I1493" s="260"/>
      <c r="J1493" s="260"/>
      <c r="K1493" s="260"/>
      <c r="L1493" s="260"/>
      <c r="M1493" s="260"/>
      <c r="N1493" s="260"/>
      <c r="O1493" s="235"/>
      <c r="P1493" s="235"/>
      <c r="Q1493" s="235"/>
    </row>
    <row r="1494" spans="2:17">
      <c r="B1494" s="241"/>
      <c r="C1494" s="241"/>
      <c r="D1494" s="241"/>
      <c r="E1494" s="241"/>
      <c r="F1494" s="260"/>
      <c r="G1494" s="260"/>
      <c r="H1494" s="260"/>
      <c r="I1494" s="260"/>
      <c r="J1494" s="260"/>
      <c r="K1494" s="260"/>
      <c r="L1494" s="260"/>
      <c r="M1494" s="260"/>
      <c r="N1494" s="260"/>
      <c r="O1494" s="235"/>
      <c r="P1494" s="235"/>
      <c r="Q1494" s="235"/>
    </row>
    <row r="1495" spans="2:17">
      <c r="B1495" s="241"/>
      <c r="C1495" s="241"/>
      <c r="D1495" s="241"/>
      <c r="E1495" s="241"/>
      <c r="F1495" s="260"/>
      <c r="G1495" s="260"/>
      <c r="H1495" s="260"/>
      <c r="I1495" s="260"/>
      <c r="J1495" s="260"/>
      <c r="K1495" s="260"/>
      <c r="L1495" s="260"/>
      <c r="M1495" s="260"/>
      <c r="N1495" s="260"/>
      <c r="O1495" s="235"/>
      <c r="P1495" s="235"/>
      <c r="Q1495" s="235"/>
    </row>
    <row r="1496" spans="2:17">
      <c r="B1496" s="241"/>
      <c r="C1496" s="241"/>
      <c r="D1496" s="241"/>
      <c r="E1496" s="241"/>
      <c r="F1496" s="260"/>
      <c r="G1496" s="260"/>
      <c r="H1496" s="260"/>
      <c r="I1496" s="260"/>
      <c r="J1496" s="260"/>
      <c r="K1496" s="260"/>
      <c r="L1496" s="260"/>
      <c r="M1496" s="260"/>
      <c r="N1496" s="260"/>
      <c r="O1496" s="235"/>
      <c r="P1496" s="235"/>
      <c r="Q1496" s="235"/>
    </row>
    <row r="1497" spans="2:17">
      <c r="B1497" s="241"/>
      <c r="C1497" s="241"/>
      <c r="D1497" s="241"/>
      <c r="E1497" s="241"/>
      <c r="F1497" s="260"/>
      <c r="G1497" s="260"/>
      <c r="H1497" s="260"/>
      <c r="I1497" s="260"/>
      <c r="J1497" s="260"/>
      <c r="K1497" s="260"/>
      <c r="L1497" s="260"/>
      <c r="M1497" s="260"/>
      <c r="N1497" s="260"/>
      <c r="O1497" s="235"/>
      <c r="P1497" s="235"/>
      <c r="Q1497" s="235"/>
    </row>
    <row r="1498" spans="2:17">
      <c r="B1498" s="241"/>
      <c r="C1498" s="241"/>
      <c r="D1498" s="241"/>
      <c r="E1498" s="241"/>
      <c r="F1498" s="260"/>
      <c r="G1498" s="260"/>
      <c r="H1498" s="260"/>
      <c r="I1498" s="260"/>
      <c r="J1498" s="260"/>
      <c r="K1498" s="260"/>
      <c r="L1498" s="260"/>
      <c r="M1498" s="260"/>
      <c r="N1498" s="260"/>
      <c r="O1498" s="235"/>
      <c r="P1498" s="235"/>
      <c r="Q1498" s="235"/>
    </row>
    <row r="1499" spans="2:17">
      <c r="B1499" s="241"/>
      <c r="C1499" s="241"/>
      <c r="D1499" s="241"/>
      <c r="E1499" s="241"/>
      <c r="F1499" s="260"/>
      <c r="G1499" s="260"/>
      <c r="H1499" s="260"/>
      <c r="I1499" s="260"/>
      <c r="J1499" s="260"/>
      <c r="K1499" s="260"/>
      <c r="L1499" s="260"/>
      <c r="M1499" s="260"/>
      <c r="N1499" s="260"/>
      <c r="O1499" s="235"/>
      <c r="P1499" s="235"/>
      <c r="Q1499" s="235"/>
    </row>
    <row r="1500" spans="2:17">
      <c r="B1500" s="241"/>
      <c r="C1500" s="241"/>
      <c r="D1500" s="241"/>
      <c r="E1500" s="241"/>
      <c r="F1500" s="260"/>
      <c r="G1500" s="260"/>
      <c r="H1500" s="260"/>
      <c r="I1500" s="260"/>
      <c r="J1500" s="260"/>
      <c r="K1500" s="260"/>
      <c r="L1500" s="260"/>
      <c r="M1500" s="260"/>
      <c r="N1500" s="260"/>
      <c r="O1500" s="235"/>
      <c r="P1500" s="235"/>
      <c r="Q1500" s="235"/>
    </row>
    <row r="1501" spans="2:17">
      <c r="B1501" s="241"/>
      <c r="C1501" s="241"/>
      <c r="D1501" s="241"/>
      <c r="E1501" s="241"/>
      <c r="F1501" s="260"/>
      <c r="G1501" s="260"/>
      <c r="H1501" s="260"/>
      <c r="I1501" s="260"/>
      <c r="J1501" s="260"/>
      <c r="K1501" s="260"/>
      <c r="L1501" s="260"/>
      <c r="M1501" s="260"/>
      <c r="N1501" s="260"/>
      <c r="O1501" s="235"/>
      <c r="P1501" s="235"/>
      <c r="Q1501" s="235"/>
    </row>
    <row r="1502" spans="2:17">
      <c r="B1502" s="241"/>
      <c r="C1502" s="241"/>
      <c r="D1502" s="241"/>
      <c r="E1502" s="241"/>
      <c r="F1502" s="260"/>
      <c r="G1502" s="260"/>
      <c r="H1502" s="260"/>
      <c r="I1502" s="260"/>
      <c r="J1502" s="260"/>
      <c r="K1502" s="260"/>
      <c r="L1502" s="260"/>
      <c r="M1502" s="260"/>
      <c r="N1502" s="260"/>
      <c r="O1502" s="235"/>
      <c r="P1502" s="235"/>
      <c r="Q1502" s="235"/>
    </row>
    <row r="1503" spans="2:17">
      <c r="B1503" s="241"/>
      <c r="C1503" s="241"/>
      <c r="D1503" s="241"/>
      <c r="E1503" s="241"/>
      <c r="F1503" s="260"/>
      <c r="G1503" s="260"/>
      <c r="H1503" s="260"/>
      <c r="I1503" s="260"/>
      <c r="J1503" s="260"/>
      <c r="K1503" s="260"/>
      <c r="L1503" s="260"/>
      <c r="M1503" s="260"/>
      <c r="N1503" s="260"/>
      <c r="O1503" s="235"/>
      <c r="P1503" s="235"/>
      <c r="Q1503" s="235"/>
    </row>
    <row r="1504" spans="2:17">
      <c r="B1504" s="241"/>
      <c r="C1504" s="241"/>
      <c r="D1504" s="241"/>
      <c r="E1504" s="241"/>
      <c r="F1504" s="260"/>
      <c r="G1504" s="260"/>
      <c r="H1504" s="260"/>
      <c r="I1504" s="260"/>
      <c r="J1504" s="260"/>
      <c r="K1504" s="260"/>
      <c r="L1504" s="260"/>
      <c r="M1504" s="260"/>
      <c r="N1504" s="260"/>
      <c r="O1504" s="235"/>
      <c r="P1504" s="235"/>
      <c r="Q1504" s="235"/>
    </row>
    <row r="1505" spans="2:17">
      <c r="B1505" s="241"/>
      <c r="C1505" s="241"/>
      <c r="D1505" s="241"/>
      <c r="E1505" s="241"/>
      <c r="F1505" s="260"/>
      <c r="G1505" s="260"/>
      <c r="H1505" s="260"/>
      <c r="I1505" s="260"/>
      <c r="J1505" s="260"/>
      <c r="K1505" s="260"/>
      <c r="L1505" s="260"/>
      <c r="M1505" s="260"/>
      <c r="N1505" s="260"/>
      <c r="O1505" s="235"/>
      <c r="P1505" s="235"/>
      <c r="Q1505" s="235"/>
    </row>
    <row r="1506" spans="2:17">
      <c r="B1506" s="241"/>
      <c r="C1506" s="241"/>
      <c r="D1506" s="241"/>
      <c r="E1506" s="241"/>
      <c r="F1506" s="260"/>
      <c r="G1506" s="260"/>
      <c r="H1506" s="260"/>
      <c r="I1506" s="260"/>
      <c r="J1506" s="260"/>
      <c r="K1506" s="260"/>
      <c r="L1506" s="260"/>
      <c r="M1506" s="260"/>
      <c r="N1506" s="260"/>
      <c r="O1506" s="235"/>
      <c r="P1506" s="235"/>
      <c r="Q1506" s="235"/>
    </row>
    <row r="1507" spans="2:17">
      <c r="B1507" s="241"/>
      <c r="C1507" s="241"/>
      <c r="D1507" s="241"/>
      <c r="E1507" s="241"/>
      <c r="F1507" s="260"/>
      <c r="G1507" s="260"/>
      <c r="H1507" s="260"/>
      <c r="I1507" s="260"/>
      <c r="J1507" s="260"/>
      <c r="K1507" s="260"/>
      <c r="L1507" s="260"/>
      <c r="M1507" s="260"/>
      <c r="N1507" s="260"/>
      <c r="O1507" s="235"/>
      <c r="P1507" s="235"/>
      <c r="Q1507" s="235"/>
    </row>
    <row r="1508" spans="2:17">
      <c r="B1508" s="241"/>
      <c r="C1508" s="241"/>
      <c r="D1508" s="241"/>
      <c r="E1508" s="241"/>
      <c r="F1508" s="260"/>
      <c r="G1508" s="260"/>
      <c r="H1508" s="260"/>
      <c r="I1508" s="260"/>
      <c r="J1508" s="260"/>
      <c r="K1508" s="260"/>
      <c r="L1508" s="260"/>
      <c r="M1508" s="260"/>
      <c r="N1508" s="260"/>
      <c r="O1508" s="235"/>
      <c r="P1508" s="235"/>
      <c r="Q1508" s="235"/>
    </row>
    <row r="1509" spans="2:17">
      <c r="B1509" s="241"/>
      <c r="C1509" s="241"/>
      <c r="D1509" s="241"/>
      <c r="E1509" s="241"/>
      <c r="F1509" s="260"/>
      <c r="G1509" s="260"/>
      <c r="H1509" s="260"/>
      <c r="I1509" s="260"/>
      <c r="J1509" s="260"/>
      <c r="K1509" s="260"/>
      <c r="L1509" s="260"/>
      <c r="M1509" s="260"/>
      <c r="N1509" s="260"/>
      <c r="O1509" s="235"/>
      <c r="P1509" s="235"/>
      <c r="Q1509" s="235"/>
    </row>
    <row r="1510" spans="2:17">
      <c r="B1510" s="241"/>
      <c r="C1510" s="241"/>
      <c r="D1510" s="241"/>
      <c r="E1510" s="241"/>
      <c r="F1510" s="260"/>
      <c r="G1510" s="260"/>
      <c r="H1510" s="260"/>
      <c r="I1510" s="260"/>
      <c r="J1510" s="260"/>
      <c r="K1510" s="260"/>
      <c r="L1510" s="260"/>
      <c r="M1510" s="260"/>
      <c r="N1510" s="260"/>
      <c r="O1510" s="235"/>
      <c r="P1510" s="235"/>
      <c r="Q1510" s="235"/>
    </row>
    <row r="1511" spans="2:17">
      <c r="B1511" s="241"/>
      <c r="C1511" s="241"/>
      <c r="D1511" s="241"/>
      <c r="E1511" s="241"/>
      <c r="F1511" s="260"/>
      <c r="G1511" s="260"/>
      <c r="H1511" s="260"/>
      <c r="I1511" s="260"/>
      <c r="J1511" s="260"/>
      <c r="K1511" s="260"/>
      <c r="L1511" s="260"/>
      <c r="M1511" s="260"/>
      <c r="N1511" s="260"/>
      <c r="O1511" s="235"/>
      <c r="P1511" s="235"/>
      <c r="Q1511" s="235"/>
    </row>
    <row r="1512" spans="2:17">
      <c r="B1512" s="241"/>
      <c r="C1512" s="241"/>
      <c r="D1512" s="241"/>
      <c r="E1512" s="241"/>
      <c r="F1512" s="260"/>
      <c r="G1512" s="260"/>
      <c r="H1512" s="260"/>
      <c r="I1512" s="260"/>
      <c r="J1512" s="260"/>
      <c r="K1512" s="260"/>
      <c r="L1512" s="260"/>
      <c r="M1512" s="260"/>
      <c r="N1512" s="260"/>
      <c r="O1512" s="235"/>
      <c r="P1512" s="235"/>
      <c r="Q1512" s="235"/>
    </row>
    <row r="1513" spans="2:17">
      <c r="B1513" s="241"/>
      <c r="C1513" s="241"/>
      <c r="D1513" s="241"/>
      <c r="E1513" s="241"/>
      <c r="F1513" s="260"/>
      <c r="G1513" s="260"/>
      <c r="H1513" s="260"/>
      <c r="I1513" s="260"/>
      <c r="J1513" s="260"/>
      <c r="K1513" s="260"/>
      <c r="L1513" s="260"/>
      <c r="M1513" s="260"/>
      <c r="N1513" s="260"/>
      <c r="O1513" s="235"/>
      <c r="P1513" s="235"/>
      <c r="Q1513" s="235"/>
    </row>
    <row r="1514" spans="2:17">
      <c r="B1514" s="241"/>
      <c r="C1514" s="241"/>
      <c r="D1514" s="241"/>
      <c r="E1514" s="241"/>
      <c r="F1514" s="260"/>
      <c r="G1514" s="260"/>
      <c r="H1514" s="260"/>
      <c r="I1514" s="260"/>
      <c r="J1514" s="260"/>
      <c r="K1514" s="260"/>
      <c r="L1514" s="260"/>
      <c r="M1514" s="260"/>
      <c r="N1514" s="260"/>
      <c r="O1514" s="235"/>
      <c r="P1514" s="235"/>
      <c r="Q1514" s="235"/>
    </row>
    <row r="1515" spans="2:17">
      <c r="B1515" s="241"/>
      <c r="C1515" s="241"/>
      <c r="D1515" s="241"/>
      <c r="E1515" s="241"/>
      <c r="F1515" s="260"/>
      <c r="G1515" s="260"/>
      <c r="H1515" s="260"/>
      <c r="I1515" s="260"/>
      <c r="J1515" s="260"/>
      <c r="K1515" s="260"/>
      <c r="L1515" s="260"/>
      <c r="M1515" s="260"/>
      <c r="N1515" s="260"/>
      <c r="O1515" s="235"/>
      <c r="P1515" s="235"/>
      <c r="Q1515" s="235"/>
    </row>
    <row r="1516" spans="2:17">
      <c r="B1516" s="241"/>
      <c r="C1516" s="241"/>
      <c r="D1516" s="241"/>
      <c r="E1516" s="241"/>
      <c r="F1516" s="260"/>
      <c r="G1516" s="260"/>
      <c r="H1516" s="260"/>
      <c r="I1516" s="260"/>
      <c r="J1516" s="260"/>
      <c r="K1516" s="260"/>
      <c r="L1516" s="260"/>
      <c r="M1516" s="260"/>
      <c r="N1516" s="260"/>
      <c r="O1516" s="235"/>
      <c r="P1516" s="235"/>
      <c r="Q1516" s="235"/>
    </row>
    <row r="1517" spans="2:17">
      <c r="B1517" s="241"/>
      <c r="C1517" s="241"/>
      <c r="D1517" s="241"/>
      <c r="E1517" s="241"/>
      <c r="F1517" s="260"/>
      <c r="G1517" s="260"/>
      <c r="H1517" s="260"/>
      <c r="I1517" s="260"/>
      <c r="J1517" s="260"/>
      <c r="K1517" s="260"/>
      <c r="L1517" s="260"/>
      <c r="M1517" s="260"/>
      <c r="N1517" s="260"/>
      <c r="O1517" s="235"/>
      <c r="P1517" s="235"/>
      <c r="Q1517" s="235"/>
    </row>
    <row r="1518" spans="2:17">
      <c r="B1518" s="241"/>
      <c r="C1518" s="241"/>
      <c r="D1518" s="241"/>
      <c r="E1518" s="241"/>
      <c r="F1518" s="260"/>
      <c r="G1518" s="260"/>
      <c r="H1518" s="260"/>
      <c r="I1518" s="260"/>
      <c r="J1518" s="260"/>
      <c r="K1518" s="260"/>
      <c r="L1518" s="260"/>
      <c r="M1518" s="260"/>
      <c r="N1518" s="260"/>
      <c r="O1518" s="235"/>
      <c r="P1518" s="235"/>
      <c r="Q1518" s="235"/>
    </row>
    <row r="1519" spans="2:17">
      <c r="B1519" s="241"/>
      <c r="C1519" s="241"/>
      <c r="D1519" s="241"/>
      <c r="E1519" s="241"/>
      <c r="F1519" s="260"/>
      <c r="G1519" s="260"/>
      <c r="H1519" s="260"/>
      <c r="I1519" s="260"/>
      <c r="J1519" s="260"/>
      <c r="K1519" s="260"/>
      <c r="L1519" s="260"/>
      <c r="M1519" s="260"/>
      <c r="N1519" s="260"/>
      <c r="O1519" s="235"/>
      <c r="P1519" s="235"/>
      <c r="Q1519" s="235"/>
    </row>
    <row r="1520" spans="2:17">
      <c r="B1520" s="241"/>
      <c r="C1520" s="241"/>
      <c r="D1520" s="241"/>
      <c r="E1520" s="241"/>
      <c r="F1520" s="260"/>
      <c r="G1520" s="260"/>
      <c r="H1520" s="260"/>
      <c r="I1520" s="260"/>
      <c r="J1520" s="260"/>
      <c r="K1520" s="260"/>
      <c r="L1520" s="260"/>
      <c r="M1520" s="260"/>
      <c r="N1520" s="260"/>
      <c r="O1520" s="235"/>
      <c r="P1520" s="235"/>
      <c r="Q1520" s="235"/>
    </row>
    <row r="1521" spans="2:17">
      <c r="B1521" s="241"/>
      <c r="C1521" s="241"/>
      <c r="D1521" s="241"/>
      <c r="E1521" s="241"/>
      <c r="F1521" s="260"/>
      <c r="G1521" s="260"/>
      <c r="H1521" s="260"/>
      <c r="I1521" s="260"/>
      <c r="J1521" s="260"/>
      <c r="K1521" s="260"/>
      <c r="L1521" s="260"/>
      <c r="M1521" s="260"/>
      <c r="N1521" s="260"/>
      <c r="O1521" s="235"/>
      <c r="P1521" s="235"/>
      <c r="Q1521" s="235"/>
    </row>
    <row r="1522" spans="2:17">
      <c r="B1522" s="241"/>
      <c r="C1522" s="241"/>
      <c r="D1522" s="241"/>
      <c r="E1522" s="241"/>
      <c r="F1522" s="260"/>
      <c r="G1522" s="260"/>
      <c r="H1522" s="260"/>
      <c r="I1522" s="260"/>
      <c r="J1522" s="260"/>
      <c r="K1522" s="260"/>
      <c r="L1522" s="260"/>
      <c r="M1522" s="260"/>
      <c r="N1522" s="260"/>
      <c r="O1522" s="235"/>
      <c r="P1522" s="235"/>
      <c r="Q1522" s="235"/>
    </row>
    <row r="1523" spans="2:17">
      <c r="B1523" s="241"/>
      <c r="C1523" s="241"/>
      <c r="D1523" s="241"/>
      <c r="E1523" s="241"/>
      <c r="F1523" s="260"/>
      <c r="G1523" s="260"/>
      <c r="H1523" s="260"/>
      <c r="I1523" s="260"/>
      <c r="J1523" s="260"/>
      <c r="K1523" s="260"/>
      <c r="L1523" s="260"/>
      <c r="M1523" s="260"/>
      <c r="N1523" s="260"/>
      <c r="O1523" s="235"/>
      <c r="P1523" s="235"/>
      <c r="Q1523" s="235"/>
    </row>
    <row r="1524" spans="2:17">
      <c r="B1524" s="241"/>
      <c r="C1524" s="241"/>
      <c r="D1524" s="241"/>
      <c r="E1524" s="241"/>
      <c r="F1524" s="260"/>
      <c r="G1524" s="260"/>
      <c r="H1524" s="260"/>
      <c r="I1524" s="260"/>
      <c r="J1524" s="260"/>
      <c r="K1524" s="260"/>
      <c r="L1524" s="260"/>
      <c r="M1524" s="260"/>
      <c r="N1524" s="260"/>
      <c r="O1524" s="235"/>
      <c r="P1524" s="235"/>
      <c r="Q1524" s="235"/>
    </row>
    <row r="1525" spans="2:17">
      <c r="B1525" s="241"/>
      <c r="C1525" s="241"/>
      <c r="D1525" s="241"/>
      <c r="E1525" s="241"/>
      <c r="F1525" s="260"/>
      <c r="G1525" s="260"/>
      <c r="H1525" s="260"/>
      <c r="I1525" s="260"/>
      <c r="J1525" s="260"/>
      <c r="K1525" s="260"/>
      <c r="L1525" s="260"/>
      <c r="M1525" s="260"/>
      <c r="N1525" s="260"/>
      <c r="O1525" s="235"/>
      <c r="P1525" s="235"/>
      <c r="Q1525" s="235"/>
    </row>
    <row r="1526" spans="2:17">
      <c r="B1526" s="241"/>
      <c r="C1526" s="241"/>
      <c r="D1526" s="241"/>
      <c r="E1526" s="241"/>
      <c r="F1526" s="260"/>
      <c r="G1526" s="260"/>
      <c r="H1526" s="260"/>
      <c r="I1526" s="260"/>
      <c r="J1526" s="260"/>
      <c r="K1526" s="260"/>
      <c r="L1526" s="260"/>
      <c r="M1526" s="260"/>
      <c r="N1526" s="260"/>
      <c r="O1526" s="235"/>
      <c r="P1526" s="235"/>
      <c r="Q1526" s="235"/>
    </row>
    <row r="1527" spans="2:17">
      <c r="B1527" s="241"/>
      <c r="C1527" s="241"/>
      <c r="D1527" s="241"/>
      <c r="E1527" s="241"/>
      <c r="F1527" s="260"/>
      <c r="G1527" s="260"/>
      <c r="H1527" s="260"/>
      <c r="I1527" s="260"/>
      <c r="J1527" s="260"/>
      <c r="K1527" s="260"/>
      <c r="L1527" s="260"/>
      <c r="M1527" s="260"/>
      <c r="N1527" s="260"/>
      <c r="O1527" s="235"/>
      <c r="P1527" s="235"/>
      <c r="Q1527" s="235"/>
    </row>
    <row r="1528" spans="2:17">
      <c r="B1528" s="241"/>
      <c r="C1528" s="241"/>
      <c r="D1528" s="241"/>
      <c r="E1528" s="241"/>
      <c r="F1528" s="260"/>
      <c r="G1528" s="260"/>
      <c r="H1528" s="260"/>
      <c r="I1528" s="260"/>
      <c r="J1528" s="260"/>
      <c r="K1528" s="260"/>
      <c r="L1528" s="260"/>
      <c r="M1528" s="260"/>
      <c r="N1528" s="260"/>
      <c r="O1528" s="235"/>
      <c r="P1528" s="235"/>
      <c r="Q1528" s="235"/>
    </row>
    <row r="1529" spans="2:17">
      <c r="B1529" s="241"/>
      <c r="C1529" s="241"/>
      <c r="D1529" s="241"/>
      <c r="E1529" s="241"/>
      <c r="F1529" s="260"/>
      <c r="G1529" s="260"/>
      <c r="H1529" s="260"/>
      <c r="I1529" s="260"/>
      <c r="J1529" s="260"/>
      <c r="K1529" s="260"/>
      <c r="L1529" s="260"/>
      <c r="M1529" s="260"/>
      <c r="N1529" s="260"/>
      <c r="O1529" s="235"/>
      <c r="P1529" s="235"/>
      <c r="Q1529" s="235"/>
    </row>
    <row r="1530" spans="2:17">
      <c r="B1530" s="241"/>
      <c r="C1530" s="241"/>
      <c r="D1530" s="241"/>
      <c r="E1530" s="241"/>
      <c r="F1530" s="260"/>
      <c r="G1530" s="260"/>
      <c r="H1530" s="260"/>
      <c r="I1530" s="260"/>
      <c r="J1530" s="260"/>
      <c r="K1530" s="260"/>
      <c r="L1530" s="260"/>
      <c r="M1530" s="260"/>
      <c r="N1530" s="260"/>
      <c r="O1530" s="235"/>
      <c r="P1530" s="235"/>
      <c r="Q1530" s="235"/>
    </row>
    <row r="1531" spans="2:17">
      <c r="B1531" s="241"/>
      <c r="C1531" s="241"/>
      <c r="D1531" s="241"/>
      <c r="E1531" s="241"/>
      <c r="F1531" s="260"/>
      <c r="G1531" s="260"/>
      <c r="H1531" s="260"/>
      <c r="I1531" s="260"/>
      <c r="J1531" s="260"/>
      <c r="K1531" s="260"/>
      <c r="L1531" s="260"/>
      <c r="M1531" s="260"/>
      <c r="N1531" s="260"/>
      <c r="O1531" s="235"/>
      <c r="P1531" s="235"/>
      <c r="Q1531" s="235"/>
    </row>
    <row r="1532" spans="2:17">
      <c r="B1532" s="241"/>
      <c r="C1532" s="241"/>
      <c r="D1532" s="241"/>
      <c r="E1532" s="241"/>
      <c r="F1532" s="260"/>
      <c r="G1532" s="260"/>
      <c r="H1532" s="260"/>
      <c r="I1532" s="260"/>
      <c r="J1532" s="260"/>
      <c r="K1532" s="260"/>
      <c r="L1532" s="260"/>
      <c r="M1532" s="260"/>
      <c r="N1532" s="260"/>
      <c r="O1532" s="235"/>
      <c r="P1532" s="235"/>
      <c r="Q1532" s="235"/>
    </row>
    <row r="1533" spans="2:17">
      <c r="B1533" s="241"/>
      <c r="C1533" s="241"/>
      <c r="D1533" s="241"/>
      <c r="E1533" s="241"/>
      <c r="F1533" s="260"/>
      <c r="G1533" s="260"/>
      <c r="H1533" s="260"/>
      <c r="I1533" s="260"/>
      <c r="J1533" s="260"/>
      <c r="K1533" s="260"/>
      <c r="L1533" s="260"/>
      <c r="M1533" s="260"/>
      <c r="N1533" s="260"/>
      <c r="O1533" s="235"/>
      <c r="P1533" s="235"/>
      <c r="Q1533" s="235"/>
    </row>
    <row r="1534" spans="2:17">
      <c r="B1534" s="241"/>
      <c r="C1534" s="241"/>
      <c r="D1534" s="241"/>
      <c r="E1534" s="241"/>
      <c r="F1534" s="260"/>
      <c r="G1534" s="260"/>
      <c r="H1534" s="260"/>
      <c r="I1534" s="260"/>
      <c r="J1534" s="260"/>
      <c r="K1534" s="260"/>
      <c r="L1534" s="260"/>
      <c r="M1534" s="260"/>
      <c r="N1534" s="260"/>
      <c r="O1534" s="235"/>
      <c r="P1534" s="235"/>
      <c r="Q1534" s="235"/>
    </row>
    <row r="1535" spans="2:17">
      <c r="B1535" s="241"/>
      <c r="C1535" s="241"/>
      <c r="D1535" s="241"/>
      <c r="E1535" s="241"/>
      <c r="F1535" s="260"/>
      <c r="G1535" s="260"/>
      <c r="H1535" s="260"/>
      <c r="I1535" s="260"/>
      <c r="J1535" s="260"/>
      <c r="K1535" s="260"/>
      <c r="L1535" s="260"/>
      <c r="M1535" s="260"/>
      <c r="N1535" s="260"/>
      <c r="O1535" s="235"/>
      <c r="P1535" s="235"/>
      <c r="Q1535" s="235"/>
    </row>
    <row r="1536" spans="2:17">
      <c r="B1536" s="241"/>
      <c r="C1536" s="241"/>
      <c r="D1536" s="241"/>
      <c r="E1536" s="241"/>
      <c r="F1536" s="260"/>
      <c r="G1536" s="260"/>
      <c r="H1536" s="260"/>
      <c r="I1536" s="260"/>
      <c r="J1536" s="260"/>
      <c r="K1536" s="260"/>
      <c r="L1536" s="260"/>
      <c r="M1536" s="260"/>
      <c r="N1536" s="260"/>
      <c r="O1536" s="235"/>
      <c r="P1536" s="235"/>
      <c r="Q1536" s="235"/>
    </row>
    <row r="1537" spans="2:17">
      <c r="B1537" s="241"/>
      <c r="C1537" s="241"/>
      <c r="D1537" s="241"/>
      <c r="E1537" s="241"/>
      <c r="F1537" s="260"/>
      <c r="G1537" s="260"/>
      <c r="H1537" s="260"/>
      <c r="I1537" s="260"/>
      <c r="J1537" s="260"/>
      <c r="K1537" s="260"/>
      <c r="L1537" s="260"/>
      <c r="M1537" s="260"/>
      <c r="N1537" s="260"/>
      <c r="O1537" s="235"/>
      <c r="P1537" s="235"/>
      <c r="Q1537" s="235"/>
    </row>
    <row r="1538" spans="2:17">
      <c r="B1538" s="241"/>
      <c r="C1538" s="241"/>
      <c r="D1538" s="241"/>
      <c r="E1538" s="241"/>
      <c r="F1538" s="260"/>
      <c r="G1538" s="260"/>
      <c r="H1538" s="260"/>
      <c r="I1538" s="260"/>
      <c r="J1538" s="260"/>
      <c r="K1538" s="260"/>
      <c r="L1538" s="260"/>
      <c r="M1538" s="260"/>
      <c r="N1538" s="260"/>
      <c r="O1538" s="235"/>
      <c r="P1538" s="235"/>
      <c r="Q1538" s="235"/>
    </row>
    <row r="1539" spans="2:17">
      <c r="B1539" s="241"/>
      <c r="C1539" s="241"/>
      <c r="D1539" s="241"/>
      <c r="E1539" s="241"/>
      <c r="F1539" s="260"/>
      <c r="G1539" s="260"/>
      <c r="H1539" s="260"/>
      <c r="I1539" s="260"/>
      <c r="J1539" s="260"/>
      <c r="K1539" s="260"/>
      <c r="L1539" s="260"/>
      <c r="M1539" s="260"/>
      <c r="N1539" s="260"/>
      <c r="O1539" s="235"/>
      <c r="P1539" s="235"/>
      <c r="Q1539" s="235"/>
    </row>
    <row r="1540" spans="2:17">
      <c r="B1540" s="241"/>
      <c r="C1540" s="241"/>
      <c r="D1540" s="241"/>
      <c r="E1540" s="241"/>
      <c r="F1540" s="260"/>
      <c r="G1540" s="260"/>
      <c r="H1540" s="260"/>
      <c r="I1540" s="260"/>
      <c r="J1540" s="260"/>
      <c r="K1540" s="260"/>
      <c r="L1540" s="260"/>
      <c r="M1540" s="260"/>
      <c r="N1540" s="260"/>
      <c r="O1540" s="235"/>
      <c r="P1540" s="235"/>
      <c r="Q1540" s="235"/>
    </row>
    <row r="1541" spans="2:17">
      <c r="B1541" s="241"/>
      <c r="C1541" s="241"/>
      <c r="D1541" s="241"/>
      <c r="E1541" s="241"/>
      <c r="F1541" s="260"/>
      <c r="G1541" s="260"/>
      <c r="H1541" s="260"/>
      <c r="I1541" s="260"/>
      <c r="J1541" s="260"/>
      <c r="K1541" s="260"/>
      <c r="L1541" s="260"/>
      <c r="M1541" s="260"/>
      <c r="N1541" s="260"/>
      <c r="O1541" s="235"/>
      <c r="P1541" s="235"/>
      <c r="Q1541" s="235"/>
    </row>
    <row r="1542" spans="2:17">
      <c r="B1542" s="241"/>
      <c r="C1542" s="241"/>
      <c r="D1542" s="241"/>
      <c r="E1542" s="241"/>
      <c r="F1542" s="260"/>
      <c r="G1542" s="260"/>
      <c r="H1542" s="260"/>
      <c r="I1542" s="260"/>
      <c r="J1542" s="260"/>
      <c r="K1542" s="260"/>
      <c r="L1542" s="260"/>
      <c r="M1542" s="260"/>
      <c r="N1542" s="260"/>
      <c r="O1542" s="235"/>
      <c r="P1542" s="235"/>
      <c r="Q1542" s="235"/>
    </row>
    <row r="1543" spans="2:17">
      <c r="B1543" s="241"/>
      <c r="C1543" s="241"/>
      <c r="D1543" s="241"/>
      <c r="E1543" s="241"/>
      <c r="F1543" s="260"/>
      <c r="G1543" s="260"/>
      <c r="H1543" s="260"/>
      <c r="I1543" s="260"/>
      <c r="J1543" s="260"/>
      <c r="K1543" s="260"/>
      <c r="L1543" s="260"/>
      <c r="M1543" s="260"/>
      <c r="N1543" s="260"/>
      <c r="O1543" s="235"/>
      <c r="P1543" s="235"/>
      <c r="Q1543" s="235"/>
    </row>
    <row r="1544" spans="2:17">
      <c r="B1544" s="241"/>
      <c r="C1544" s="241"/>
      <c r="D1544" s="241"/>
      <c r="E1544" s="241"/>
      <c r="F1544" s="260"/>
      <c r="G1544" s="260"/>
      <c r="H1544" s="260"/>
      <c r="I1544" s="260"/>
      <c r="J1544" s="260"/>
      <c r="K1544" s="260"/>
      <c r="L1544" s="260"/>
      <c r="M1544" s="260"/>
      <c r="N1544" s="260"/>
      <c r="O1544" s="235"/>
      <c r="P1544" s="235"/>
      <c r="Q1544" s="235"/>
    </row>
    <row r="1545" spans="2:17">
      <c r="B1545" s="241"/>
      <c r="C1545" s="241"/>
      <c r="D1545" s="241"/>
      <c r="E1545" s="241"/>
      <c r="F1545" s="260"/>
      <c r="G1545" s="260"/>
      <c r="H1545" s="260"/>
      <c r="I1545" s="260"/>
      <c r="J1545" s="260"/>
      <c r="K1545" s="260"/>
      <c r="L1545" s="260"/>
      <c r="M1545" s="260"/>
      <c r="N1545" s="260"/>
      <c r="O1545" s="235"/>
      <c r="P1545" s="235"/>
      <c r="Q1545" s="235"/>
    </row>
    <row r="1546" spans="2:17">
      <c r="B1546" s="241"/>
      <c r="C1546" s="241"/>
      <c r="D1546" s="241"/>
      <c r="E1546" s="241"/>
      <c r="F1546" s="260"/>
      <c r="G1546" s="260"/>
      <c r="H1546" s="260"/>
      <c r="I1546" s="260"/>
      <c r="J1546" s="260"/>
      <c r="K1546" s="260"/>
      <c r="L1546" s="260"/>
      <c r="M1546" s="260"/>
      <c r="N1546" s="260"/>
      <c r="O1546" s="235"/>
      <c r="P1546" s="235"/>
      <c r="Q1546" s="235"/>
    </row>
    <row r="1547" spans="2:17">
      <c r="B1547" s="241"/>
      <c r="C1547" s="241"/>
      <c r="D1547" s="241"/>
      <c r="E1547" s="241"/>
      <c r="F1547" s="260"/>
      <c r="G1547" s="260"/>
      <c r="H1547" s="260"/>
      <c r="I1547" s="260"/>
      <c r="J1547" s="260"/>
      <c r="K1547" s="260"/>
      <c r="L1547" s="260"/>
      <c r="M1547" s="260"/>
      <c r="N1547" s="260"/>
      <c r="O1547" s="235"/>
      <c r="P1547" s="235"/>
      <c r="Q1547" s="235"/>
    </row>
    <row r="1548" spans="2:17">
      <c r="B1548" s="241"/>
      <c r="C1548" s="241"/>
      <c r="D1548" s="241"/>
      <c r="E1548" s="241"/>
      <c r="F1548" s="260"/>
      <c r="G1548" s="260"/>
      <c r="H1548" s="260"/>
      <c r="I1548" s="260"/>
      <c r="J1548" s="260"/>
      <c r="K1548" s="260"/>
      <c r="L1548" s="260"/>
      <c r="M1548" s="260"/>
      <c r="N1548" s="260"/>
      <c r="O1548" s="235"/>
      <c r="P1548" s="235"/>
      <c r="Q1548" s="235"/>
    </row>
    <row r="1549" spans="2:17">
      <c r="B1549" s="241"/>
      <c r="C1549" s="241"/>
      <c r="D1549" s="241"/>
      <c r="E1549" s="241"/>
      <c r="F1549" s="260"/>
      <c r="G1549" s="260"/>
      <c r="H1549" s="260"/>
      <c r="I1549" s="260"/>
      <c r="J1549" s="260"/>
      <c r="K1549" s="260"/>
      <c r="L1549" s="260"/>
      <c r="M1549" s="260"/>
      <c r="N1549" s="260"/>
      <c r="O1549" s="235"/>
      <c r="P1549" s="235"/>
      <c r="Q1549" s="235"/>
    </row>
    <row r="1550" spans="2:17">
      <c r="B1550" s="241"/>
      <c r="C1550" s="241"/>
      <c r="D1550" s="241"/>
      <c r="E1550" s="241"/>
      <c r="F1550" s="260"/>
      <c r="G1550" s="260"/>
      <c r="H1550" s="260"/>
      <c r="I1550" s="260"/>
      <c r="J1550" s="260"/>
      <c r="K1550" s="260"/>
      <c r="L1550" s="260"/>
      <c r="M1550" s="260"/>
      <c r="N1550" s="260"/>
      <c r="O1550" s="235"/>
      <c r="P1550" s="235"/>
      <c r="Q1550" s="235"/>
    </row>
    <row r="1551" spans="2:17">
      <c r="B1551" s="241"/>
      <c r="C1551" s="241"/>
      <c r="D1551" s="241"/>
      <c r="E1551" s="241"/>
      <c r="F1551" s="260"/>
      <c r="G1551" s="260"/>
      <c r="H1551" s="260"/>
      <c r="I1551" s="260"/>
      <c r="J1551" s="260"/>
      <c r="K1551" s="260"/>
      <c r="L1551" s="260"/>
      <c r="M1551" s="260"/>
      <c r="N1551" s="260"/>
      <c r="O1551" s="235"/>
      <c r="P1551" s="235"/>
      <c r="Q1551" s="235"/>
    </row>
    <row r="1552" spans="2:17">
      <c r="B1552" s="241"/>
      <c r="C1552" s="241"/>
      <c r="D1552" s="241"/>
      <c r="E1552" s="241"/>
      <c r="F1552" s="260"/>
      <c r="G1552" s="260"/>
      <c r="H1552" s="260"/>
      <c r="I1552" s="260"/>
      <c r="J1552" s="260"/>
      <c r="K1552" s="260"/>
      <c r="L1552" s="260"/>
      <c r="M1552" s="260"/>
      <c r="N1552" s="260"/>
      <c r="O1552" s="235"/>
      <c r="P1552" s="235"/>
      <c r="Q1552" s="235"/>
    </row>
    <row r="1553" spans="2:17">
      <c r="B1553" s="241"/>
      <c r="C1553" s="241"/>
      <c r="D1553" s="241"/>
      <c r="E1553" s="241"/>
      <c r="F1553" s="260"/>
      <c r="G1553" s="260"/>
      <c r="H1553" s="260"/>
      <c r="I1553" s="260"/>
      <c r="J1553" s="260"/>
      <c r="K1553" s="260"/>
      <c r="L1553" s="260"/>
      <c r="M1553" s="260"/>
      <c r="N1553" s="260"/>
      <c r="O1553" s="235"/>
      <c r="P1553" s="235"/>
      <c r="Q1553" s="235"/>
    </row>
    <row r="1554" spans="2:17">
      <c r="B1554" s="241"/>
      <c r="C1554" s="241"/>
      <c r="D1554" s="241"/>
      <c r="E1554" s="241"/>
      <c r="F1554" s="260"/>
      <c r="G1554" s="260"/>
      <c r="H1554" s="260"/>
      <c r="I1554" s="260"/>
      <c r="J1554" s="260"/>
      <c r="K1554" s="260"/>
      <c r="L1554" s="260"/>
      <c r="M1554" s="260"/>
      <c r="N1554" s="260"/>
      <c r="O1554" s="235"/>
      <c r="P1554" s="235"/>
      <c r="Q1554" s="235"/>
    </row>
    <row r="1555" spans="2:17">
      <c r="B1555" s="241"/>
      <c r="C1555" s="241"/>
      <c r="D1555" s="241"/>
      <c r="E1555" s="241"/>
      <c r="F1555" s="260"/>
      <c r="G1555" s="260"/>
      <c r="H1555" s="260"/>
      <c r="I1555" s="260"/>
      <c r="J1555" s="260"/>
      <c r="K1555" s="260"/>
      <c r="L1555" s="260"/>
      <c r="M1555" s="260"/>
      <c r="N1555" s="260"/>
      <c r="O1555" s="235"/>
      <c r="P1555" s="235"/>
      <c r="Q1555" s="235"/>
    </row>
    <row r="1556" spans="2:17">
      <c r="B1556" s="241"/>
      <c r="C1556" s="241"/>
      <c r="D1556" s="241"/>
      <c r="E1556" s="241"/>
      <c r="F1556" s="260"/>
      <c r="G1556" s="260"/>
      <c r="H1556" s="260"/>
      <c r="I1556" s="260"/>
      <c r="J1556" s="260"/>
      <c r="K1556" s="260"/>
      <c r="L1556" s="260"/>
      <c r="M1556" s="260"/>
      <c r="N1556" s="260"/>
      <c r="O1556" s="235"/>
      <c r="P1556" s="235"/>
      <c r="Q1556" s="235"/>
    </row>
    <row r="1557" spans="2:17">
      <c r="B1557" s="241"/>
      <c r="C1557" s="241"/>
      <c r="D1557" s="241"/>
      <c r="E1557" s="241"/>
      <c r="F1557" s="260"/>
      <c r="G1557" s="260"/>
      <c r="H1557" s="260"/>
      <c r="I1557" s="260"/>
      <c r="J1557" s="260"/>
      <c r="K1557" s="260"/>
      <c r="L1557" s="260"/>
      <c r="M1557" s="260"/>
      <c r="N1557" s="260"/>
      <c r="O1557" s="235"/>
      <c r="P1557" s="235"/>
      <c r="Q1557" s="235"/>
    </row>
    <row r="1558" spans="2:17">
      <c r="B1558" s="241"/>
      <c r="C1558" s="241"/>
      <c r="D1558" s="241"/>
      <c r="E1558" s="241"/>
      <c r="F1558" s="260"/>
      <c r="G1558" s="260"/>
      <c r="H1558" s="260"/>
      <c r="I1558" s="260"/>
      <c r="J1558" s="260"/>
      <c r="K1558" s="260"/>
      <c r="L1558" s="260"/>
      <c r="M1558" s="260"/>
      <c r="N1558" s="260"/>
      <c r="O1558" s="235"/>
      <c r="P1558" s="235"/>
      <c r="Q1558" s="235"/>
    </row>
    <row r="1559" spans="2:17">
      <c r="B1559" s="241"/>
      <c r="C1559" s="241"/>
      <c r="D1559" s="241"/>
      <c r="E1559" s="241"/>
      <c r="F1559" s="260"/>
      <c r="G1559" s="260"/>
      <c r="H1559" s="260"/>
      <c r="I1559" s="260"/>
      <c r="J1559" s="260"/>
      <c r="K1559" s="260"/>
      <c r="L1559" s="260"/>
      <c r="M1559" s="260"/>
      <c r="N1559" s="260"/>
      <c r="O1559" s="235"/>
      <c r="P1559" s="235"/>
      <c r="Q1559" s="235"/>
    </row>
    <row r="1560" spans="2:17">
      <c r="B1560" s="241"/>
      <c r="C1560" s="241"/>
      <c r="D1560" s="241"/>
      <c r="E1560" s="241"/>
      <c r="F1560" s="260"/>
      <c r="G1560" s="260"/>
      <c r="H1560" s="260"/>
      <c r="I1560" s="260"/>
      <c r="J1560" s="260"/>
      <c r="K1560" s="260"/>
      <c r="L1560" s="260"/>
      <c r="M1560" s="260"/>
      <c r="N1560" s="260"/>
      <c r="O1560" s="235"/>
      <c r="P1560" s="235"/>
      <c r="Q1560" s="235"/>
    </row>
    <row r="1561" spans="2:17">
      <c r="B1561" s="241"/>
      <c r="C1561" s="241"/>
      <c r="D1561" s="241"/>
      <c r="E1561" s="241"/>
      <c r="F1561" s="260"/>
      <c r="G1561" s="260"/>
      <c r="H1561" s="260"/>
      <c r="I1561" s="260"/>
      <c r="J1561" s="260"/>
      <c r="K1561" s="260"/>
      <c r="L1561" s="260"/>
      <c r="M1561" s="260"/>
      <c r="N1561" s="260"/>
      <c r="O1561" s="235"/>
      <c r="P1561" s="235"/>
      <c r="Q1561" s="235"/>
    </row>
    <row r="1562" spans="2:17">
      <c r="B1562" s="241"/>
      <c r="C1562" s="241"/>
      <c r="D1562" s="241"/>
      <c r="E1562" s="241"/>
      <c r="F1562" s="260"/>
      <c r="G1562" s="260"/>
      <c r="H1562" s="260"/>
      <c r="I1562" s="260"/>
      <c r="J1562" s="260"/>
      <c r="K1562" s="260"/>
      <c r="L1562" s="260"/>
      <c r="M1562" s="260"/>
      <c r="N1562" s="260"/>
      <c r="O1562" s="235"/>
      <c r="P1562" s="235"/>
      <c r="Q1562" s="235"/>
    </row>
    <row r="1563" spans="2:17">
      <c r="B1563" s="241"/>
      <c r="C1563" s="241"/>
      <c r="D1563" s="241"/>
      <c r="E1563" s="241"/>
      <c r="F1563" s="260"/>
      <c r="G1563" s="260"/>
      <c r="H1563" s="260"/>
      <c r="I1563" s="260"/>
      <c r="J1563" s="260"/>
      <c r="K1563" s="260"/>
      <c r="L1563" s="260"/>
      <c r="M1563" s="260"/>
      <c r="N1563" s="260"/>
      <c r="O1563" s="235"/>
      <c r="P1563" s="235"/>
      <c r="Q1563" s="235"/>
    </row>
    <row r="1564" spans="2:17">
      <c r="B1564" s="241"/>
      <c r="C1564" s="241"/>
      <c r="D1564" s="241"/>
      <c r="E1564" s="241"/>
      <c r="F1564" s="260"/>
      <c r="G1564" s="260"/>
      <c r="H1564" s="260"/>
      <c r="I1564" s="260"/>
      <c r="J1564" s="260"/>
      <c r="K1564" s="260"/>
      <c r="L1564" s="260"/>
      <c r="M1564" s="260"/>
      <c r="N1564" s="260"/>
      <c r="O1564" s="235"/>
      <c r="P1564" s="235"/>
      <c r="Q1564" s="235"/>
    </row>
    <row r="1565" spans="2:17">
      <c r="B1565" s="241"/>
      <c r="C1565" s="241"/>
      <c r="D1565" s="241"/>
      <c r="E1565" s="241"/>
      <c r="F1565" s="260"/>
      <c r="G1565" s="260"/>
      <c r="H1565" s="260"/>
      <c r="I1565" s="260"/>
      <c r="J1565" s="260"/>
      <c r="K1565" s="260"/>
      <c r="L1565" s="260"/>
      <c r="M1565" s="260"/>
      <c r="N1565" s="260"/>
      <c r="O1565" s="235"/>
      <c r="P1565" s="235"/>
      <c r="Q1565" s="235"/>
    </row>
    <row r="1566" spans="2:17">
      <c r="B1566" s="241"/>
      <c r="C1566" s="241"/>
      <c r="D1566" s="241"/>
      <c r="E1566" s="241"/>
      <c r="F1566" s="260"/>
      <c r="G1566" s="260"/>
      <c r="H1566" s="260"/>
      <c r="I1566" s="260"/>
      <c r="J1566" s="260"/>
      <c r="K1566" s="260"/>
      <c r="L1566" s="260"/>
      <c r="M1566" s="260"/>
      <c r="N1566" s="260"/>
      <c r="O1566" s="235"/>
      <c r="P1566" s="235"/>
      <c r="Q1566" s="235"/>
    </row>
    <row r="1567" spans="2:17">
      <c r="B1567" s="241"/>
      <c r="C1567" s="241"/>
      <c r="D1567" s="241"/>
      <c r="E1567" s="241"/>
      <c r="F1567" s="260"/>
      <c r="G1567" s="260"/>
      <c r="H1567" s="260"/>
      <c r="I1567" s="260"/>
      <c r="J1567" s="260"/>
      <c r="K1567" s="260"/>
      <c r="L1567" s="260"/>
      <c r="M1567" s="260"/>
      <c r="N1567" s="260"/>
      <c r="O1567" s="235"/>
      <c r="P1567" s="235"/>
      <c r="Q1567" s="235"/>
    </row>
    <row r="1568" spans="2:17">
      <c r="B1568" s="241"/>
      <c r="C1568" s="241"/>
      <c r="D1568" s="241"/>
      <c r="E1568" s="241"/>
      <c r="F1568" s="260"/>
      <c r="G1568" s="260"/>
      <c r="H1568" s="260"/>
      <c r="I1568" s="260"/>
      <c r="J1568" s="260"/>
      <c r="K1568" s="260"/>
      <c r="L1568" s="260"/>
      <c r="M1568" s="260"/>
      <c r="N1568" s="260"/>
      <c r="O1568" s="235"/>
      <c r="P1568" s="235"/>
      <c r="Q1568" s="235"/>
    </row>
    <row r="1569" spans="2:17">
      <c r="B1569" s="241"/>
      <c r="C1569" s="241"/>
      <c r="D1569" s="241"/>
      <c r="E1569" s="241"/>
      <c r="F1569" s="260"/>
      <c r="G1569" s="260"/>
      <c r="H1569" s="260"/>
      <c r="I1569" s="260"/>
      <c r="J1569" s="260"/>
      <c r="K1569" s="260"/>
      <c r="L1569" s="260"/>
      <c r="M1569" s="260"/>
      <c r="N1569" s="260"/>
      <c r="O1569" s="235"/>
      <c r="P1569" s="235"/>
      <c r="Q1569" s="235"/>
    </row>
    <row r="1570" spans="2:17">
      <c r="B1570" s="241"/>
      <c r="C1570" s="241"/>
      <c r="D1570" s="241"/>
      <c r="E1570" s="241"/>
      <c r="F1570" s="260"/>
      <c r="G1570" s="260"/>
      <c r="H1570" s="260"/>
      <c r="I1570" s="260"/>
      <c r="J1570" s="260"/>
      <c r="K1570" s="260"/>
      <c r="L1570" s="260"/>
      <c r="M1570" s="260"/>
      <c r="N1570" s="260"/>
      <c r="O1570" s="235"/>
      <c r="P1570" s="235"/>
      <c r="Q1570" s="235"/>
    </row>
    <row r="1571" spans="2:17">
      <c r="B1571" s="241"/>
      <c r="C1571" s="241"/>
      <c r="D1571" s="241"/>
      <c r="E1571" s="241"/>
      <c r="F1571" s="260"/>
      <c r="G1571" s="260"/>
      <c r="H1571" s="260"/>
      <c r="I1571" s="260"/>
      <c r="J1571" s="260"/>
      <c r="K1571" s="260"/>
      <c r="L1571" s="260"/>
      <c r="M1571" s="260"/>
      <c r="N1571" s="260"/>
      <c r="O1571" s="235"/>
      <c r="P1571" s="235"/>
      <c r="Q1571" s="235"/>
    </row>
    <row r="1572" spans="2:17">
      <c r="B1572" s="241"/>
      <c r="C1572" s="241"/>
      <c r="D1572" s="241"/>
      <c r="E1572" s="241"/>
      <c r="F1572" s="260"/>
      <c r="G1572" s="260"/>
      <c r="H1572" s="260"/>
      <c r="I1572" s="260"/>
      <c r="J1572" s="260"/>
      <c r="K1572" s="260"/>
      <c r="L1572" s="260"/>
      <c r="M1572" s="260"/>
      <c r="N1572" s="260"/>
      <c r="O1572" s="235"/>
      <c r="P1572" s="235"/>
      <c r="Q1572" s="235"/>
    </row>
    <row r="1573" spans="2:17">
      <c r="B1573" s="241"/>
      <c r="C1573" s="241"/>
      <c r="D1573" s="241"/>
      <c r="E1573" s="241"/>
      <c r="F1573" s="260"/>
      <c r="G1573" s="260"/>
      <c r="H1573" s="260"/>
      <c r="I1573" s="260"/>
      <c r="J1573" s="260"/>
      <c r="K1573" s="260"/>
      <c r="L1573" s="260"/>
      <c r="M1573" s="260"/>
      <c r="N1573" s="260"/>
      <c r="O1573" s="235"/>
      <c r="P1573" s="235"/>
      <c r="Q1573" s="235"/>
    </row>
    <row r="1574" spans="2:17">
      <c r="B1574" s="241"/>
      <c r="C1574" s="241"/>
      <c r="D1574" s="241"/>
      <c r="E1574" s="241"/>
      <c r="F1574" s="260"/>
      <c r="G1574" s="260"/>
      <c r="H1574" s="260"/>
      <c r="I1574" s="260"/>
      <c r="J1574" s="260"/>
      <c r="K1574" s="260"/>
      <c r="L1574" s="260"/>
      <c r="M1574" s="260"/>
      <c r="N1574" s="260"/>
      <c r="O1574" s="235"/>
      <c r="P1574" s="235"/>
      <c r="Q1574" s="235"/>
    </row>
    <row r="1575" spans="2:17">
      <c r="B1575" s="241"/>
      <c r="C1575" s="241"/>
      <c r="D1575" s="241"/>
      <c r="E1575" s="241"/>
      <c r="F1575" s="260"/>
      <c r="G1575" s="260"/>
      <c r="H1575" s="260"/>
      <c r="I1575" s="260"/>
      <c r="J1575" s="260"/>
      <c r="K1575" s="260"/>
      <c r="L1575" s="260"/>
      <c r="M1575" s="260"/>
      <c r="N1575" s="260"/>
      <c r="O1575" s="235"/>
      <c r="P1575" s="235"/>
      <c r="Q1575" s="235"/>
    </row>
    <row r="1576" spans="2:17">
      <c r="B1576" s="241"/>
      <c r="C1576" s="241"/>
      <c r="D1576" s="241"/>
      <c r="E1576" s="241"/>
      <c r="F1576" s="260"/>
      <c r="G1576" s="260"/>
      <c r="H1576" s="260"/>
      <c r="I1576" s="260"/>
      <c r="J1576" s="260"/>
      <c r="K1576" s="260"/>
      <c r="L1576" s="260"/>
      <c r="M1576" s="260"/>
      <c r="N1576" s="260"/>
      <c r="O1576" s="235"/>
      <c r="P1576" s="235"/>
      <c r="Q1576" s="235"/>
    </row>
    <row r="1577" spans="2:17">
      <c r="B1577" s="241"/>
      <c r="C1577" s="241"/>
      <c r="D1577" s="241"/>
      <c r="E1577" s="241"/>
      <c r="F1577" s="260"/>
      <c r="G1577" s="260"/>
      <c r="H1577" s="260"/>
      <c r="I1577" s="260"/>
      <c r="J1577" s="260"/>
      <c r="K1577" s="260"/>
      <c r="L1577" s="260"/>
      <c r="M1577" s="260"/>
      <c r="N1577" s="260"/>
      <c r="O1577" s="235"/>
      <c r="P1577" s="235"/>
      <c r="Q1577" s="235"/>
    </row>
    <row r="1578" spans="2:17">
      <c r="B1578" s="241"/>
      <c r="C1578" s="241"/>
      <c r="D1578" s="241"/>
      <c r="E1578" s="241"/>
      <c r="F1578" s="260"/>
      <c r="G1578" s="260"/>
      <c r="H1578" s="260"/>
      <c r="I1578" s="260"/>
      <c r="J1578" s="260"/>
      <c r="K1578" s="260"/>
      <c r="L1578" s="260"/>
      <c r="M1578" s="260"/>
      <c r="N1578" s="260"/>
      <c r="O1578" s="235"/>
      <c r="P1578" s="235"/>
      <c r="Q1578" s="235"/>
    </row>
    <row r="1579" spans="2:17">
      <c r="B1579" s="241"/>
      <c r="C1579" s="241"/>
      <c r="D1579" s="241"/>
      <c r="E1579" s="241"/>
      <c r="F1579" s="260"/>
      <c r="G1579" s="260"/>
      <c r="H1579" s="260"/>
      <c r="I1579" s="260"/>
      <c r="J1579" s="260"/>
      <c r="K1579" s="260"/>
      <c r="L1579" s="260"/>
      <c r="M1579" s="260"/>
      <c r="N1579" s="260"/>
      <c r="O1579" s="235"/>
      <c r="P1579" s="235"/>
      <c r="Q1579" s="235"/>
    </row>
    <row r="1580" spans="2:17">
      <c r="B1580" s="241"/>
      <c r="C1580" s="241"/>
      <c r="D1580" s="241"/>
      <c r="E1580" s="241"/>
      <c r="F1580" s="260"/>
      <c r="G1580" s="260"/>
      <c r="H1580" s="260"/>
      <c r="I1580" s="260"/>
      <c r="J1580" s="260"/>
      <c r="K1580" s="260"/>
      <c r="L1580" s="260"/>
      <c r="M1580" s="260"/>
      <c r="N1580" s="260"/>
      <c r="O1580" s="235"/>
      <c r="P1580" s="235"/>
      <c r="Q1580" s="235"/>
    </row>
    <row r="1581" spans="2:17">
      <c r="B1581" s="241"/>
      <c r="C1581" s="241"/>
      <c r="D1581" s="241"/>
      <c r="E1581" s="241"/>
      <c r="F1581" s="260"/>
      <c r="G1581" s="260"/>
      <c r="H1581" s="260"/>
      <c r="I1581" s="260"/>
      <c r="J1581" s="260"/>
      <c r="K1581" s="260"/>
      <c r="L1581" s="260"/>
      <c r="M1581" s="260"/>
      <c r="N1581" s="260"/>
      <c r="O1581" s="235"/>
      <c r="P1581" s="235"/>
      <c r="Q1581" s="235"/>
    </row>
    <row r="1582" spans="2:17">
      <c r="B1582" s="241"/>
      <c r="C1582" s="241"/>
      <c r="D1582" s="241"/>
      <c r="E1582" s="241"/>
      <c r="F1582" s="260"/>
      <c r="G1582" s="260"/>
      <c r="H1582" s="260"/>
      <c r="I1582" s="260"/>
      <c r="J1582" s="260"/>
      <c r="K1582" s="260"/>
      <c r="L1582" s="260"/>
      <c r="M1582" s="260"/>
      <c r="N1582" s="260"/>
      <c r="O1582" s="235"/>
      <c r="P1582" s="235"/>
      <c r="Q1582" s="235"/>
    </row>
    <row r="1583" spans="2:17">
      <c r="B1583" s="241"/>
      <c r="C1583" s="241"/>
      <c r="D1583" s="241"/>
      <c r="E1583" s="241"/>
      <c r="F1583" s="260"/>
      <c r="G1583" s="260"/>
      <c r="H1583" s="260"/>
      <c r="I1583" s="260"/>
      <c r="J1583" s="260"/>
      <c r="K1583" s="260"/>
      <c r="L1583" s="260"/>
      <c r="M1583" s="260"/>
      <c r="N1583" s="260"/>
      <c r="O1583" s="235"/>
      <c r="P1583" s="235"/>
      <c r="Q1583" s="235"/>
    </row>
    <row r="1584" spans="2:17">
      <c r="B1584" s="241"/>
      <c r="C1584" s="241"/>
      <c r="D1584" s="241"/>
      <c r="E1584" s="241"/>
      <c r="F1584" s="260"/>
      <c r="G1584" s="260"/>
      <c r="H1584" s="260"/>
      <c r="I1584" s="260"/>
      <c r="J1584" s="260"/>
      <c r="K1584" s="260"/>
      <c r="L1584" s="260"/>
      <c r="M1584" s="260"/>
      <c r="N1584" s="260"/>
      <c r="O1584" s="235"/>
      <c r="P1584" s="235"/>
      <c r="Q1584" s="235"/>
    </row>
    <row r="1585" spans="2:17">
      <c r="B1585" s="241"/>
      <c r="C1585" s="241"/>
      <c r="D1585" s="241"/>
      <c r="E1585" s="241"/>
      <c r="F1585" s="260"/>
      <c r="G1585" s="260"/>
      <c r="H1585" s="260"/>
      <c r="I1585" s="260"/>
      <c r="J1585" s="260"/>
      <c r="K1585" s="260"/>
      <c r="L1585" s="260"/>
      <c r="M1585" s="260"/>
      <c r="N1585" s="260"/>
      <c r="O1585" s="235"/>
      <c r="P1585" s="235"/>
      <c r="Q1585" s="235"/>
    </row>
    <row r="1586" spans="2:17">
      <c r="B1586" s="241"/>
      <c r="C1586" s="241"/>
      <c r="D1586" s="241"/>
      <c r="E1586" s="241"/>
      <c r="F1586" s="260"/>
      <c r="G1586" s="260"/>
      <c r="H1586" s="260"/>
      <c r="I1586" s="260"/>
      <c r="J1586" s="260"/>
      <c r="K1586" s="260"/>
      <c r="L1586" s="260"/>
      <c r="M1586" s="260"/>
      <c r="N1586" s="260"/>
      <c r="O1586" s="235"/>
      <c r="P1586" s="235"/>
      <c r="Q1586" s="235"/>
    </row>
    <row r="1587" spans="2:17">
      <c r="B1587" s="241"/>
      <c r="C1587" s="241"/>
      <c r="D1587" s="241"/>
      <c r="E1587" s="241"/>
      <c r="F1587" s="260"/>
      <c r="G1587" s="260"/>
      <c r="H1587" s="260"/>
      <c r="I1587" s="260"/>
      <c r="J1587" s="260"/>
      <c r="K1587" s="260"/>
      <c r="L1587" s="260"/>
      <c r="M1587" s="260"/>
      <c r="N1587" s="260"/>
      <c r="O1587" s="235"/>
      <c r="P1587" s="235"/>
      <c r="Q1587" s="235"/>
    </row>
    <row r="1588" spans="2:17">
      <c r="B1588" s="241"/>
      <c r="C1588" s="241"/>
      <c r="D1588" s="241"/>
      <c r="E1588" s="241"/>
      <c r="F1588" s="260"/>
      <c r="G1588" s="260"/>
      <c r="H1588" s="260"/>
      <c r="I1588" s="260"/>
      <c r="J1588" s="260"/>
      <c r="K1588" s="260"/>
      <c r="L1588" s="260"/>
      <c r="M1588" s="260"/>
      <c r="N1588" s="260"/>
      <c r="O1588" s="235"/>
      <c r="P1588" s="235"/>
      <c r="Q1588" s="235"/>
    </row>
    <row r="1589" spans="2:17">
      <c r="B1589" s="241"/>
      <c r="C1589" s="241"/>
      <c r="D1589" s="241"/>
      <c r="E1589" s="241"/>
      <c r="F1589" s="260"/>
      <c r="G1589" s="260"/>
      <c r="H1589" s="260"/>
      <c r="I1589" s="260"/>
      <c r="J1589" s="260"/>
      <c r="K1589" s="260"/>
      <c r="L1589" s="260"/>
      <c r="M1589" s="260"/>
      <c r="N1589" s="260"/>
      <c r="O1589" s="235"/>
      <c r="P1589" s="235"/>
      <c r="Q1589" s="235"/>
    </row>
    <row r="1590" spans="2:17">
      <c r="B1590" s="241"/>
      <c r="C1590" s="241"/>
      <c r="D1590" s="241"/>
      <c r="E1590" s="241"/>
      <c r="F1590" s="260"/>
      <c r="G1590" s="260"/>
      <c r="H1590" s="260"/>
      <c r="I1590" s="260"/>
      <c r="J1590" s="260"/>
      <c r="K1590" s="260"/>
      <c r="L1590" s="260"/>
      <c r="M1590" s="260"/>
      <c r="N1590" s="260"/>
      <c r="O1590" s="235"/>
      <c r="P1590" s="235"/>
      <c r="Q1590" s="235"/>
    </row>
    <row r="1591" spans="2:17">
      <c r="B1591" s="241"/>
      <c r="C1591" s="241"/>
      <c r="D1591" s="241"/>
      <c r="E1591" s="241"/>
      <c r="F1591" s="260"/>
      <c r="G1591" s="260"/>
      <c r="H1591" s="260"/>
      <c r="I1591" s="260"/>
      <c r="J1591" s="260"/>
      <c r="K1591" s="260"/>
      <c r="L1591" s="260"/>
      <c r="M1591" s="260"/>
      <c r="N1591" s="260"/>
      <c r="O1591" s="235"/>
      <c r="P1591" s="235"/>
      <c r="Q1591" s="235"/>
    </row>
    <row r="1592" spans="2:17">
      <c r="B1592" s="241"/>
      <c r="C1592" s="241"/>
      <c r="D1592" s="241"/>
      <c r="E1592" s="241"/>
      <c r="F1592" s="260"/>
      <c r="G1592" s="260"/>
      <c r="H1592" s="260"/>
      <c r="I1592" s="260"/>
      <c r="J1592" s="260"/>
      <c r="K1592" s="260"/>
      <c r="L1592" s="260"/>
      <c r="M1592" s="260"/>
      <c r="N1592" s="260"/>
      <c r="O1592" s="235"/>
      <c r="P1592" s="235"/>
      <c r="Q1592" s="235"/>
    </row>
    <row r="1593" spans="2:17">
      <c r="B1593" s="241"/>
      <c r="C1593" s="241"/>
      <c r="D1593" s="241"/>
      <c r="E1593" s="241"/>
      <c r="F1593" s="260"/>
      <c r="G1593" s="260"/>
      <c r="H1593" s="260"/>
      <c r="I1593" s="260"/>
      <c r="J1593" s="260"/>
      <c r="K1593" s="260"/>
      <c r="L1593" s="260"/>
      <c r="M1593" s="260"/>
      <c r="N1593" s="260"/>
      <c r="O1593" s="235"/>
      <c r="P1593" s="235"/>
      <c r="Q1593" s="235"/>
    </row>
    <row r="1594" spans="2:17">
      <c r="B1594" s="241"/>
      <c r="C1594" s="241"/>
      <c r="D1594" s="241"/>
      <c r="E1594" s="241"/>
      <c r="F1594" s="260"/>
      <c r="G1594" s="260"/>
      <c r="H1594" s="260"/>
      <c r="I1594" s="260"/>
      <c r="J1594" s="260"/>
      <c r="K1594" s="260"/>
      <c r="L1594" s="260"/>
      <c r="M1594" s="260"/>
      <c r="N1594" s="260"/>
      <c r="O1594" s="235"/>
      <c r="P1594" s="235"/>
      <c r="Q1594" s="235"/>
    </row>
    <row r="1595" spans="2:17">
      <c r="B1595" s="241"/>
      <c r="C1595" s="241"/>
      <c r="D1595" s="241"/>
      <c r="E1595" s="241"/>
      <c r="F1595" s="260"/>
      <c r="G1595" s="260"/>
      <c r="H1595" s="260"/>
      <c r="I1595" s="260"/>
      <c r="J1595" s="260"/>
      <c r="K1595" s="260"/>
      <c r="L1595" s="260"/>
      <c r="M1595" s="260"/>
      <c r="N1595" s="260"/>
      <c r="O1595" s="235"/>
      <c r="P1595" s="235"/>
      <c r="Q1595" s="235"/>
    </row>
    <row r="1596" spans="2:17">
      <c r="B1596" s="241"/>
      <c r="C1596" s="241"/>
      <c r="D1596" s="241"/>
      <c r="E1596" s="241"/>
      <c r="F1596" s="260"/>
      <c r="G1596" s="260"/>
      <c r="H1596" s="260"/>
      <c r="I1596" s="260"/>
      <c r="J1596" s="260"/>
      <c r="K1596" s="260"/>
      <c r="L1596" s="260"/>
      <c r="M1596" s="260"/>
      <c r="N1596" s="260"/>
      <c r="O1596" s="235"/>
      <c r="P1596" s="235"/>
      <c r="Q1596" s="235"/>
    </row>
    <row r="1597" spans="2:17">
      <c r="B1597" s="241"/>
      <c r="C1597" s="241"/>
      <c r="D1597" s="241"/>
      <c r="E1597" s="241"/>
      <c r="F1597" s="260"/>
      <c r="G1597" s="260"/>
      <c r="H1597" s="260"/>
      <c r="I1597" s="260"/>
      <c r="J1597" s="260"/>
      <c r="K1597" s="260"/>
      <c r="L1597" s="260"/>
      <c r="M1597" s="260"/>
      <c r="N1597" s="260"/>
      <c r="O1597" s="235"/>
      <c r="P1597" s="235"/>
      <c r="Q1597" s="235"/>
    </row>
    <row r="1598" spans="2:17">
      <c r="B1598" s="241"/>
      <c r="C1598" s="241"/>
      <c r="D1598" s="241"/>
      <c r="E1598" s="241"/>
      <c r="F1598" s="260"/>
      <c r="G1598" s="260"/>
      <c r="H1598" s="260"/>
      <c r="I1598" s="260"/>
      <c r="J1598" s="260"/>
      <c r="K1598" s="260"/>
      <c r="L1598" s="260"/>
      <c r="M1598" s="260"/>
      <c r="N1598" s="260"/>
      <c r="O1598" s="235"/>
      <c r="P1598" s="235"/>
      <c r="Q1598" s="235"/>
    </row>
    <row r="1599" spans="2:17">
      <c r="B1599" s="241"/>
      <c r="C1599" s="241"/>
      <c r="D1599" s="241"/>
      <c r="E1599" s="241"/>
      <c r="F1599" s="260"/>
      <c r="G1599" s="260"/>
      <c r="H1599" s="260"/>
      <c r="I1599" s="260"/>
      <c r="J1599" s="260"/>
      <c r="K1599" s="260"/>
      <c r="L1599" s="260"/>
      <c r="M1599" s="260"/>
      <c r="N1599" s="260"/>
      <c r="O1599" s="235"/>
      <c r="P1599" s="235"/>
      <c r="Q1599" s="235"/>
    </row>
    <row r="1600" spans="2:17">
      <c r="B1600" s="241"/>
      <c r="C1600" s="241"/>
      <c r="D1600" s="241"/>
      <c r="E1600" s="241"/>
      <c r="F1600" s="260"/>
      <c r="G1600" s="260"/>
      <c r="H1600" s="260"/>
      <c r="I1600" s="260"/>
      <c r="J1600" s="260"/>
      <c r="K1600" s="260"/>
      <c r="L1600" s="260"/>
      <c r="M1600" s="260"/>
      <c r="N1600" s="260"/>
      <c r="O1600" s="235"/>
      <c r="P1600" s="235"/>
      <c r="Q1600" s="235"/>
    </row>
    <row r="1601" spans="2:17">
      <c r="B1601" s="241"/>
      <c r="C1601" s="241"/>
      <c r="D1601" s="241"/>
      <c r="E1601" s="241"/>
      <c r="F1601" s="260"/>
      <c r="G1601" s="260"/>
      <c r="H1601" s="260"/>
      <c r="I1601" s="260"/>
      <c r="J1601" s="260"/>
      <c r="K1601" s="260"/>
      <c r="L1601" s="260"/>
      <c r="M1601" s="260"/>
      <c r="N1601" s="260"/>
      <c r="O1601" s="235"/>
      <c r="P1601" s="235"/>
      <c r="Q1601" s="235"/>
    </row>
    <row r="1602" spans="2:17">
      <c r="B1602" s="241"/>
      <c r="C1602" s="241"/>
      <c r="D1602" s="241"/>
      <c r="E1602" s="241"/>
      <c r="F1602" s="260"/>
      <c r="G1602" s="260"/>
      <c r="H1602" s="260"/>
      <c r="I1602" s="260"/>
      <c r="J1602" s="260"/>
      <c r="K1602" s="260"/>
      <c r="L1602" s="260"/>
      <c r="M1602" s="260"/>
      <c r="N1602" s="260"/>
      <c r="O1602" s="235"/>
      <c r="P1602" s="235"/>
      <c r="Q1602" s="235"/>
    </row>
    <row r="1603" spans="2:17">
      <c r="B1603" s="241"/>
      <c r="C1603" s="241"/>
      <c r="D1603" s="241"/>
      <c r="E1603" s="241"/>
      <c r="F1603" s="260"/>
      <c r="G1603" s="260"/>
      <c r="H1603" s="260"/>
      <c r="I1603" s="260"/>
      <c r="J1603" s="260"/>
      <c r="K1603" s="260"/>
      <c r="L1603" s="260"/>
      <c r="M1603" s="260"/>
      <c r="N1603" s="260"/>
      <c r="O1603" s="235"/>
      <c r="P1603" s="235"/>
      <c r="Q1603" s="235"/>
    </row>
    <row r="1604" spans="2:17">
      <c r="B1604" s="241"/>
      <c r="C1604" s="241"/>
      <c r="D1604" s="241"/>
      <c r="E1604" s="241"/>
      <c r="F1604" s="260"/>
      <c r="G1604" s="260"/>
      <c r="H1604" s="260"/>
      <c r="I1604" s="260"/>
      <c r="J1604" s="260"/>
      <c r="K1604" s="260"/>
      <c r="L1604" s="260"/>
      <c r="M1604" s="260"/>
      <c r="N1604" s="260"/>
      <c r="O1604" s="235"/>
      <c r="P1604" s="235"/>
      <c r="Q1604" s="235"/>
    </row>
    <row r="1605" spans="2:17">
      <c r="B1605" s="241"/>
      <c r="C1605" s="241"/>
      <c r="D1605" s="241"/>
      <c r="E1605" s="241"/>
      <c r="F1605" s="260"/>
      <c r="G1605" s="260"/>
      <c r="H1605" s="260"/>
      <c r="I1605" s="260"/>
      <c r="J1605" s="260"/>
      <c r="K1605" s="260"/>
      <c r="L1605" s="260"/>
      <c r="M1605" s="260"/>
      <c r="N1605" s="260"/>
      <c r="O1605" s="235"/>
      <c r="P1605" s="235"/>
      <c r="Q1605" s="235"/>
    </row>
    <row r="1606" spans="2:17">
      <c r="B1606" s="241"/>
      <c r="C1606" s="241"/>
      <c r="D1606" s="241"/>
      <c r="E1606" s="241"/>
      <c r="F1606" s="260"/>
      <c r="G1606" s="260"/>
      <c r="H1606" s="260"/>
      <c r="I1606" s="260"/>
      <c r="J1606" s="260"/>
      <c r="K1606" s="260"/>
      <c r="L1606" s="260"/>
      <c r="M1606" s="260"/>
      <c r="N1606" s="260"/>
      <c r="O1606" s="235"/>
      <c r="P1606" s="235"/>
      <c r="Q1606" s="235"/>
    </row>
    <row r="1607" spans="2:17">
      <c r="B1607" s="241"/>
      <c r="C1607" s="241"/>
      <c r="D1607" s="241"/>
      <c r="E1607" s="241"/>
      <c r="F1607" s="260"/>
      <c r="G1607" s="260"/>
      <c r="H1607" s="260"/>
      <c r="I1607" s="260"/>
      <c r="J1607" s="260"/>
      <c r="K1607" s="260"/>
      <c r="L1607" s="260"/>
      <c r="M1607" s="260"/>
      <c r="N1607" s="260"/>
      <c r="O1607" s="235"/>
      <c r="P1607" s="235"/>
      <c r="Q1607" s="235"/>
    </row>
    <row r="1608" spans="2:17">
      <c r="B1608" s="241"/>
      <c r="C1608" s="241"/>
      <c r="D1608" s="241"/>
      <c r="E1608" s="241"/>
      <c r="F1608" s="260"/>
      <c r="G1608" s="260"/>
      <c r="H1608" s="260"/>
      <c r="I1608" s="260"/>
      <c r="J1608" s="260"/>
      <c r="K1608" s="260"/>
      <c r="L1608" s="260"/>
      <c r="M1608" s="260"/>
      <c r="N1608" s="260"/>
      <c r="O1608" s="235"/>
      <c r="P1608" s="235"/>
      <c r="Q1608" s="235"/>
    </row>
    <row r="1609" spans="2:17">
      <c r="B1609" s="241"/>
      <c r="C1609" s="241"/>
      <c r="D1609" s="241"/>
      <c r="E1609" s="241"/>
      <c r="F1609" s="260"/>
      <c r="G1609" s="260"/>
      <c r="H1609" s="260"/>
      <c r="I1609" s="260"/>
      <c r="J1609" s="260"/>
      <c r="K1609" s="260"/>
      <c r="L1609" s="260"/>
      <c r="M1609" s="260"/>
      <c r="N1609" s="260"/>
      <c r="O1609" s="235"/>
      <c r="P1609" s="235"/>
      <c r="Q1609" s="235"/>
    </row>
    <row r="1610" spans="2:17">
      <c r="B1610" s="241"/>
      <c r="C1610" s="241"/>
      <c r="D1610" s="241"/>
      <c r="E1610" s="241"/>
      <c r="F1610" s="260"/>
      <c r="G1610" s="260"/>
      <c r="H1610" s="260"/>
      <c r="I1610" s="260"/>
      <c r="J1610" s="260"/>
      <c r="K1610" s="260"/>
      <c r="L1610" s="260"/>
      <c r="M1610" s="260"/>
      <c r="N1610" s="260"/>
      <c r="O1610" s="235"/>
      <c r="P1610" s="235"/>
      <c r="Q1610" s="235"/>
    </row>
    <row r="1611" spans="2:17">
      <c r="B1611" s="241"/>
      <c r="C1611" s="241"/>
      <c r="D1611" s="241"/>
      <c r="E1611" s="241"/>
      <c r="F1611" s="260"/>
      <c r="G1611" s="260"/>
      <c r="H1611" s="260"/>
      <c r="I1611" s="260"/>
      <c r="J1611" s="260"/>
      <c r="K1611" s="260"/>
      <c r="L1611" s="260"/>
      <c r="M1611" s="260"/>
      <c r="N1611" s="260"/>
      <c r="O1611" s="235"/>
      <c r="P1611" s="235"/>
      <c r="Q1611" s="235"/>
    </row>
    <row r="1612" spans="2:17">
      <c r="B1612" s="241"/>
      <c r="C1612" s="241"/>
      <c r="D1612" s="241"/>
      <c r="E1612" s="241"/>
      <c r="F1612" s="260"/>
      <c r="G1612" s="260"/>
      <c r="H1612" s="260"/>
      <c r="I1612" s="260"/>
      <c r="J1612" s="260"/>
      <c r="K1612" s="260"/>
      <c r="L1612" s="260"/>
      <c r="M1612" s="260"/>
      <c r="N1612" s="260"/>
      <c r="O1612" s="235"/>
      <c r="P1612" s="235"/>
      <c r="Q1612" s="235"/>
    </row>
    <row r="1613" spans="2:17">
      <c r="B1613" s="241"/>
      <c r="C1613" s="241"/>
      <c r="D1613" s="241"/>
      <c r="E1613" s="241"/>
      <c r="F1613" s="260"/>
      <c r="G1613" s="260"/>
      <c r="H1613" s="260"/>
      <c r="I1613" s="260"/>
      <c r="J1613" s="260"/>
      <c r="K1613" s="260"/>
      <c r="L1613" s="260"/>
      <c r="M1613" s="260"/>
      <c r="N1613" s="260"/>
      <c r="O1613" s="235"/>
      <c r="P1613" s="235"/>
      <c r="Q1613" s="235"/>
    </row>
    <row r="1614" spans="2:17">
      <c r="B1614" s="241"/>
      <c r="C1614" s="241"/>
      <c r="D1614" s="241"/>
      <c r="E1614" s="241"/>
      <c r="F1614" s="260"/>
      <c r="G1614" s="260"/>
      <c r="H1614" s="260"/>
      <c r="I1614" s="260"/>
      <c r="J1614" s="260"/>
      <c r="K1614" s="260"/>
      <c r="L1614" s="260"/>
      <c r="M1614" s="260"/>
      <c r="N1614" s="260"/>
      <c r="O1614" s="235"/>
      <c r="P1614" s="235"/>
      <c r="Q1614" s="235"/>
    </row>
    <row r="1615" spans="2:17">
      <c r="B1615" s="241"/>
      <c r="C1615" s="241"/>
      <c r="D1615" s="241"/>
      <c r="E1615" s="241"/>
      <c r="F1615" s="260"/>
      <c r="G1615" s="260"/>
      <c r="H1615" s="260"/>
      <c r="I1615" s="260"/>
      <c r="J1615" s="260"/>
      <c r="K1615" s="260"/>
      <c r="L1615" s="260"/>
      <c r="M1615" s="260"/>
      <c r="N1615" s="260"/>
      <c r="O1615" s="235"/>
      <c r="P1615" s="235"/>
      <c r="Q1615" s="235"/>
    </row>
    <row r="1616" spans="2:17">
      <c r="B1616" s="241"/>
      <c r="C1616" s="241"/>
      <c r="D1616" s="241"/>
      <c r="E1616" s="241"/>
      <c r="F1616" s="260"/>
      <c r="G1616" s="260"/>
      <c r="H1616" s="260"/>
      <c r="I1616" s="260"/>
      <c r="J1616" s="260"/>
      <c r="K1616" s="260"/>
      <c r="L1616" s="260"/>
      <c r="M1616" s="260"/>
      <c r="N1616" s="260"/>
      <c r="O1616" s="235"/>
      <c r="P1616" s="235"/>
      <c r="Q1616" s="235"/>
    </row>
    <row r="1617" spans="2:17">
      <c r="B1617" s="241"/>
      <c r="C1617" s="241"/>
      <c r="D1617" s="241"/>
      <c r="E1617" s="241"/>
      <c r="F1617" s="260"/>
      <c r="G1617" s="260"/>
      <c r="H1617" s="260"/>
      <c r="I1617" s="260"/>
      <c r="J1617" s="260"/>
      <c r="K1617" s="260"/>
      <c r="L1617" s="260"/>
      <c r="M1617" s="260"/>
      <c r="N1617" s="260"/>
      <c r="O1617" s="235"/>
      <c r="P1617" s="235"/>
      <c r="Q1617" s="235"/>
    </row>
    <row r="1618" spans="2:17">
      <c r="B1618" s="241"/>
      <c r="C1618" s="241"/>
      <c r="D1618" s="241"/>
      <c r="E1618" s="241"/>
      <c r="F1618" s="260"/>
      <c r="G1618" s="260"/>
      <c r="H1618" s="260"/>
      <c r="I1618" s="260"/>
      <c r="J1618" s="260"/>
      <c r="K1618" s="260"/>
      <c r="L1618" s="260"/>
      <c r="M1618" s="260"/>
      <c r="N1618" s="260"/>
      <c r="O1618" s="235"/>
      <c r="P1618" s="235"/>
      <c r="Q1618" s="235"/>
    </row>
    <row r="1619" spans="2:17">
      <c r="B1619" s="241"/>
      <c r="C1619" s="241"/>
      <c r="D1619" s="241"/>
      <c r="E1619" s="241"/>
      <c r="F1619" s="260"/>
      <c r="G1619" s="260"/>
      <c r="H1619" s="260"/>
      <c r="I1619" s="260"/>
      <c r="J1619" s="260"/>
      <c r="K1619" s="260"/>
      <c r="L1619" s="260"/>
      <c r="M1619" s="260"/>
      <c r="N1619" s="260"/>
      <c r="O1619" s="235"/>
      <c r="P1619" s="235"/>
      <c r="Q1619" s="235"/>
    </row>
    <row r="1620" spans="2:17">
      <c r="B1620" s="241"/>
      <c r="C1620" s="241"/>
      <c r="D1620" s="241"/>
      <c r="E1620" s="241"/>
      <c r="F1620" s="260"/>
      <c r="G1620" s="260"/>
      <c r="H1620" s="260"/>
      <c r="I1620" s="260"/>
      <c r="J1620" s="260"/>
      <c r="K1620" s="260"/>
      <c r="L1620" s="260"/>
      <c r="M1620" s="260"/>
      <c r="N1620" s="260"/>
      <c r="O1620" s="235"/>
      <c r="P1620" s="235"/>
      <c r="Q1620" s="235"/>
    </row>
    <row r="1621" spans="2:17">
      <c r="B1621" s="241"/>
      <c r="C1621" s="241"/>
      <c r="D1621" s="241"/>
      <c r="E1621" s="241"/>
      <c r="F1621" s="260"/>
      <c r="G1621" s="260"/>
      <c r="H1621" s="260"/>
      <c r="I1621" s="260"/>
      <c r="J1621" s="260"/>
      <c r="K1621" s="260"/>
      <c r="L1621" s="260"/>
      <c r="M1621" s="260"/>
      <c r="N1621" s="260"/>
      <c r="O1621" s="235"/>
      <c r="P1621" s="235"/>
      <c r="Q1621" s="235"/>
    </row>
    <row r="1622" spans="2:17">
      <c r="B1622" s="241"/>
      <c r="C1622" s="241"/>
      <c r="D1622" s="241"/>
      <c r="E1622" s="241"/>
      <c r="F1622" s="260"/>
      <c r="G1622" s="260"/>
      <c r="H1622" s="260"/>
      <c r="I1622" s="260"/>
      <c r="J1622" s="260"/>
      <c r="K1622" s="260"/>
      <c r="L1622" s="260"/>
      <c r="M1622" s="260"/>
      <c r="N1622" s="260"/>
      <c r="O1622" s="235"/>
      <c r="P1622" s="235"/>
      <c r="Q1622" s="235"/>
    </row>
    <row r="1623" spans="2:17">
      <c r="B1623" s="241"/>
      <c r="C1623" s="241"/>
      <c r="D1623" s="241"/>
      <c r="E1623" s="241"/>
      <c r="F1623" s="260"/>
      <c r="G1623" s="260"/>
      <c r="H1623" s="260"/>
      <c r="I1623" s="260"/>
      <c r="J1623" s="260"/>
      <c r="K1623" s="260"/>
      <c r="L1623" s="260"/>
      <c r="M1623" s="260"/>
      <c r="N1623" s="260"/>
      <c r="O1623" s="235"/>
      <c r="P1623" s="235"/>
      <c r="Q1623" s="235"/>
    </row>
    <row r="1624" spans="2:17">
      <c r="B1624" s="241"/>
      <c r="C1624" s="241"/>
      <c r="D1624" s="241"/>
      <c r="E1624" s="241"/>
      <c r="F1624" s="260"/>
      <c r="G1624" s="260"/>
      <c r="H1624" s="260"/>
      <c r="I1624" s="260"/>
      <c r="J1624" s="260"/>
      <c r="K1624" s="260"/>
      <c r="L1624" s="260"/>
      <c r="M1624" s="260"/>
      <c r="N1624" s="260"/>
      <c r="O1624" s="235"/>
      <c r="P1624" s="235"/>
      <c r="Q1624" s="235"/>
    </row>
    <row r="1625" spans="2:17">
      <c r="B1625" s="241"/>
      <c r="C1625" s="241"/>
      <c r="D1625" s="241"/>
      <c r="E1625" s="241"/>
      <c r="F1625" s="260"/>
      <c r="G1625" s="260"/>
      <c r="H1625" s="260"/>
      <c r="I1625" s="260"/>
      <c r="J1625" s="260"/>
      <c r="K1625" s="260"/>
      <c r="L1625" s="260"/>
      <c r="M1625" s="260"/>
      <c r="N1625" s="260"/>
      <c r="O1625" s="235"/>
      <c r="P1625" s="235"/>
      <c r="Q1625" s="235"/>
    </row>
    <row r="1626" spans="2:17">
      <c r="B1626" s="241"/>
      <c r="C1626" s="241"/>
      <c r="D1626" s="241"/>
      <c r="E1626" s="241"/>
      <c r="F1626" s="260"/>
      <c r="G1626" s="260"/>
      <c r="H1626" s="260"/>
      <c r="I1626" s="260"/>
      <c r="J1626" s="260"/>
      <c r="K1626" s="260"/>
      <c r="L1626" s="260"/>
      <c r="M1626" s="260"/>
      <c r="N1626" s="260"/>
      <c r="O1626" s="235"/>
      <c r="P1626" s="235"/>
      <c r="Q1626" s="235"/>
    </row>
    <row r="1627" spans="2:17">
      <c r="B1627" s="241"/>
      <c r="C1627" s="241"/>
      <c r="D1627" s="241"/>
      <c r="E1627" s="241"/>
      <c r="F1627" s="260"/>
      <c r="G1627" s="260"/>
      <c r="H1627" s="260"/>
      <c r="I1627" s="260"/>
      <c r="J1627" s="260"/>
      <c r="K1627" s="260"/>
      <c r="L1627" s="260"/>
      <c r="M1627" s="260"/>
      <c r="N1627" s="260"/>
      <c r="O1627" s="235"/>
      <c r="P1627" s="235"/>
      <c r="Q1627" s="235"/>
    </row>
    <row r="1628" spans="2:17">
      <c r="B1628" s="241"/>
      <c r="C1628" s="241"/>
      <c r="D1628" s="241"/>
      <c r="E1628" s="241"/>
      <c r="F1628" s="260"/>
      <c r="G1628" s="260"/>
      <c r="H1628" s="260"/>
      <c r="I1628" s="260"/>
      <c r="J1628" s="260"/>
      <c r="K1628" s="260"/>
      <c r="L1628" s="260"/>
      <c r="M1628" s="260"/>
      <c r="N1628" s="260"/>
      <c r="O1628" s="235"/>
      <c r="P1628" s="235"/>
      <c r="Q1628" s="235"/>
    </row>
    <row r="1629" spans="2:17">
      <c r="B1629" s="241"/>
      <c r="C1629" s="241"/>
      <c r="D1629" s="241"/>
      <c r="E1629" s="241"/>
      <c r="F1629" s="260"/>
      <c r="G1629" s="260"/>
      <c r="H1629" s="260"/>
      <c r="I1629" s="260"/>
      <c r="J1629" s="260"/>
      <c r="K1629" s="260"/>
      <c r="L1629" s="260"/>
      <c r="M1629" s="260"/>
      <c r="N1629" s="260"/>
      <c r="O1629" s="235"/>
      <c r="P1629" s="235"/>
      <c r="Q1629" s="235"/>
    </row>
    <row r="1630" spans="2:17">
      <c r="B1630" s="241"/>
      <c r="C1630" s="241"/>
      <c r="D1630" s="241"/>
      <c r="E1630" s="241"/>
      <c r="F1630" s="260"/>
      <c r="G1630" s="260"/>
      <c r="H1630" s="260"/>
      <c r="I1630" s="260"/>
      <c r="J1630" s="260"/>
      <c r="K1630" s="260"/>
      <c r="L1630" s="260"/>
      <c r="M1630" s="260"/>
      <c r="N1630" s="260"/>
      <c r="O1630" s="235"/>
      <c r="P1630" s="235"/>
      <c r="Q1630" s="235"/>
    </row>
    <row r="1631" spans="2:17">
      <c r="B1631" s="241"/>
      <c r="C1631" s="241"/>
      <c r="D1631" s="241"/>
      <c r="E1631" s="241"/>
      <c r="F1631" s="260"/>
      <c r="G1631" s="260"/>
      <c r="H1631" s="260"/>
      <c r="I1631" s="260"/>
      <c r="J1631" s="260"/>
      <c r="K1631" s="260"/>
      <c r="L1631" s="260"/>
      <c r="M1631" s="260"/>
      <c r="N1631" s="260"/>
      <c r="O1631" s="235"/>
      <c r="P1631" s="235"/>
      <c r="Q1631" s="235"/>
    </row>
    <row r="1632" spans="2:17">
      <c r="B1632" s="241"/>
      <c r="C1632" s="241"/>
      <c r="D1632" s="241"/>
      <c r="E1632" s="241"/>
      <c r="F1632" s="260"/>
      <c r="G1632" s="260"/>
      <c r="H1632" s="260"/>
      <c r="I1632" s="260"/>
      <c r="J1632" s="260"/>
      <c r="K1632" s="260"/>
      <c r="L1632" s="260"/>
      <c r="M1632" s="260"/>
      <c r="N1632" s="260"/>
      <c r="O1632" s="235"/>
      <c r="P1632" s="235"/>
      <c r="Q1632" s="235"/>
    </row>
    <row r="1633" spans="2:17">
      <c r="B1633" s="241"/>
      <c r="C1633" s="241"/>
      <c r="D1633" s="241"/>
      <c r="E1633" s="241"/>
      <c r="F1633" s="260"/>
      <c r="G1633" s="260"/>
      <c r="H1633" s="260"/>
      <c r="I1633" s="260"/>
      <c r="J1633" s="260"/>
      <c r="K1633" s="260"/>
      <c r="L1633" s="260"/>
      <c r="M1633" s="260"/>
      <c r="N1633" s="260"/>
      <c r="O1633" s="235"/>
      <c r="P1633" s="235"/>
      <c r="Q1633" s="235"/>
    </row>
    <row r="1634" spans="2:17">
      <c r="B1634" s="241"/>
      <c r="C1634" s="241"/>
      <c r="D1634" s="241"/>
      <c r="E1634" s="241"/>
      <c r="F1634" s="260"/>
      <c r="G1634" s="260"/>
      <c r="H1634" s="260"/>
      <c r="I1634" s="260"/>
      <c r="J1634" s="260"/>
      <c r="K1634" s="260"/>
      <c r="L1634" s="260"/>
      <c r="M1634" s="260"/>
      <c r="N1634" s="260"/>
      <c r="O1634" s="235"/>
      <c r="P1634" s="235"/>
      <c r="Q1634" s="235"/>
    </row>
    <row r="1635" spans="2:17">
      <c r="B1635" s="241"/>
      <c r="C1635" s="241"/>
      <c r="D1635" s="241"/>
      <c r="E1635" s="241"/>
      <c r="F1635" s="260"/>
      <c r="G1635" s="260"/>
      <c r="H1635" s="260"/>
      <c r="I1635" s="260"/>
      <c r="J1635" s="260"/>
      <c r="K1635" s="260"/>
      <c r="L1635" s="260"/>
      <c r="M1635" s="260"/>
      <c r="N1635" s="260"/>
      <c r="O1635" s="235"/>
      <c r="P1635" s="235"/>
      <c r="Q1635" s="235"/>
    </row>
    <row r="1636" spans="2:17">
      <c r="B1636" s="241"/>
      <c r="C1636" s="241"/>
      <c r="D1636" s="241"/>
      <c r="E1636" s="241"/>
      <c r="F1636" s="260"/>
      <c r="G1636" s="260"/>
      <c r="H1636" s="260"/>
      <c r="I1636" s="260"/>
      <c r="J1636" s="260"/>
      <c r="K1636" s="260"/>
      <c r="L1636" s="260"/>
      <c r="M1636" s="260"/>
      <c r="N1636" s="260"/>
      <c r="O1636" s="235"/>
      <c r="P1636" s="235"/>
      <c r="Q1636" s="235"/>
    </row>
    <row r="1637" spans="2:17">
      <c r="B1637" s="241"/>
      <c r="C1637" s="241"/>
      <c r="D1637" s="241"/>
      <c r="E1637" s="241"/>
      <c r="F1637" s="260"/>
      <c r="G1637" s="260"/>
      <c r="H1637" s="260"/>
      <c r="I1637" s="260"/>
      <c r="J1637" s="260"/>
      <c r="K1637" s="260"/>
      <c r="L1637" s="260"/>
      <c r="M1637" s="260"/>
      <c r="N1637" s="260"/>
      <c r="O1637" s="235"/>
      <c r="P1637" s="235"/>
      <c r="Q1637" s="235"/>
    </row>
    <row r="1638" spans="2:17">
      <c r="B1638" s="241"/>
      <c r="C1638" s="241"/>
      <c r="D1638" s="241"/>
      <c r="E1638" s="241"/>
      <c r="F1638" s="260"/>
      <c r="G1638" s="260"/>
      <c r="H1638" s="260"/>
      <c r="I1638" s="260"/>
      <c r="J1638" s="260"/>
      <c r="K1638" s="260"/>
      <c r="L1638" s="260"/>
      <c r="M1638" s="260"/>
      <c r="N1638" s="260"/>
      <c r="O1638" s="235"/>
      <c r="P1638" s="235"/>
      <c r="Q1638" s="235"/>
    </row>
    <row r="1639" spans="2:17">
      <c r="B1639" s="241"/>
      <c r="C1639" s="241"/>
      <c r="D1639" s="241"/>
      <c r="E1639" s="241"/>
      <c r="F1639" s="260"/>
      <c r="G1639" s="260"/>
      <c r="H1639" s="260"/>
      <c r="I1639" s="260"/>
      <c r="J1639" s="260"/>
      <c r="K1639" s="260"/>
      <c r="L1639" s="260"/>
      <c r="M1639" s="260"/>
      <c r="N1639" s="260"/>
      <c r="O1639" s="235"/>
      <c r="P1639" s="235"/>
      <c r="Q1639" s="235"/>
    </row>
    <row r="1640" spans="2:17">
      <c r="B1640" s="241"/>
      <c r="C1640" s="241"/>
      <c r="D1640" s="241"/>
      <c r="E1640" s="241"/>
      <c r="F1640" s="260"/>
      <c r="G1640" s="260"/>
      <c r="H1640" s="260"/>
      <c r="I1640" s="260"/>
      <c r="J1640" s="260"/>
      <c r="K1640" s="260"/>
      <c r="L1640" s="260"/>
      <c r="M1640" s="260"/>
      <c r="N1640" s="260"/>
      <c r="O1640" s="235"/>
      <c r="P1640" s="235"/>
      <c r="Q1640" s="235"/>
    </row>
    <row r="1641" spans="2:17">
      <c r="B1641" s="241"/>
      <c r="C1641" s="241"/>
      <c r="D1641" s="241"/>
      <c r="E1641" s="241"/>
      <c r="F1641" s="260"/>
      <c r="G1641" s="260"/>
      <c r="H1641" s="260"/>
      <c r="I1641" s="260"/>
      <c r="J1641" s="260"/>
      <c r="K1641" s="260"/>
      <c r="L1641" s="260"/>
      <c r="M1641" s="260"/>
      <c r="N1641" s="260"/>
      <c r="O1641" s="235"/>
      <c r="P1641" s="235"/>
      <c r="Q1641" s="235"/>
    </row>
    <row r="1642" spans="2:17">
      <c r="B1642" s="241"/>
      <c r="C1642" s="241"/>
      <c r="D1642" s="241"/>
      <c r="E1642" s="241"/>
      <c r="F1642" s="260"/>
      <c r="G1642" s="260"/>
      <c r="H1642" s="260"/>
      <c r="I1642" s="260"/>
      <c r="J1642" s="260"/>
      <c r="K1642" s="260"/>
      <c r="L1642" s="260"/>
      <c r="M1642" s="260"/>
      <c r="N1642" s="260"/>
      <c r="O1642" s="235"/>
      <c r="P1642" s="235"/>
      <c r="Q1642" s="235"/>
    </row>
    <row r="1643" spans="2:17">
      <c r="B1643" s="241"/>
      <c r="C1643" s="241"/>
      <c r="D1643" s="241"/>
      <c r="E1643" s="241"/>
      <c r="F1643" s="260"/>
      <c r="G1643" s="260"/>
      <c r="H1643" s="260"/>
      <c r="I1643" s="260"/>
      <c r="J1643" s="260"/>
      <c r="K1643" s="260"/>
      <c r="L1643" s="260"/>
      <c r="M1643" s="260"/>
      <c r="N1643" s="260"/>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topLeftCell="AJ37" zoomScaleNormal="100" workbookViewId="0">
      <selection activeCell="AR75" sqref="AR75:AT75"/>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16384" width="9.1640625" style="147"/>
  </cols>
  <sheetData>
    <row r="1" spans="1:70">
      <c r="D1" s="154"/>
      <c r="E1" s="154"/>
      <c r="F1" s="154"/>
      <c r="G1" s="154" t="s">
        <v>724</v>
      </c>
      <c r="H1" s="154"/>
      <c r="I1" s="154"/>
      <c r="J1" s="154" t="s">
        <v>827</v>
      </c>
      <c r="K1" s="154"/>
      <c r="L1" s="154"/>
      <c r="M1" s="154"/>
      <c r="N1" s="154"/>
      <c r="O1" s="154"/>
      <c r="P1" s="154"/>
      <c r="Q1" s="154"/>
      <c r="R1" s="154"/>
      <c r="S1" s="154"/>
      <c r="T1" s="154"/>
      <c r="U1" s="154"/>
      <c r="V1" s="154"/>
      <c r="W1" s="154"/>
      <c r="X1" s="154"/>
      <c r="Y1" s="154"/>
      <c r="Z1" s="154"/>
      <c r="AA1" s="154"/>
      <c r="AB1" s="154"/>
    </row>
    <row r="2" spans="1:70">
      <c r="D2" s="154"/>
      <c r="E2" s="154"/>
      <c r="F2" s="154"/>
      <c r="G2" s="154" t="s">
        <v>725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2" t="s">
        <v>736</v>
      </c>
      <c r="D3" s="154"/>
      <c r="E3" s="154"/>
      <c r="F3" s="154"/>
      <c r="G3" s="154" t="s">
        <v>726</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727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832</v>
      </c>
      <c r="I7" s="204" t="s">
        <v>833</v>
      </c>
      <c r="J7" s="204" t="s">
        <v>834</v>
      </c>
      <c r="K7" s="204" t="s">
        <v>838</v>
      </c>
      <c r="L7" s="204" t="s">
        <v>839</v>
      </c>
      <c r="M7" s="204" t="s">
        <v>840</v>
      </c>
      <c r="N7" s="204" t="s">
        <v>841</v>
      </c>
      <c r="O7" s="204" t="s">
        <v>842</v>
      </c>
      <c r="P7" s="204" t="s">
        <v>843</v>
      </c>
      <c r="Q7" s="582" t="str">
        <f>H7&amp;"~2100"</f>
        <v>STOCK~DE1~2100</v>
      </c>
      <c r="R7" s="582" t="str">
        <f>I7&amp;"~2100"</f>
        <v>STOCK~DE2~2100</v>
      </c>
      <c r="S7" s="582" t="str">
        <f>J7&amp;"~2100"</f>
        <v>STOCK~DE3~2100</v>
      </c>
      <c r="T7" s="582" t="s">
        <v>844</v>
      </c>
      <c r="U7" s="582" t="s">
        <v>845</v>
      </c>
      <c r="V7" s="582" t="s">
        <v>846</v>
      </c>
      <c r="W7" s="582" t="s">
        <v>847</v>
      </c>
      <c r="X7" s="582" t="s">
        <v>848</v>
      </c>
      <c r="Y7" s="582" t="s">
        <v>849</v>
      </c>
      <c r="Z7" s="582" t="s">
        <v>850</v>
      </c>
      <c r="AA7" s="582" t="s">
        <v>851</v>
      </c>
      <c r="AB7" s="582" t="s">
        <v>852</v>
      </c>
      <c r="AC7" s="582" t="s">
        <v>853</v>
      </c>
      <c r="AD7" s="582" t="s">
        <v>854</v>
      </c>
      <c r="AE7" s="582" t="s">
        <v>855</v>
      </c>
      <c r="AF7" s="582" t="s">
        <v>856</v>
      </c>
      <c r="AG7" s="582" t="s">
        <v>857</v>
      </c>
      <c r="AH7" s="582" t="s">
        <v>858</v>
      </c>
      <c r="AI7" s="205" t="s">
        <v>835</v>
      </c>
      <c r="AJ7" s="205" t="s">
        <v>836</v>
      </c>
      <c r="AK7" s="205" t="s">
        <v>837</v>
      </c>
      <c r="AL7" s="205" t="s">
        <v>859</v>
      </c>
      <c r="AM7" s="205" t="s">
        <v>860</v>
      </c>
      <c r="AN7" s="205" t="s">
        <v>861</v>
      </c>
      <c r="AO7" s="205" t="s">
        <v>862</v>
      </c>
      <c r="AP7" s="205" t="s">
        <v>863</v>
      </c>
      <c r="AQ7" s="205" t="s">
        <v>864</v>
      </c>
      <c r="AR7" s="205" t="s">
        <v>865</v>
      </c>
      <c r="AS7" s="205" t="s">
        <v>866</v>
      </c>
      <c r="AT7" s="205" t="s">
        <v>867</v>
      </c>
      <c r="AU7" s="159" t="s">
        <v>114</v>
      </c>
      <c r="AV7" s="159" t="s">
        <v>184</v>
      </c>
      <c r="AW7" s="159" t="s">
        <v>107</v>
      </c>
      <c r="AX7" s="299"/>
      <c r="AY7" s="198"/>
      <c r="AZ7" s="199"/>
      <c r="BA7" s="216" t="s">
        <v>829</v>
      </c>
      <c r="BB7" s="217" t="s">
        <v>830</v>
      </c>
      <c r="BC7" s="217" t="s">
        <v>831</v>
      </c>
      <c r="BD7" s="217" t="s">
        <v>829</v>
      </c>
      <c r="BE7" s="217" t="s">
        <v>830</v>
      </c>
      <c r="BF7" s="217" t="s">
        <v>831</v>
      </c>
      <c r="BH7" s="201"/>
      <c r="BI7" s="201"/>
      <c r="BJ7" s="201"/>
      <c r="BK7" s="201"/>
      <c r="BL7" s="201"/>
      <c r="BM7" s="201"/>
      <c r="BN7" s="201"/>
      <c r="BO7" s="201"/>
      <c r="BP7" s="201"/>
      <c r="BQ7" s="201"/>
      <c r="BR7" s="201"/>
    </row>
    <row r="8" spans="1:70" ht="14"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300"/>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RDHUDL</v>
      </c>
      <c r="C9" s="165" t="str">
        <f>Processes!E7</f>
        <v xml:space="preserve">Residential Demand Heating Urban Detached -  - Low </v>
      </c>
      <c r="D9" s="127" t="str">
        <f>Commodities!$C$35&amp;","&amp;Commodities!$C$39&amp;","&amp;Commodities!$C$43&amp;","&amp;Commodities!$C$80&amp;","&amp;Commodities!C55</f>
        <v>RESHUDX,RESHUDB,RESHUDBE,RESHSAV,RESHUDSL</v>
      </c>
      <c r="E9" s="7" t="str">
        <f>Commodities!C7</f>
        <v>RHUDB</v>
      </c>
      <c r="G9" s="166"/>
      <c r="H9" s="544" cm="1">
        <f t="array" ref="H9">ROUNDUP(INDEX(Dem!$F$41:$H$44,MATCH(Buildings_DR!$E9,Dem!$B$5:$B$8,0),MATCH(RIGHT(H$7,3),Dem!$F$1:$H$1,0))*_xlfn.IFS(RIGHT($D9,1)="H",$H$4,RIGHT($D9,1)="M",$H$3,RIGHT($D9,1)="L",$H$2),2)</f>
        <v>0</v>
      </c>
      <c r="I9" s="544" cm="1">
        <f t="array" ref="I9">ROUNDUP(INDEX(Dem!$F$41:$H$44,MATCH(Buildings_DR!$E9,Dem!$B$5:$B$8,0),MATCH(RIGHT(I$7,3),Dem!$F$1:$H$1,0))*_xlfn.IFS(RIGHT($D9,1)="H",$H$4,RIGHT($D9,1)="M",$H$3,RIGHT($D9,1)="L",$H$2),2)</f>
        <v>0</v>
      </c>
      <c r="J9" s="544" cm="1">
        <f t="array" ref="J9">ROUNDUP(INDEX(Dem!$F$41:$H$44,MATCH(Buildings_DR!$E9,Dem!$B$5:$B$8,0),MATCH(RIGHT(J$7,3),Dem!$F$1:$H$1,0))*_xlfn.IFS(RIGHT($D9,1)="H",$H$4,RIGHT($D9,1)="M",$H$3,RIGHT($D9,1)="L",$H$2),2)</f>
        <v>0</v>
      </c>
      <c r="K9" s="544" cm="1">
        <f t="array" ref="K9">ROUNDUP(INDEX(Dem!$F$45:$H$48,MATCH(Buildings_DR!$E9,Dem!$B$5:$B$8,0),MATCH(RIGHT(K$7,3),Dem!$F$1:$H$1,0))*_xlfn.IFS(RIGHT($D9,1)="H",$H$4,RIGHT($D9,1)="M",$H$3,RIGHT($D9,1)="L",$H$2),2)</f>
        <v>0</v>
      </c>
      <c r="L9" s="544" cm="1">
        <f t="array" ref="L9">ROUNDUP(INDEX(Dem!$F$45:$H$48,MATCH(Buildings_DR!$E9,Dem!$B$5:$B$8,0),MATCH(RIGHT(L$7,3),Dem!$F$1:$H$1,0))*_xlfn.IFS(RIGHT($D9,1)="H",$H$4,RIGHT($D9,1)="M",$H$3,RIGHT($D9,1)="L",$H$2),2)</f>
        <v>0</v>
      </c>
      <c r="M9" s="544" cm="1">
        <f t="array" ref="M9">ROUNDUP(INDEX(Dem!$F$45:$H$48,MATCH(Buildings_DR!$E9,Dem!$B$5:$B$8,0),MATCH(RIGHT(M$7,3),Dem!$F$1:$H$1,0))*_xlfn.IFS(RIGHT($D9,1)="H",$H$4,RIGHT($D9,1)="M",$H$3,RIGHT($D9,1)="L",$H$2),2)</f>
        <v>0</v>
      </c>
      <c r="N9" s="544" cm="1">
        <f t="array" ref="N9">ROUNDUP(INDEX(Dem!$F$49:$H$52,MATCH(Buildings_DR!$E9,Dem!$B$5:$B$8,0),MATCH(RIGHT(N$7,3),Dem!$F$1:$H$1,0))*_xlfn.IFS(RIGHT($D9,1)="H",$H$4,RIGHT($D9,1)="M",$H$3,RIGHT($D9,1)="L",$H$2),2)</f>
        <v>0</v>
      </c>
      <c r="O9" s="544" cm="1">
        <f t="array" ref="O9">ROUNDUP(INDEX(Dem!$F$49:$H$52,MATCH(Buildings_DR!$E9,Dem!$B$5:$B$8,0),MATCH(RIGHT(O$7,3),Dem!$F$1:$H$1,0))*_xlfn.IFS(RIGHT($D9,1)="H",$H$4,RIGHT($D9,1)="M",$H$3,RIGHT($D9,1)="L",$H$2),2)</f>
        <v>0</v>
      </c>
      <c r="P9" s="544" cm="1">
        <f t="array" ref="P9">ROUNDUP(INDEX(Dem!$F$49:$H$52,MATCH(Buildings_DR!$E9,Dem!$B$5:$B$8,0),MATCH(RIGHT(P$7,3),Dem!$F$1:$H$1,0))*_xlfn.IFS(RIGHT($D9,1)="H",$H$4,RIGHT($D9,1)="M",$H$3,RIGHT($D9,1)="L",$H$2),2)</f>
        <v>0</v>
      </c>
      <c r="Q9" s="544">
        <f t="shared" ref="Q9:S11" si="7">H9*0.6</f>
        <v>0</v>
      </c>
      <c r="R9" s="544">
        <f t="shared" si="7"/>
        <v>0</v>
      </c>
      <c r="S9" s="544">
        <f t="shared" si="7"/>
        <v>0</v>
      </c>
      <c r="T9" s="544">
        <f t="shared" ref="T9:AE9" si="8">H9*0.99</f>
        <v>0</v>
      </c>
      <c r="U9" s="544">
        <f t="shared" si="8"/>
        <v>0</v>
      </c>
      <c r="V9" s="544">
        <f t="shared" si="8"/>
        <v>0</v>
      </c>
      <c r="W9" s="544">
        <f t="shared" si="8"/>
        <v>0</v>
      </c>
      <c r="X9" s="544">
        <f t="shared" si="8"/>
        <v>0</v>
      </c>
      <c r="Y9" s="544">
        <f t="shared" si="8"/>
        <v>0</v>
      </c>
      <c r="Z9" s="544">
        <f t="shared" si="8"/>
        <v>0</v>
      </c>
      <c r="AA9" s="544">
        <f t="shared" si="8"/>
        <v>0</v>
      </c>
      <c r="AB9" s="544">
        <f t="shared" si="8"/>
        <v>0</v>
      </c>
      <c r="AC9" s="544">
        <f t="shared" si="8"/>
        <v>0</v>
      </c>
      <c r="AD9" s="544">
        <f t="shared" si="8"/>
        <v>0</v>
      </c>
      <c r="AE9" s="544">
        <f t="shared" si="8"/>
        <v>0</v>
      </c>
      <c r="AF9" s="544">
        <v>5</v>
      </c>
      <c r="AG9" s="544">
        <v>5</v>
      </c>
      <c r="AH9" s="544">
        <v>5</v>
      </c>
      <c r="AI9" s="534">
        <f t="shared" ref="AI9:AT9" si="9">AI10/2</f>
        <v>1.2849999999999999</v>
      </c>
      <c r="AJ9" s="534">
        <f t="shared" si="9"/>
        <v>0.67500000000000004</v>
      </c>
      <c r="AK9" s="534">
        <f t="shared" si="9"/>
        <v>0.67500000000000004</v>
      </c>
      <c r="AL9" s="534">
        <f>AL10/2</f>
        <v>1.40154</v>
      </c>
      <c r="AM9" s="534">
        <f t="shared" si="9"/>
        <v>0.74550000000000005</v>
      </c>
      <c r="AN9" s="534">
        <f t="shared" si="9"/>
        <v>0.73058999999999996</v>
      </c>
      <c r="AO9" s="534">
        <f t="shared" si="9"/>
        <v>1.335</v>
      </c>
      <c r="AP9" s="534">
        <f t="shared" si="9"/>
        <v>0.7</v>
      </c>
      <c r="AQ9" s="534">
        <f t="shared" si="9"/>
        <v>0.7</v>
      </c>
      <c r="AR9" s="534">
        <f t="shared" si="9"/>
        <v>1.24</v>
      </c>
      <c r="AS9" s="534">
        <f t="shared" si="9"/>
        <v>0.65</v>
      </c>
      <c r="AT9" s="534">
        <f t="shared" si="9"/>
        <v>0.65</v>
      </c>
      <c r="AU9" s="167">
        <v>1</v>
      </c>
      <c r="AV9" s="165">
        <v>1</v>
      </c>
      <c r="AW9" s="160"/>
      <c r="AX9" s="162"/>
      <c r="AY9" s="162"/>
      <c r="AZ9" s="199"/>
      <c r="BA9" s="542">
        <f t="shared" ref="BA9:BA36" si="10">H9*$AU$10*$AV$10</f>
        <v>0</v>
      </c>
      <c r="BB9" s="542">
        <f t="shared" ref="BB9:BB36" si="11">I9*$AU$10*$AV$10</f>
        <v>0</v>
      </c>
      <c r="BC9" s="542">
        <f t="shared" ref="BC9:BC36" si="12">J9*$AU$10*$AV$10</f>
        <v>0</v>
      </c>
      <c r="BD9" s="203">
        <f t="shared" ref="BD9:BF11" si="13">BA9/AI9</f>
        <v>0</v>
      </c>
      <c r="BE9" s="203">
        <f t="shared" si="13"/>
        <v>0</v>
      </c>
      <c r="BF9" s="203">
        <f t="shared" si="13"/>
        <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Commodities!$C$35&amp;","&amp;Commodities!$C$39&amp;","&amp;Commodities!$C$43&amp;","&amp;Commodities!$C$80&amp;","&amp;Commodities!C56</f>
        <v>RESHUDX,RESHUDB,RESHUDBE,RESHSAV,RESHUDSM</v>
      </c>
      <c r="E10" s="191" t="str">
        <f>E9</f>
        <v>RHUDB</v>
      </c>
      <c r="G10" s="191"/>
      <c r="H10" s="544" cm="1">
        <f t="array" ref="H10">ROUNDUP(INDEX(Dem!$F$41:$H$44,MATCH(Buildings_DR!$E10,Dem!$B$5:$B$8,0),MATCH(RIGHT(H$7,3),Dem!$F$1:$H$1,0))*_xlfn.IFS(RIGHT($D10,1)="H",$H$4,RIGHT($D10,1)="M",$H$3,RIGHT($D10,1)="L",$H$2),2)</f>
        <v>36.79</v>
      </c>
      <c r="I10" s="544" cm="1">
        <f t="array" ref="I10">ROUNDUP(INDEX(Dem!$F$41:$H$44,MATCH(Buildings_DR!$E10,Dem!$B$5:$B$8,0),MATCH(RIGHT(I$7,3),Dem!$F$1:$H$1,0))*_xlfn.IFS(RIGHT($D10,1)="H",$H$4,RIGHT($D10,1)="M",$H$3,RIGHT($D10,1)="L",$H$2),2)</f>
        <v>0.49</v>
      </c>
      <c r="J10" s="544" cm="1">
        <f t="array" ref="J10">ROUNDUP(INDEX(Dem!$F$41:$H$44,MATCH(Buildings_DR!$E10,Dem!$B$5:$B$8,0),MATCH(RIGHT(J$7,3),Dem!$F$1:$H$1,0))*_xlfn.IFS(RIGHT($D10,1)="H",$H$4,RIGHT($D10,1)="M",$H$3,RIGHT($D10,1)="L",$H$2),2)</f>
        <v>1.55</v>
      </c>
      <c r="K10" s="544" cm="1">
        <f t="array" ref="K10">ROUNDUP(INDEX(Dem!$F$45:$H$48,MATCH(Buildings_DR!$E10,Dem!$B$5:$B$8,0),MATCH(RIGHT(K$7,3),Dem!$F$1:$H$1,0))*_xlfn.IFS(RIGHT($D10,1)="H",$H$4,RIGHT($D10,1)="M",$H$3,RIGHT($D10,1)="L",$H$2),2)</f>
        <v>39.32</v>
      </c>
      <c r="L10" s="544" cm="1">
        <f t="array" ref="L10">ROUNDUP(INDEX(Dem!$F$45:$H$48,MATCH(Buildings_DR!$E10,Dem!$B$5:$B$8,0),MATCH(RIGHT(L$7,3),Dem!$F$1:$H$1,0))*_xlfn.IFS(RIGHT($D10,1)="H",$H$4,RIGHT($D10,1)="M",$H$3,RIGHT($D10,1)="L",$H$2),2)</f>
        <v>0.53</v>
      </c>
      <c r="M10" s="544" cm="1">
        <f t="array" ref="M10">ROUNDUP(INDEX(Dem!$F$45:$H$48,MATCH(Buildings_DR!$E10,Dem!$B$5:$B$8,0),MATCH(RIGHT(M$7,3),Dem!$F$1:$H$1,0))*_xlfn.IFS(RIGHT($D10,1)="H",$H$4,RIGHT($D10,1)="M",$H$3,RIGHT($D10,1)="L",$H$2),2)</f>
        <v>1.65</v>
      </c>
      <c r="N10" s="544" cm="1">
        <f t="array" ref="N10">ROUNDUP(INDEX(Dem!$F$49:$H$52,MATCH(Buildings_DR!$E10,Dem!$B$5:$B$8,0),MATCH(RIGHT(N$7,3),Dem!$F$1:$H$1,0))*_xlfn.IFS(RIGHT($D10,1)="H",$H$4,RIGHT($D10,1)="M",$H$3,RIGHT($D10,1)="L",$H$2),2)</f>
        <v>40.47</v>
      </c>
      <c r="O10" s="544" cm="1">
        <f t="array" ref="O10">ROUNDUP(INDEX(Dem!$F$49:$H$52,MATCH(Buildings_DR!$E10,Dem!$B$5:$B$8,0),MATCH(RIGHT(O$7,3),Dem!$F$1:$H$1,0))*_xlfn.IFS(RIGHT($D10,1)="H",$H$4,RIGHT($D10,1)="M",$H$3,RIGHT($D10,1)="L",$H$2),2)</f>
        <v>0.54</v>
      </c>
      <c r="P10" s="544" cm="1">
        <f t="array" ref="P10">ROUNDUP(INDEX(Dem!$F$49:$H$52,MATCH(Buildings_DR!$E10,Dem!$B$5:$B$8,0),MATCH(RIGHT(P$7,3),Dem!$F$1:$H$1,0))*_xlfn.IFS(RIGHT($D10,1)="H",$H$4,RIGHT($D10,1)="M",$H$3,RIGHT($D10,1)="L",$H$2),2)</f>
        <v>1.7</v>
      </c>
      <c r="Q10" s="544">
        <f t="shared" si="7"/>
        <v>22.073999999999998</v>
      </c>
      <c r="R10" s="544">
        <f t="shared" si="7"/>
        <v>0.29399999999999998</v>
      </c>
      <c r="S10" s="544">
        <f t="shared" si="7"/>
        <v>0.92999999999999994</v>
      </c>
      <c r="T10" s="544">
        <f t="shared" ref="T10:AB10" si="14">H10*$K$2</f>
        <v>36.4221</v>
      </c>
      <c r="U10" s="544">
        <f t="shared" si="14"/>
        <v>0.48509999999999998</v>
      </c>
      <c r="V10" s="544">
        <f t="shared" si="14"/>
        <v>1.5345</v>
      </c>
      <c r="W10" s="544">
        <f>K10*$K$2</f>
        <v>38.9268</v>
      </c>
      <c r="X10" s="544">
        <f t="shared" si="14"/>
        <v>0.52470000000000006</v>
      </c>
      <c r="Y10" s="544">
        <f t="shared" si="14"/>
        <v>1.6335</v>
      </c>
      <c r="Z10" s="544">
        <f t="shared" si="14"/>
        <v>40.065300000000001</v>
      </c>
      <c r="AA10" s="544">
        <f t="shared" si="14"/>
        <v>0.53460000000000008</v>
      </c>
      <c r="AB10" s="544">
        <f t="shared" si="14"/>
        <v>1.6830000000000001</v>
      </c>
      <c r="AC10" s="544">
        <f>Q10*$K$3</f>
        <v>21.853259999999999</v>
      </c>
      <c r="AD10" s="544">
        <f>R10*$K$3</f>
        <v>0.29105999999999999</v>
      </c>
      <c r="AE10" s="544">
        <f>S10*$K$3</f>
        <v>0.92069999999999996</v>
      </c>
      <c r="AF10" s="544">
        <v>5</v>
      </c>
      <c r="AG10" s="544">
        <v>5</v>
      </c>
      <c r="AH10" s="544">
        <v>5</v>
      </c>
      <c r="AI10" s="535">
        <f>ROUNDUP(SUM(H9:H15)/SUM(Boilers_DR!AB6:AB15),2)</f>
        <v>2.57</v>
      </c>
      <c r="AJ10" s="535">
        <f>ROUNDUP(SUM(I9:I15)/SUM(Boilers_DR!AC6:AC15),2)</f>
        <v>1.35</v>
      </c>
      <c r="AK10" s="535">
        <f>ROUNDUP(SUM(J9:J15)/SUM(Boilers_DR!AD6:AD15),2)</f>
        <v>1.35</v>
      </c>
      <c r="AL10" s="535">
        <f>ROUNDUP(SUM(K9:K15)/SUM(Boilers_DR!AB46:AB55),2)*AL3</f>
        <v>2.80308</v>
      </c>
      <c r="AM10" s="535">
        <f>ROUNDUP(SUM(L9:L15)/SUM(Boilers_DR!AC46:AC55),2)*AM3</f>
        <v>1.4910000000000001</v>
      </c>
      <c r="AN10" s="535">
        <f>ROUNDUP(SUM(M9:M15)/SUM(Boilers_DR!AD46:AD55),2)*AN3</f>
        <v>1.4611799999999999</v>
      </c>
      <c r="AO10" s="535">
        <f>ROUNDUP(SUM(N9:N15)/SUM(Boilers_DR!AB86:AB95),2)</f>
        <v>2.67</v>
      </c>
      <c r="AP10" s="535">
        <f>ROUNDUP(SUM(O9:O15)/SUM(Boilers_DR!AC86:AC95),2)</f>
        <v>1.4</v>
      </c>
      <c r="AQ10" s="535">
        <f>ROUNDUP(SUM(P9:P15)/SUM(Boilers_DR!AD86:AD95),2)</f>
        <v>1.4</v>
      </c>
      <c r="AR10" s="535">
        <f>ROUNDUP(SUM(N9:N15)/SUM(Boilers_DR!AB126:AB135),2)</f>
        <v>2.48</v>
      </c>
      <c r="AS10" s="535">
        <f>ROUNDUP(SUM(O9:O15)/SUM(Boilers_DR!AC126:AC135),2)</f>
        <v>1.3</v>
      </c>
      <c r="AT10" s="535">
        <f>ROUNDUP(SUM(P9:P15)/SUM(Boilers_DR!AD126:AD135),2)</f>
        <v>1.3</v>
      </c>
      <c r="AU10" s="163">
        <v>1</v>
      </c>
      <c r="AV10" s="162">
        <v>1</v>
      </c>
      <c r="AW10" s="160"/>
      <c r="AX10" s="162"/>
      <c r="AY10" s="162"/>
      <c r="AZ10" s="199"/>
      <c r="BA10" s="542">
        <f t="shared" si="10"/>
        <v>36.79</v>
      </c>
      <c r="BB10" s="542">
        <f t="shared" si="11"/>
        <v>0.49</v>
      </c>
      <c r="BC10" s="542">
        <f t="shared" si="12"/>
        <v>1.55</v>
      </c>
      <c r="BD10" s="543">
        <f t="shared" si="13"/>
        <v>14.315175097276265</v>
      </c>
      <c r="BE10" s="543">
        <f t="shared" si="13"/>
        <v>0.36296296296296293</v>
      </c>
      <c r="BF10" s="543">
        <f t="shared" si="13"/>
        <v>1.1481481481481481</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Commodities!$C$35&amp;","&amp;Commodities!$C$39&amp;","&amp;Commodities!$C$43&amp;","&amp;Commodities!$C$80&amp;","&amp;Commodities!C57</f>
        <v>RESHUDX,RESHUDB,RESHUDBE,RESHSAV,RESHUDSH</v>
      </c>
      <c r="E11" s="191" t="str">
        <f>E10</f>
        <v>RHUDB</v>
      </c>
      <c r="G11" s="191"/>
      <c r="H11" s="544" cm="1">
        <f t="array" ref="H11">ROUNDUP(INDEX(Dem!$F$41:$H$44,MATCH(Buildings_DR!$E11,Dem!$B$5:$B$8,0),MATCH(RIGHT(H$7,3),Dem!$F$1:$H$1,0))*_xlfn.IFS(RIGHT($D11,1)="H",$H$4,RIGHT($D11,1)="M",$H$3,RIGHT($D11,1)="L",$H$2),2)</f>
        <v>0</v>
      </c>
      <c r="I11" s="544" cm="1">
        <f t="array" ref="I11">ROUNDUP(INDEX(Dem!$F$41:$H$44,MATCH(Buildings_DR!$E11,Dem!$B$5:$B$8,0),MATCH(RIGHT(I$7,3),Dem!$F$1:$H$1,0))*_xlfn.IFS(RIGHT($D11,1)="H",$H$4,RIGHT($D11,1)="M",$H$3,RIGHT($D11,1)="L",$H$2),2)</f>
        <v>0</v>
      </c>
      <c r="J11" s="544" cm="1">
        <f t="array" ref="J11">ROUNDUP(INDEX(Dem!$F$41:$H$44,MATCH(Buildings_DR!$E11,Dem!$B$5:$B$8,0),MATCH(RIGHT(J$7,3),Dem!$F$1:$H$1,0))*_xlfn.IFS(RIGHT($D11,1)="H",$H$4,RIGHT($D11,1)="M",$H$3,RIGHT($D11,1)="L",$H$2),2)</f>
        <v>0</v>
      </c>
      <c r="K11" s="544" cm="1">
        <f t="array" ref="K11">ROUNDUP(INDEX(Dem!$F$45:$H$48,MATCH(Buildings_DR!$E11,Dem!$B$5:$B$8,0),MATCH(RIGHT(K$7,3),Dem!$F$1:$H$1,0))*_xlfn.IFS(RIGHT($D11,1)="H",$H$4,RIGHT($D11,1)="M",$H$3,RIGHT($D11,1)="L",$H$2),2)</f>
        <v>0</v>
      </c>
      <c r="L11" s="544" cm="1">
        <f t="array" ref="L11">ROUNDUP(INDEX(Dem!$F$45:$H$48,MATCH(Buildings_DR!$E11,Dem!$B$5:$B$8,0),MATCH(RIGHT(L$7,3),Dem!$F$1:$H$1,0))*_xlfn.IFS(RIGHT($D11,1)="H",$H$4,RIGHT($D11,1)="M",$H$3,RIGHT($D11,1)="L",$H$2),2)</f>
        <v>0</v>
      </c>
      <c r="M11" s="544" cm="1">
        <f t="array" ref="M11">ROUNDUP(INDEX(Dem!$F$45:$H$48,MATCH(Buildings_DR!$E11,Dem!$B$5:$B$8,0),MATCH(RIGHT(M$7,3),Dem!$F$1:$H$1,0))*_xlfn.IFS(RIGHT($D11,1)="H",$H$4,RIGHT($D11,1)="M",$H$3,RIGHT($D11,1)="L",$H$2),2)</f>
        <v>0</v>
      </c>
      <c r="N11" s="544" cm="1">
        <f t="array" ref="N11">ROUNDUP(INDEX(Dem!$F$49:$H$52,MATCH(Buildings_DR!$E11,Dem!$B$5:$B$8,0),MATCH(RIGHT(N$7,3),Dem!$F$1:$H$1,0))*_xlfn.IFS(RIGHT($D11,1)="H",$H$4,RIGHT($D11,1)="M",$H$3,RIGHT($D11,1)="L",$H$2),2)</f>
        <v>0</v>
      </c>
      <c r="O11" s="544" cm="1">
        <f t="array" ref="O11">ROUNDUP(INDEX(Dem!$F$49:$H$52,MATCH(Buildings_DR!$E11,Dem!$B$5:$B$8,0),MATCH(RIGHT(O$7,3),Dem!$F$1:$H$1,0))*_xlfn.IFS(RIGHT($D11,1)="H",$H$4,RIGHT($D11,1)="M",$H$3,RIGHT($D11,1)="L",$H$2),2)</f>
        <v>0</v>
      </c>
      <c r="P11" s="544" cm="1">
        <f t="array" ref="P11">ROUNDUP(INDEX(Dem!$F$49:$H$52,MATCH(Buildings_DR!$E11,Dem!$B$5:$B$8,0),MATCH(RIGHT(P$7,3),Dem!$F$1:$H$1,0))*_xlfn.IFS(RIGHT($D11,1)="H",$H$4,RIGHT($D11,1)="M",$H$3,RIGHT($D11,1)="L",$H$2),2)</f>
        <v>0</v>
      </c>
      <c r="Q11" s="544">
        <f t="shared" si="7"/>
        <v>0</v>
      </c>
      <c r="R11" s="544">
        <f t="shared" si="7"/>
        <v>0</v>
      </c>
      <c r="S11" s="544">
        <f t="shared" si="7"/>
        <v>0</v>
      </c>
      <c r="T11" s="544">
        <f t="shared" ref="T11:AE11" si="15">H11*0.99</f>
        <v>0</v>
      </c>
      <c r="U11" s="544">
        <f t="shared" si="15"/>
        <v>0</v>
      </c>
      <c r="V11" s="544">
        <f t="shared" si="15"/>
        <v>0</v>
      </c>
      <c r="W11" s="544">
        <f t="shared" si="15"/>
        <v>0</v>
      </c>
      <c r="X11" s="544">
        <f t="shared" si="15"/>
        <v>0</v>
      </c>
      <c r="Y11" s="544">
        <f t="shared" si="15"/>
        <v>0</v>
      </c>
      <c r="Z11" s="544">
        <f t="shared" si="15"/>
        <v>0</v>
      </c>
      <c r="AA11" s="544">
        <f t="shared" si="15"/>
        <v>0</v>
      </c>
      <c r="AB11" s="544">
        <f t="shared" si="15"/>
        <v>0</v>
      </c>
      <c r="AC11" s="544">
        <f t="shared" si="15"/>
        <v>0</v>
      </c>
      <c r="AD11" s="544">
        <f t="shared" si="15"/>
        <v>0</v>
      </c>
      <c r="AE11" s="544">
        <f t="shared" si="15"/>
        <v>0</v>
      </c>
      <c r="AF11" s="544">
        <v>5</v>
      </c>
      <c r="AG11" s="544">
        <v>5</v>
      </c>
      <c r="AH11" s="544">
        <v>5</v>
      </c>
      <c r="AI11" s="535">
        <f t="shared" ref="AI11:AQ11" si="16">AI10/2+AI12/2</f>
        <v>3.29</v>
      </c>
      <c r="AJ11" s="535">
        <f t="shared" si="16"/>
        <v>2.6799999999999997</v>
      </c>
      <c r="AK11" s="535">
        <f t="shared" si="16"/>
        <v>2.6799999999999997</v>
      </c>
      <c r="AL11" s="535">
        <f t="shared" si="16"/>
        <v>3.4065399999999997</v>
      </c>
      <c r="AM11" s="535">
        <f t="shared" si="16"/>
        <v>2.7504999999999997</v>
      </c>
      <c r="AN11" s="535">
        <f t="shared" si="16"/>
        <v>2.7355899999999997</v>
      </c>
      <c r="AO11" s="535">
        <f t="shared" si="16"/>
        <v>3.34</v>
      </c>
      <c r="AP11" s="535">
        <f t="shared" si="16"/>
        <v>2.7050000000000001</v>
      </c>
      <c r="AQ11" s="535">
        <f t="shared" si="16"/>
        <v>2.7050000000000001</v>
      </c>
      <c r="AR11" s="535">
        <f t="shared" ref="AR11:AT11" si="17">AR10/2+AR12/2</f>
        <v>3.2450000000000001</v>
      </c>
      <c r="AS11" s="535">
        <f t="shared" si="17"/>
        <v>2.6549999999999998</v>
      </c>
      <c r="AT11" s="535">
        <f t="shared" si="17"/>
        <v>2.6549999999999998</v>
      </c>
      <c r="AU11" s="163">
        <v>1</v>
      </c>
      <c r="AV11" s="162">
        <v>1</v>
      </c>
      <c r="AW11" s="162"/>
      <c r="AX11" s="162"/>
      <c r="AY11" s="162"/>
      <c r="AZ11" s="199"/>
      <c r="BA11" s="542">
        <f t="shared" si="10"/>
        <v>0</v>
      </c>
      <c r="BB11" s="542">
        <f t="shared" si="11"/>
        <v>0</v>
      </c>
      <c r="BC11" s="542">
        <f t="shared" si="12"/>
        <v>0</v>
      </c>
      <c r="BD11" s="543">
        <f t="shared" si="13"/>
        <v>0</v>
      </c>
      <c r="BE11" s="543">
        <f t="shared" si="13"/>
        <v>0</v>
      </c>
      <c r="BF11" s="543">
        <f t="shared" si="13"/>
        <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Commodities!$C$35&amp;","&amp;Commodities!$C$39&amp;","&amp;Commodities!$C$47</f>
        <v>RESHUDX,RESHUDB,RESHUDBN</v>
      </c>
      <c r="E12" s="191" t="str">
        <f>E11</f>
        <v>RHUDB</v>
      </c>
      <c r="F12" s="156">
        <v>2011</v>
      </c>
      <c r="G12" s="191">
        <v>2011</v>
      </c>
      <c r="H12" s="544"/>
      <c r="I12" s="544"/>
      <c r="J12" s="544"/>
      <c r="K12" s="544"/>
      <c r="L12" s="544"/>
      <c r="M12" s="544"/>
      <c r="N12" s="544"/>
      <c r="O12" s="544"/>
      <c r="P12" s="544"/>
      <c r="Q12" s="544"/>
      <c r="R12" s="544"/>
      <c r="S12" s="544"/>
      <c r="T12" s="544"/>
      <c r="U12" s="544"/>
      <c r="V12" s="544"/>
      <c r="W12" s="544"/>
      <c r="X12" s="544"/>
      <c r="Y12" s="544"/>
      <c r="Z12" s="544"/>
      <c r="AA12" s="544"/>
      <c r="AB12" s="544"/>
      <c r="AC12" s="544"/>
      <c r="AD12" s="544"/>
      <c r="AE12" s="544"/>
      <c r="AF12" s="544"/>
      <c r="AG12" s="544"/>
      <c r="AH12" s="544"/>
      <c r="AI12" s="536">
        <f>ROUND(Sources!$T$8,2)</f>
        <v>4.01</v>
      </c>
      <c r="AJ12" s="536">
        <f>ROUND(Sources!$T$8,2)</f>
        <v>4.01</v>
      </c>
      <c r="AK12" s="536">
        <f>ROUND(Sources!$T$8,2)</f>
        <v>4.01</v>
      </c>
      <c r="AL12" s="536">
        <f>ROUND(Sources!$T$8,2)</f>
        <v>4.01</v>
      </c>
      <c r="AM12" s="536">
        <f>ROUND(Sources!$T$8,2)</f>
        <v>4.01</v>
      </c>
      <c r="AN12" s="536">
        <f>ROUND(Sources!$T$8,2)</f>
        <v>4.01</v>
      </c>
      <c r="AO12" s="536">
        <f>ROUND(Sources!$T$8,2)</f>
        <v>4.01</v>
      </c>
      <c r="AP12" s="536">
        <f>ROUND(Sources!$T$8,2)</f>
        <v>4.01</v>
      </c>
      <c r="AQ12" s="536">
        <f>ROUND(Sources!$T$8,2)</f>
        <v>4.01</v>
      </c>
      <c r="AR12" s="536">
        <f>ROUND(Sources!$T$8,2)</f>
        <v>4.01</v>
      </c>
      <c r="AS12" s="536">
        <f>ROUND(Sources!$T$8,2)</f>
        <v>4.01</v>
      </c>
      <c r="AT12" s="536">
        <f>ROUND(Sources!$T$8,2)</f>
        <v>4.01</v>
      </c>
      <c r="AU12" s="163">
        <v>1</v>
      </c>
      <c r="AV12" s="168">
        <v>1</v>
      </c>
      <c r="AW12" s="162">
        <v>100</v>
      </c>
      <c r="AX12" s="162"/>
      <c r="BA12" s="542">
        <f t="shared" si="10"/>
        <v>0</v>
      </c>
      <c r="BB12" s="542">
        <f t="shared" si="11"/>
        <v>0</v>
      </c>
      <c r="BC12" s="542">
        <f t="shared" si="12"/>
        <v>0</v>
      </c>
      <c r="BD12" s="543">
        <f t="shared" ref="BD12:BF15" si="18">BA12/AI26</f>
        <v>0</v>
      </c>
      <c r="BE12" s="543">
        <f t="shared" si="18"/>
        <v>0</v>
      </c>
      <c r="BF12" s="543">
        <f t="shared" si="18"/>
        <v>0</v>
      </c>
      <c r="BH12" s="201"/>
      <c r="BI12" s="201"/>
      <c r="BJ12" s="201"/>
      <c r="BK12" s="201"/>
      <c r="BL12" s="201"/>
      <c r="BM12" s="201"/>
      <c r="BN12" s="201"/>
      <c r="BO12" s="201"/>
      <c r="BP12" s="201"/>
      <c r="BQ12" s="201"/>
      <c r="BR12" s="201"/>
    </row>
    <row r="13" spans="1:70">
      <c r="B13" s="162"/>
      <c r="C13" s="162"/>
      <c r="D13" s="568"/>
      <c r="E13" s="191"/>
      <c r="F13" s="156">
        <v>2016</v>
      </c>
      <c r="H13" s="544"/>
      <c r="I13" s="544"/>
      <c r="J13" s="544"/>
      <c r="K13" s="544"/>
      <c r="L13" s="544"/>
      <c r="M13" s="544"/>
      <c r="N13" s="544"/>
      <c r="O13" s="544"/>
      <c r="P13" s="544"/>
      <c r="Q13" s="544"/>
      <c r="R13" s="544"/>
      <c r="S13" s="544"/>
      <c r="T13" s="544"/>
      <c r="U13" s="544"/>
      <c r="V13" s="544"/>
      <c r="W13" s="544"/>
      <c r="X13" s="544"/>
      <c r="Y13" s="544"/>
      <c r="Z13" s="544"/>
      <c r="AA13" s="544"/>
      <c r="AB13" s="544"/>
      <c r="AC13" s="544"/>
      <c r="AD13" s="544"/>
      <c r="AE13" s="544"/>
      <c r="AF13" s="544"/>
      <c r="AG13" s="544"/>
      <c r="AH13" s="544"/>
      <c r="AI13" s="536">
        <f>ROUND(Sources!$T$9,2)</f>
        <v>4.75</v>
      </c>
      <c r="AJ13" s="536">
        <f>ROUND(Sources!$T$9,2)</f>
        <v>4.75</v>
      </c>
      <c r="AK13" s="536">
        <f>ROUND(Sources!$T$9,2)</f>
        <v>4.75</v>
      </c>
      <c r="AL13" s="536">
        <f>ROUND(Sources!$T$9,2)</f>
        <v>4.75</v>
      </c>
      <c r="AM13" s="536">
        <f>ROUND(Sources!$T$9,2)</f>
        <v>4.75</v>
      </c>
      <c r="AN13" s="536">
        <f>ROUND(Sources!$T$9,2)</f>
        <v>4.75</v>
      </c>
      <c r="AO13" s="536">
        <f>ROUND(Sources!$T$9,2)</f>
        <v>4.75</v>
      </c>
      <c r="AP13" s="536">
        <f>ROUND(Sources!$T$9,2)</f>
        <v>4.75</v>
      </c>
      <c r="AQ13" s="536">
        <f>ROUND(Sources!$T$9,2)</f>
        <v>4.75</v>
      </c>
      <c r="AR13" s="536">
        <f>ROUND(Sources!$T$9,2)</f>
        <v>4.75</v>
      </c>
      <c r="AS13" s="536">
        <f>ROUND(Sources!$T$9,2)</f>
        <v>4.75</v>
      </c>
      <c r="AT13" s="536">
        <f>ROUND(Sources!$T$9,2)</f>
        <v>4.75</v>
      </c>
      <c r="AU13" s="163">
        <v>1</v>
      </c>
      <c r="AV13" s="168">
        <v>1</v>
      </c>
      <c r="AW13" s="162">
        <v>100</v>
      </c>
      <c r="AX13" s="162"/>
      <c r="BA13" s="542">
        <f t="shared" si="10"/>
        <v>0</v>
      </c>
      <c r="BB13" s="542">
        <f t="shared" si="11"/>
        <v>0</v>
      </c>
      <c r="BC13" s="542">
        <f t="shared" si="12"/>
        <v>0</v>
      </c>
      <c r="BD13" s="543">
        <f t="shared" si="18"/>
        <v>0</v>
      </c>
      <c r="BE13" s="543">
        <f t="shared" si="18"/>
        <v>0</v>
      </c>
      <c r="BF13" s="543">
        <f t="shared" si="18"/>
        <v>0</v>
      </c>
      <c r="BH13" s="201"/>
      <c r="BI13" s="201"/>
      <c r="BJ13" s="201"/>
      <c r="BK13" s="201"/>
      <c r="BL13" s="201"/>
      <c r="BM13" s="201"/>
      <c r="BN13" s="201"/>
      <c r="BO13" s="201"/>
      <c r="BP13" s="201"/>
      <c r="BQ13" s="201"/>
      <c r="BR13" s="201"/>
    </row>
    <row r="14" spans="1:70">
      <c r="B14" s="162"/>
      <c r="C14" s="162"/>
      <c r="D14" s="568"/>
      <c r="E14" s="191"/>
      <c r="F14" s="156">
        <v>2021</v>
      </c>
      <c r="H14" s="544"/>
      <c r="I14" s="544"/>
      <c r="J14" s="544"/>
      <c r="K14" s="544"/>
      <c r="L14" s="544"/>
      <c r="M14" s="544"/>
      <c r="N14" s="544"/>
      <c r="O14" s="544"/>
      <c r="P14" s="544"/>
      <c r="Q14" s="544"/>
      <c r="R14" s="544"/>
      <c r="S14" s="544"/>
      <c r="T14" s="544"/>
      <c r="U14" s="544"/>
      <c r="V14" s="544"/>
      <c r="W14" s="544"/>
      <c r="X14" s="544"/>
      <c r="Y14" s="544"/>
      <c r="Z14" s="544"/>
      <c r="AA14" s="544"/>
      <c r="AB14" s="544"/>
      <c r="AC14" s="544"/>
      <c r="AD14" s="544"/>
      <c r="AE14" s="544"/>
      <c r="AF14" s="544"/>
      <c r="AG14" s="544"/>
      <c r="AH14" s="544"/>
      <c r="AI14" s="536">
        <f>ROUND(Sources!$T$10,2)</f>
        <v>6.08</v>
      </c>
      <c r="AJ14" s="536">
        <f>ROUND(Sources!$T$10,2)</f>
        <v>6.08</v>
      </c>
      <c r="AK14" s="536">
        <f>ROUND(Sources!$T$10,2)</f>
        <v>6.08</v>
      </c>
      <c r="AL14" s="536">
        <f>ROUND(Sources!$T$10,2)</f>
        <v>6.08</v>
      </c>
      <c r="AM14" s="536">
        <f>ROUND(Sources!$T$10,2)</f>
        <v>6.08</v>
      </c>
      <c r="AN14" s="536">
        <f>ROUND(Sources!$T$10,2)</f>
        <v>6.08</v>
      </c>
      <c r="AO14" s="536">
        <f>ROUND(Sources!$T$10,2)</f>
        <v>6.08</v>
      </c>
      <c r="AP14" s="536">
        <f>ROUND(Sources!$T$10,2)</f>
        <v>6.08</v>
      </c>
      <c r="AQ14" s="536">
        <f>ROUND(Sources!$T$10,2)</f>
        <v>6.08</v>
      </c>
      <c r="AR14" s="536">
        <f>ROUND(Sources!$T$10,2)</f>
        <v>6.08</v>
      </c>
      <c r="AS14" s="536">
        <f>ROUND(Sources!$T$10,2)</f>
        <v>6.08</v>
      </c>
      <c r="AT14" s="536">
        <f>ROUND(Sources!$T$10,2)</f>
        <v>6.08</v>
      </c>
      <c r="AU14" s="163">
        <v>1</v>
      </c>
      <c r="AV14" s="168">
        <v>1</v>
      </c>
      <c r="AW14" s="162">
        <v>100</v>
      </c>
      <c r="AX14" s="162"/>
      <c r="BA14" s="542">
        <f t="shared" si="10"/>
        <v>0</v>
      </c>
      <c r="BB14" s="542">
        <f t="shared" si="11"/>
        <v>0</v>
      </c>
      <c r="BC14" s="542">
        <f t="shared" si="12"/>
        <v>0</v>
      </c>
      <c r="BD14" s="543">
        <f t="shared" si="18"/>
        <v>0</v>
      </c>
      <c r="BE14" s="543">
        <f t="shared" si="18"/>
        <v>0</v>
      </c>
      <c r="BF14" s="543">
        <f t="shared" si="18"/>
        <v>0</v>
      </c>
      <c r="BH14" s="201"/>
      <c r="BI14" s="201"/>
      <c r="BJ14" s="201"/>
      <c r="BK14" s="201"/>
      <c r="BL14" s="201"/>
      <c r="BM14" s="201"/>
      <c r="BN14" s="201"/>
      <c r="BO14" s="201"/>
      <c r="BP14" s="201"/>
      <c r="BQ14" s="201"/>
      <c r="BR14" s="201"/>
    </row>
    <row r="15" spans="1:70" ht="14" thickBot="1">
      <c r="B15" s="162"/>
      <c r="C15" s="162"/>
      <c r="D15" s="568"/>
      <c r="E15" s="212"/>
      <c r="F15" s="164">
        <v>2031</v>
      </c>
      <c r="G15" s="164"/>
      <c r="H15" s="545"/>
      <c r="I15" s="545"/>
      <c r="J15" s="545"/>
      <c r="K15" s="545"/>
      <c r="L15" s="545"/>
      <c r="M15" s="545"/>
      <c r="N15" s="545"/>
      <c r="O15" s="545"/>
      <c r="P15" s="545"/>
      <c r="Q15" s="544"/>
      <c r="R15" s="544"/>
      <c r="S15" s="544"/>
      <c r="T15" s="544"/>
      <c r="U15" s="544"/>
      <c r="V15" s="544"/>
      <c r="W15" s="544"/>
      <c r="X15" s="544"/>
      <c r="Y15" s="544"/>
      <c r="Z15" s="544"/>
      <c r="AA15" s="544"/>
      <c r="AB15" s="544"/>
      <c r="AC15" s="544"/>
      <c r="AD15" s="544"/>
      <c r="AE15" s="544"/>
      <c r="AF15" s="544"/>
      <c r="AG15" s="544"/>
      <c r="AH15" s="544"/>
      <c r="AI15" s="536">
        <f>ROUND(Sources!$T$11,2)</f>
        <v>6.94</v>
      </c>
      <c r="AJ15" s="536">
        <f>ROUND(Sources!$T$11,2)</f>
        <v>6.94</v>
      </c>
      <c r="AK15" s="536">
        <f>ROUND(Sources!$T$11,2)</f>
        <v>6.94</v>
      </c>
      <c r="AL15" s="536">
        <f>ROUND(Sources!$T$11,2)</f>
        <v>6.94</v>
      </c>
      <c r="AM15" s="536">
        <f>ROUND(Sources!$T$11,2)</f>
        <v>6.94</v>
      </c>
      <c r="AN15" s="536">
        <f>ROUND(Sources!$T$11,2)</f>
        <v>6.94</v>
      </c>
      <c r="AO15" s="536">
        <f>ROUND(Sources!$T$11,2)</f>
        <v>6.94</v>
      </c>
      <c r="AP15" s="536">
        <f>ROUND(Sources!$T$11,2)</f>
        <v>6.94</v>
      </c>
      <c r="AQ15" s="536">
        <f>ROUND(Sources!$T$11,2)</f>
        <v>6.94</v>
      </c>
      <c r="AR15" s="536">
        <f>ROUND(Sources!$T$11,2)</f>
        <v>6.94</v>
      </c>
      <c r="AS15" s="536">
        <f>ROUND(Sources!$T$11,2)</f>
        <v>6.94</v>
      </c>
      <c r="AT15" s="536">
        <f>ROUND(Sources!$T$11,2)</f>
        <v>6.94</v>
      </c>
      <c r="AU15" s="163">
        <v>1</v>
      </c>
      <c r="AV15" s="168">
        <v>1</v>
      </c>
      <c r="AW15" s="162">
        <v>100</v>
      </c>
      <c r="AX15" s="162"/>
      <c r="BA15" s="542">
        <f t="shared" si="10"/>
        <v>0</v>
      </c>
      <c r="BB15" s="542">
        <f t="shared" si="11"/>
        <v>0</v>
      </c>
      <c r="BC15" s="542">
        <f t="shared" si="12"/>
        <v>0</v>
      </c>
      <c r="BD15" s="543">
        <f t="shared" si="18"/>
        <v>0</v>
      </c>
      <c r="BE15" s="543">
        <f t="shared" si="18"/>
        <v>0</v>
      </c>
      <c r="BF15" s="543">
        <f t="shared" si="18"/>
        <v>0</v>
      </c>
      <c r="BH15" s="201"/>
      <c r="BI15" s="201"/>
      <c r="BJ15" s="201"/>
      <c r="BK15" s="201"/>
      <c r="BL15" s="201"/>
      <c r="BM15" s="201"/>
      <c r="BN15" s="201"/>
      <c r="BO15" s="201"/>
      <c r="BP15" s="201"/>
      <c r="BQ15" s="201"/>
      <c r="BR15" s="201"/>
    </row>
    <row r="16" spans="1:70" ht="15" thickBot="1">
      <c r="B16" s="165" t="str">
        <f>Processes!D11</f>
        <v>RDHRDL</v>
      </c>
      <c r="C16" s="165" t="str">
        <f>Processes!E11</f>
        <v xml:space="preserve">Residential Demand Heating Rural Detached -  - Low </v>
      </c>
      <c r="D16" s="127" t="str">
        <f>Commodities!$C$36&amp;","&amp;Commodities!$C$40&amp;","&amp;Commodities!$C$44&amp;","&amp;Commodities!$C$80&amp;","&amp;Commodities!C58</f>
        <v>RESHRDX,RESHRDB,RESHRDBE,RESHSAV,RESHRDSL</v>
      </c>
      <c r="E16" s="7" t="str">
        <f>Commodities!C8</f>
        <v>RHRDB</v>
      </c>
      <c r="G16" s="166"/>
      <c r="H16" s="544" cm="1">
        <f t="array" ref="H16">ROUNDUP(INDEX(Dem!$F$41:$H$44,MATCH(Buildings_DR!$E16,Dem!$B$5:$B$8,0),MATCH(RIGHT(H$7,3),Dem!$F$1:$H$1,0))*_xlfn.IFS(RIGHT($D16,1)="H",$H$4,RIGHT($D16,1)="M",$H$3,RIGHT($D16,1)="L",$H$2),2)</f>
        <v>0</v>
      </c>
      <c r="I16" s="544" cm="1">
        <f t="array" ref="I16">ROUNDUP(INDEX(Dem!$F$41:$H$44,MATCH(Buildings_DR!$E16,Dem!$B$5:$B$8,0),MATCH(RIGHT(I$7,3),Dem!$F$1:$H$1,0))*_xlfn.IFS(RIGHT($D16,1)="H",$H$4,RIGHT($D16,1)="M",$H$3,RIGHT($D16,1)="L",$H$2),2)</f>
        <v>0</v>
      </c>
      <c r="J16" s="544" cm="1">
        <f t="array" ref="J16">ROUNDUP(INDEX(Dem!$F$41:$H$44,MATCH(Buildings_DR!$E16,Dem!$B$5:$B$8,0),MATCH(RIGHT(J$7,3),Dem!$F$1:$H$1,0))*_xlfn.IFS(RIGHT($D16,1)="H",$H$4,RIGHT($D16,1)="M",$H$3,RIGHT($D16,1)="L",$H$2),2)</f>
        <v>0</v>
      </c>
      <c r="K16" s="544" cm="1">
        <f t="array" ref="K16">ROUNDUP(INDEX(Dem!$F$45:$H$48,MATCH(Buildings_DR!$E16,Dem!$B$5:$B$8,0),MATCH(RIGHT(K$7,3),Dem!$F$1:$H$1,0))*_xlfn.IFS(RIGHT($D16,1)="H",$H$4,RIGHT($D16,1)="M",$H$3,RIGHT($D16,1)="L",$H$2),2)</f>
        <v>0</v>
      </c>
      <c r="L16" s="544" cm="1">
        <f t="array" ref="L16">ROUNDUP(INDEX(Dem!$F$45:$H$48,MATCH(Buildings_DR!$E16,Dem!$B$5:$B$8,0),MATCH(RIGHT(L$7,3),Dem!$F$1:$H$1,0))*_xlfn.IFS(RIGHT($D16,1)="H",$H$4,RIGHT($D16,1)="M",$H$3,RIGHT($D16,1)="L",$H$2),2)</f>
        <v>0</v>
      </c>
      <c r="M16" s="544" cm="1">
        <f t="array" ref="M16">ROUNDUP(INDEX(Dem!$F$45:$H$48,MATCH(Buildings_DR!$E16,Dem!$B$5:$B$8,0),MATCH(RIGHT(M$7,3),Dem!$F$1:$H$1,0))*_xlfn.IFS(RIGHT($D16,1)="H",$H$4,RIGHT($D16,1)="M",$H$3,RIGHT($D16,1)="L",$H$2),2)</f>
        <v>0</v>
      </c>
      <c r="N16" s="544" cm="1">
        <f t="array" ref="N16">ROUNDUP(INDEX(Dem!$F$49:$H$52,MATCH(Buildings_DR!$E16,Dem!$B$5:$B$8,0),MATCH(RIGHT(N$7,3),Dem!$F$1:$H$1,0))*_xlfn.IFS(RIGHT($D16,1)="H",$H$4,RIGHT($D16,1)="M",$H$3,RIGHT($D16,1)="L",$H$2),2)</f>
        <v>0</v>
      </c>
      <c r="O16" s="544" cm="1">
        <f t="array" ref="O16">ROUNDUP(INDEX(Dem!$F$49:$H$52,MATCH(Buildings_DR!$E16,Dem!$B$5:$B$8,0),MATCH(RIGHT(O$7,3),Dem!$F$1:$H$1,0))*_xlfn.IFS(RIGHT($D16,1)="H",$H$4,RIGHT($D16,1)="M",$H$3,RIGHT($D16,1)="L",$H$2),2)</f>
        <v>0</v>
      </c>
      <c r="P16" s="544" cm="1">
        <f t="array" ref="P16">ROUNDUP(INDEX(Dem!$F$49:$H$52,MATCH(Buildings_DR!$E16,Dem!$B$5:$B$8,0),MATCH(RIGHT(P$7,3),Dem!$F$1:$H$1,0))*_xlfn.IFS(RIGHT($D16,1)="H",$H$4,RIGHT($D16,1)="M",$H$3,RIGHT($D16,1)="L",$H$2),2)</f>
        <v>0</v>
      </c>
      <c r="Q16" s="544">
        <f t="shared" ref="Q16:S18" si="19">H16*0.6</f>
        <v>0</v>
      </c>
      <c r="R16" s="544">
        <f t="shared" si="19"/>
        <v>0</v>
      </c>
      <c r="S16" s="544">
        <f t="shared" si="19"/>
        <v>0</v>
      </c>
      <c r="T16" s="544">
        <f t="shared" ref="T16:AE16" si="20">H16*0.99</f>
        <v>0</v>
      </c>
      <c r="U16" s="544">
        <f t="shared" si="20"/>
        <v>0</v>
      </c>
      <c r="V16" s="544">
        <f t="shared" si="20"/>
        <v>0</v>
      </c>
      <c r="W16" s="544">
        <f t="shared" si="20"/>
        <v>0</v>
      </c>
      <c r="X16" s="544">
        <f t="shared" si="20"/>
        <v>0</v>
      </c>
      <c r="Y16" s="544">
        <f t="shared" si="20"/>
        <v>0</v>
      </c>
      <c r="Z16" s="544">
        <f t="shared" si="20"/>
        <v>0</v>
      </c>
      <c r="AA16" s="544">
        <f t="shared" si="20"/>
        <v>0</v>
      </c>
      <c r="AB16" s="544">
        <f t="shared" si="20"/>
        <v>0</v>
      </c>
      <c r="AC16" s="544">
        <f t="shared" si="20"/>
        <v>0</v>
      </c>
      <c r="AD16" s="544">
        <f t="shared" si="20"/>
        <v>0</v>
      </c>
      <c r="AE16" s="544">
        <f t="shared" si="20"/>
        <v>0</v>
      </c>
      <c r="AF16" s="544">
        <v>5</v>
      </c>
      <c r="AG16" s="544">
        <v>5</v>
      </c>
      <c r="AH16" s="544">
        <v>5</v>
      </c>
      <c r="AI16" s="534">
        <f t="shared" ref="AI16:AT16" si="21">AI17/2</f>
        <v>1.0599999999999998</v>
      </c>
      <c r="AJ16" s="534">
        <f t="shared" si="21"/>
        <v>1.7249999999999999</v>
      </c>
      <c r="AK16" s="534">
        <f t="shared" si="21"/>
        <v>1.7249999999999999</v>
      </c>
      <c r="AL16" s="534">
        <f t="shared" si="21"/>
        <v>1.1580099999999998</v>
      </c>
      <c r="AM16" s="534">
        <f t="shared" si="21"/>
        <v>1.8836299999999997</v>
      </c>
      <c r="AN16" s="534">
        <f t="shared" si="21"/>
        <v>1.8836299999999997</v>
      </c>
      <c r="AO16" s="534">
        <f t="shared" si="21"/>
        <v>1.0999999999999999</v>
      </c>
      <c r="AP16" s="534">
        <f t="shared" si="21"/>
        <v>1.7899999999999998</v>
      </c>
      <c r="AQ16" s="534">
        <f t="shared" si="21"/>
        <v>1.7899999999999998</v>
      </c>
      <c r="AR16" s="534">
        <f t="shared" si="21"/>
        <v>1.0249999999999999</v>
      </c>
      <c r="AS16" s="534">
        <f t="shared" si="21"/>
        <v>1.66</v>
      </c>
      <c r="AT16" s="534">
        <f t="shared" si="21"/>
        <v>1.66</v>
      </c>
      <c r="AU16" s="167">
        <v>1</v>
      </c>
      <c r="AV16" s="165">
        <v>1</v>
      </c>
      <c r="AW16" s="160"/>
      <c r="AX16" s="162"/>
      <c r="AY16" s="162"/>
      <c r="AZ16" s="199"/>
      <c r="BA16" s="542">
        <f t="shared" si="10"/>
        <v>0</v>
      </c>
      <c r="BB16" s="542">
        <f t="shared" si="11"/>
        <v>0</v>
      </c>
      <c r="BC16" s="542">
        <f t="shared" si="12"/>
        <v>0</v>
      </c>
      <c r="BD16" s="543">
        <f t="shared" ref="BD16:BD25" si="22">BA16/AI16</f>
        <v>0</v>
      </c>
      <c r="BE16" s="543">
        <f t="shared" ref="BE16:BE25" si="23">BB16/AJ16</f>
        <v>0</v>
      </c>
      <c r="BF16" s="543">
        <f t="shared" ref="BF16:BF25" si="24">BC16/AK16</f>
        <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Commodities!$C$36&amp;","&amp;Commodities!$C$40&amp;","&amp;Commodities!$C$44&amp;","&amp;Commodities!$C$80&amp;","&amp;Commodities!C59</f>
        <v>RESHRDX,RESHRDB,RESHRDBE,RESHSAV,RESHRDSM</v>
      </c>
      <c r="E17" s="191" t="str">
        <f>E16</f>
        <v>RHRDB</v>
      </c>
      <c r="G17" s="191"/>
      <c r="H17" s="544" cm="1">
        <f t="array" ref="H17">ROUNDUP(INDEX(Dem!$F$41:$H$44,MATCH(Buildings_DR!$E17,Dem!$B$5:$B$8,0),MATCH(RIGHT(H$7,3),Dem!$F$1:$H$1,0))*_xlfn.IFS(RIGHT($D17,1)="H",$H$4,RIGHT($D17,1)="M",$H$3,RIGHT($D17,1)="L",$H$2),2)</f>
        <v>59.69</v>
      </c>
      <c r="I17" s="544" cm="1">
        <f t="array" ref="I17">ROUNDUP(INDEX(Dem!$F$41:$H$44,MATCH(Buildings_DR!$E17,Dem!$B$5:$B$8,0),MATCH(RIGHT(I$7,3),Dem!$F$1:$H$1,0))*_xlfn.IFS(RIGHT($D17,1)="H",$H$4,RIGHT($D17,1)="M",$H$3,RIGHT($D17,1)="L",$H$2),2)</f>
        <v>2.4699999999999998</v>
      </c>
      <c r="J17" s="544" cm="1">
        <f t="array" ref="J17">ROUNDUP(INDEX(Dem!$F$41:$H$44,MATCH(Buildings_DR!$E17,Dem!$B$5:$B$8,0),MATCH(RIGHT(J$7,3),Dem!$F$1:$H$1,0))*_xlfn.IFS(RIGHT($D17,1)="H",$H$4,RIGHT($D17,1)="M",$H$3,RIGHT($D17,1)="L",$H$2),2)</f>
        <v>7.81</v>
      </c>
      <c r="K17" s="544" cm="1">
        <f t="array" ref="K17">ROUNDUP(INDEX(Dem!$F$45:$H$48,MATCH(Buildings_DR!$E17,Dem!$B$5:$B$8,0),MATCH(RIGHT(K$7,3),Dem!$F$1:$H$1,0))*_xlfn.IFS(RIGHT($D17,1)="H",$H$4,RIGHT($D17,1)="M",$H$3,RIGHT($D17,1)="L",$H$2),2)</f>
        <v>63.79</v>
      </c>
      <c r="L17" s="544" cm="1">
        <f t="array" ref="L17">ROUNDUP(INDEX(Dem!$F$45:$H$48,MATCH(Buildings_DR!$E17,Dem!$B$5:$B$8,0),MATCH(RIGHT(L$7,3),Dem!$F$1:$H$1,0))*_xlfn.IFS(RIGHT($D17,1)="H",$H$4,RIGHT($D17,1)="M",$H$3,RIGHT($D17,1)="L",$H$2),2)</f>
        <v>2.6399999999999997</v>
      </c>
      <c r="M17" s="544" cm="1">
        <f t="array" ref="M17">ROUNDUP(INDEX(Dem!$F$45:$H$48,MATCH(Buildings_DR!$E17,Dem!$B$5:$B$8,0),MATCH(RIGHT(M$7,3),Dem!$F$1:$H$1,0))*_xlfn.IFS(RIGHT($D17,1)="H",$H$4,RIGHT($D17,1)="M",$H$3,RIGHT($D17,1)="L",$H$2),2)</f>
        <v>8.35</v>
      </c>
      <c r="N17" s="544" cm="1">
        <f t="array" ref="N17">ROUNDUP(INDEX(Dem!$F$49:$H$52,MATCH(Buildings_DR!$E17,Dem!$B$5:$B$8,0),MATCH(RIGHT(N$7,3),Dem!$F$1:$H$1,0))*_xlfn.IFS(RIGHT($D17,1)="H",$H$4,RIGHT($D17,1)="M",$H$3,RIGHT($D17,1)="L",$H$2),2)</f>
        <v>65.650000000000006</v>
      </c>
      <c r="O17" s="544" cm="1">
        <f t="array" ref="O17">ROUNDUP(INDEX(Dem!$F$49:$H$52,MATCH(Buildings_DR!$E17,Dem!$B$5:$B$8,0),MATCH(RIGHT(O$7,3),Dem!$F$1:$H$1,0))*_xlfn.IFS(RIGHT($D17,1)="H",$H$4,RIGHT($D17,1)="M",$H$3,RIGHT($D17,1)="L",$H$2),2)</f>
        <v>2.71</v>
      </c>
      <c r="P17" s="544" cm="1">
        <f t="array" ref="P17">ROUNDUP(INDEX(Dem!$F$49:$H$52,MATCH(Buildings_DR!$E17,Dem!$B$5:$B$8,0),MATCH(RIGHT(P$7,3),Dem!$F$1:$H$1,0))*_xlfn.IFS(RIGHT($D17,1)="H",$H$4,RIGHT($D17,1)="M",$H$3,RIGHT($D17,1)="L",$H$2),2)</f>
        <v>8.59</v>
      </c>
      <c r="Q17" s="544">
        <f t="shared" si="19"/>
        <v>35.814</v>
      </c>
      <c r="R17" s="544">
        <f t="shared" si="19"/>
        <v>1.4819999999999998</v>
      </c>
      <c r="S17" s="544">
        <f t="shared" si="19"/>
        <v>4.6859999999999999</v>
      </c>
      <c r="T17" s="544">
        <f t="shared" ref="T17:AB17" si="25">H17*$K$2</f>
        <v>59.0931</v>
      </c>
      <c r="U17" s="544">
        <f t="shared" si="25"/>
        <v>2.4452999999999996</v>
      </c>
      <c r="V17" s="544">
        <f t="shared" si="25"/>
        <v>7.7318999999999996</v>
      </c>
      <c r="W17" s="544">
        <f t="shared" si="25"/>
        <v>63.152099999999997</v>
      </c>
      <c r="X17" s="544">
        <f t="shared" si="25"/>
        <v>2.6135999999999995</v>
      </c>
      <c r="Y17" s="544">
        <f t="shared" si="25"/>
        <v>8.2664999999999988</v>
      </c>
      <c r="Z17" s="544">
        <f t="shared" si="25"/>
        <v>64.993500000000012</v>
      </c>
      <c r="AA17" s="544">
        <f t="shared" si="25"/>
        <v>2.6829000000000001</v>
      </c>
      <c r="AB17" s="544">
        <f t="shared" si="25"/>
        <v>8.5040999999999993</v>
      </c>
      <c r="AC17" s="544">
        <f>Q17*$K$3</f>
        <v>35.455860000000001</v>
      </c>
      <c r="AD17" s="544">
        <f>R17*$K$3</f>
        <v>1.4671799999999997</v>
      </c>
      <c r="AE17" s="544">
        <f>S17*$K$3</f>
        <v>4.6391400000000003</v>
      </c>
      <c r="AF17" s="544">
        <v>5</v>
      </c>
      <c r="AG17" s="544">
        <v>5</v>
      </c>
      <c r="AH17" s="544">
        <v>5</v>
      </c>
      <c r="AI17" s="535">
        <f>ROUNDUP(SUM(H16:H22)/SUM(Boilers_DR!AB16:AB25),2)</f>
        <v>2.1199999999999997</v>
      </c>
      <c r="AJ17" s="535">
        <f>ROUNDUP(SUM(I16:I22)/SUM(Boilers_DR!AC16:AC25),2)</f>
        <v>3.4499999999999997</v>
      </c>
      <c r="AK17" s="535">
        <f>ROUNDUP(SUM(J16:J22)/SUM(Boilers_DR!AD16:AD25),2)</f>
        <v>3.4499999999999997</v>
      </c>
      <c r="AL17" s="535">
        <f>ROUNDUP(SUM(K16:K22)/SUM(Boilers_DR!AB56:AB65),2)*AL3</f>
        <v>2.3160199999999995</v>
      </c>
      <c r="AM17" s="535">
        <f>ROUNDUP(SUM(L16:L22)/SUM(Boilers_DR!AC56:AC65),2)*AM3</f>
        <v>3.7672599999999994</v>
      </c>
      <c r="AN17" s="535">
        <f>ROUNDUP(SUM(M16:M22)/SUM(Boilers_DR!AD56:AD65),2)*AN3</f>
        <v>3.7672599999999994</v>
      </c>
      <c r="AO17" s="535">
        <f>ROUNDUP(SUM(N16:N22)/SUM(Boilers_DR!AB96:AB105),2)</f>
        <v>2.1999999999999997</v>
      </c>
      <c r="AP17" s="535">
        <f>ROUNDUP(SUM(O16:O22)/SUM(Boilers_DR!AC96:AC105),2)</f>
        <v>3.5799999999999996</v>
      </c>
      <c r="AQ17" s="535">
        <f>ROUNDUP(SUM(P16:P22)/SUM(Boilers_DR!AD96:AD105),2)</f>
        <v>3.5799999999999996</v>
      </c>
      <c r="AR17" s="535">
        <f>ROUNDUP(SUM(N16:N22)/SUM(Boilers_DR!AB136:AB145),2)</f>
        <v>2.0499999999999998</v>
      </c>
      <c r="AS17" s="535">
        <f>ROUNDUP(SUM(O16:O22)/SUM(Boilers_DR!AC136:AC145),2)</f>
        <v>3.32</v>
      </c>
      <c r="AT17" s="535">
        <f>ROUNDUP(SUM(P16:P22)/SUM(Boilers_DR!AD136:AD145),2)</f>
        <v>3.32</v>
      </c>
      <c r="AU17" s="163">
        <v>1</v>
      </c>
      <c r="AV17" s="162">
        <v>1</v>
      </c>
      <c r="AW17" s="160"/>
      <c r="AX17" s="162"/>
      <c r="AY17" s="162"/>
      <c r="AZ17" s="199"/>
      <c r="BA17" s="542">
        <f t="shared" si="10"/>
        <v>59.69</v>
      </c>
      <c r="BB17" s="542">
        <f t="shared" si="11"/>
        <v>2.4699999999999998</v>
      </c>
      <c r="BC17" s="542">
        <f t="shared" si="12"/>
        <v>7.81</v>
      </c>
      <c r="BD17" s="543">
        <f t="shared" si="22"/>
        <v>28.155660377358494</v>
      </c>
      <c r="BE17" s="543">
        <f t="shared" si="23"/>
        <v>0.71594202898550718</v>
      </c>
      <c r="BF17" s="543">
        <f t="shared" si="24"/>
        <v>2.2637681159420291</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Commodities!$C$36&amp;","&amp;Commodities!$C$40&amp;","&amp;Commodities!$C$44&amp;","&amp;Commodities!$C$80&amp;","&amp;Commodities!C60</f>
        <v>RESHRDX,RESHRDB,RESHRDBE,RESHSAV,RESHRDSH</v>
      </c>
      <c r="E18" s="191" t="str">
        <f>E17</f>
        <v>RHRDB</v>
      </c>
      <c r="G18" s="191"/>
      <c r="H18" s="544" cm="1">
        <f t="array" ref="H18">ROUNDUP(INDEX(Dem!$F$41:$H$44,MATCH(Buildings_DR!$E18,Dem!$B$5:$B$8,0),MATCH(RIGHT(H$7,3),Dem!$F$1:$H$1,0))*_xlfn.IFS(RIGHT($D18,1)="H",$H$4,RIGHT($D18,1)="M",$H$3,RIGHT($D18,1)="L",$H$2),2)</f>
        <v>0</v>
      </c>
      <c r="I18" s="544" cm="1">
        <f t="array" ref="I18">ROUNDUP(INDEX(Dem!$F$41:$H$44,MATCH(Buildings_DR!$E18,Dem!$B$5:$B$8,0),MATCH(RIGHT(I$7,3),Dem!$F$1:$H$1,0))*_xlfn.IFS(RIGHT($D18,1)="H",$H$4,RIGHT($D18,1)="M",$H$3,RIGHT($D18,1)="L",$H$2),2)</f>
        <v>0</v>
      </c>
      <c r="J18" s="544" cm="1">
        <f t="array" ref="J18">ROUNDUP(INDEX(Dem!$F$41:$H$44,MATCH(Buildings_DR!$E18,Dem!$B$5:$B$8,0),MATCH(RIGHT(J$7,3),Dem!$F$1:$H$1,0))*_xlfn.IFS(RIGHT($D18,1)="H",$H$4,RIGHT($D18,1)="M",$H$3,RIGHT($D18,1)="L",$H$2),2)</f>
        <v>0</v>
      </c>
      <c r="K18" s="544" cm="1">
        <f t="array" ref="K18">ROUNDUP(INDEX(Dem!$F$45:$H$48,MATCH(Buildings_DR!$E18,Dem!$B$5:$B$8,0),MATCH(RIGHT(K$7,3),Dem!$F$1:$H$1,0))*_xlfn.IFS(RIGHT($D18,1)="H",$H$4,RIGHT($D18,1)="M",$H$3,RIGHT($D18,1)="L",$H$2),2)</f>
        <v>0</v>
      </c>
      <c r="L18" s="544" cm="1">
        <f t="array" ref="L18">ROUNDUP(INDEX(Dem!$F$45:$H$48,MATCH(Buildings_DR!$E18,Dem!$B$5:$B$8,0),MATCH(RIGHT(L$7,3),Dem!$F$1:$H$1,0))*_xlfn.IFS(RIGHT($D18,1)="H",$H$4,RIGHT($D18,1)="M",$H$3,RIGHT($D18,1)="L",$H$2),2)</f>
        <v>0</v>
      </c>
      <c r="M18" s="544" cm="1">
        <f t="array" ref="M18">ROUNDUP(INDEX(Dem!$F$45:$H$48,MATCH(Buildings_DR!$E18,Dem!$B$5:$B$8,0),MATCH(RIGHT(M$7,3),Dem!$F$1:$H$1,0))*_xlfn.IFS(RIGHT($D18,1)="H",$H$4,RIGHT($D18,1)="M",$H$3,RIGHT($D18,1)="L",$H$2),2)</f>
        <v>0</v>
      </c>
      <c r="N18" s="544" cm="1">
        <f t="array" ref="N18">ROUNDUP(INDEX(Dem!$F$49:$H$52,MATCH(Buildings_DR!$E18,Dem!$B$5:$B$8,0),MATCH(RIGHT(N$7,3),Dem!$F$1:$H$1,0))*_xlfn.IFS(RIGHT($D18,1)="H",$H$4,RIGHT($D18,1)="M",$H$3,RIGHT($D18,1)="L",$H$2),2)</f>
        <v>0</v>
      </c>
      <c r="O18" s="544" cm="1">
        <f t="array" ref="O18">ROUNDUP(INDEX(Dem!$F$49:$H$52,MATCH(Buildings_DR!$E18,Dem!$B$5:$B$8,0),MATCH(RIGHT(O$7,3),Dem!$F$1:$H$1,0))*_xlfn.IFS(RIGHT($D18,1)="H",$H$4,RIGHT($D18,1)="M",$H$3,RIGHT($D18,1)="L",$H$2),2)</f>
        <v>0</v>
      </c>
      <c r="P18" s="544" cm="1">
        <f t="array" ref="P18">ROUNDUP(INDEX(Dem!$F$49:$H$52,MATCH(Buildings_DR!$E18,Dem!$B$5:$B$8,0),MATCH(RIGHT(P$7,3),Dem!$F$1:$H$1,0))*_xlfn.IFS(RIGHT($D18,1)="H",$H$4,RIGHT($D18,1)="M",$H$3,RIGHT($D18,1)="L",$H$2),2)</f>
        <v>0</v>
      </c>
      <c r="Q18" s="544">
        <f t="shared" si="19"/>
        <v>0</v>
      </c>
      <c r="R18" s="544">
        <f t="shared" si="19"/>
        <v>0</v>
      </c>
      <c r="S18" s="544">
        <f t="shared" si="19"/>
        <v>0</v>
      </c>
      <c r="T18" s="544">
        <f t="shared" ref="T18:AE18" si="26">H18*0.99</f>
        <v>0</v>
      </c>
      <c r="U18" s="544">
        <f t="shared" si="26"/>
        <v>0</v>
      </c>
      <c r="V18" s="544">
        <f t="shared" si="26"/>
        <v>0</v>
      </c>
      <c r="W18" s="544">
        <f t="shared" si="26"/>
        <v>0</v>
      </c>
      <c r="X18" s="544">
        <f t="shared" si="26"/>
        <v>0</v>
      </c>
      <c r="Y18" s="544">
        <f t="shared" si="26"/>
        <v>0</v>
      </c>
      <c r="Z18" s="544">
        <f t="shared" si="26"/>
        <v>0</v>
      </c>
      <c r="AA18" s="544">
        <f t="shared" si="26"/>
        <v>0</v>
      </c>
      <c r="AB18" s="544">
        <f t="shared" si="26"/>
        <v>0</v>
      </c>
      <c r="AC18" s="544">
        <f t="shared" si="26"/>
        <v>0</v>
      </c>
      <c r="AD18" s="544">
        <f t="shared" si="26"/>
        <v>0</v>
      </c>
      <c r="AE18" s="544">
        <f t="shared" si="26"/>
        <v>0</v>
      </c>
      <c r="AF18" s="544">
        <v>5</v>
      </c>
      <c r="AG18" s="544">
        <v>5</v>
      </c>
      <c r="AH18" s="544">
        <v>5</v>
      </c>
      <c r="AI18" s="535">
        <f t="shared" ref="AI18:AQ18" si="27">AI17/2+AI19/2</f>
        <v>3.0649999999999995</v>
      </c>
      <c r="AJ18" s="535">
        <f t="shared" si="27"/>
        <v>3.7299999999999995</v>
      </c>
      <c r="AK18" s="535">
        <f t="shared" si="27"/>
        <v>3.7299999999999995</v>
      </c>
      <c r="AL18" s="535">
        <f t="shared" si="27"/>
        <v>3.1630099999999999</v>
      </c>
      <c r="AM18" s="535">
        <f t="shared" si="27"/>
        <v>3.8886299999999996</v>
      </c>
      <c r="AN18" s="535">
        <f t="shared" si="27"/>
        <v>3.8886299999999996</v>
      </c>
      <c r="AO18" s="535">
        <f t="shared" si="27"/>
        <v>3.1049999999999995</v>
      </c>
      <c r="AP18" s="535">
        <f t="shared" si="27"/>
        <v>3.7949999999999999</v>
      </c>
      <c r="AQ18" s="535">
        <f t="shared" si="27"/>
        <v>3.7949999999999999</v>
      </c>
      <c r="AR18" s="535">
        <f t="shared" ref="AR18:AT18" si="28">AR17/2+AR19/2</f>
        <v>3.03</v>
      </c>
      <c r="AS18" s="535">
        <f t="shared" si="28"/>
        <v>3.665</v>
      </c>
      <c r="AT18" s="535">
        <f t="shared" si="28"/>
        <v>3.665</v>
      </c>
      <c r="AU18" s="163">
        <v>1</v>
      </c>
      <c r="AV18" s="162">
        <v>1</v>
      </c>
      <c r="AW18" s="162"/>
      <c r="AX18" s="162"/>
      <c r="AY18" s="162"/>
      <c r="AZ18" s="199"/>
      <c r="BA18" s="542">
        <f t="shared" si="10"/>
        <v>0</v>
      </c>
      <c r="BB18" s="542">
        <f t="shared" si="11"/>
        <v>0</v>
      </c>
      <c r="BC18" s="542">
        <f t="shared" si="12"/>
        <v>0</v>
      </c>
      <c r="BD18" s="543">
        <f t="shared" si="22"/>
        <v>0</v>
      </c>
      <c r="BE18" s="543">
        <f t="shared" si="23"/>
        <v>0</v>
      </c>
      <c r="BF18" s="543">
        <f t="shared" si="24"/>
        <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Commodities!$C$36&amp;","&amp;Commodities!$C$40&amp;","&amp;Commodities!$C$48</f>
        <v>RESHRDX,RESHRDB,RESHRDBN</v>
      </c>
      <c r="E19" s="191" t="str">
        <f>E18</f>
        <v>RHRDB</v>
      </c>
      <c r="F19" s="156">
        <v>2011</v>
      </c>
      <c r="G19" s="191">
        <v>2011</v>
      </c>
      <c r="H19" s="544"/>
      <c r="I19" s="544"/>
      <c r="J19" s="544"/>
      <c r="K19" s="544"/>
      <c r="L19" s="544"/>
      <c r="M19" s="544"/>
      <c r="N19" s="544"/>
      <c r="O19" s="544"/>
      <c r="P19" s="544"/>
      <c r="Q19" s="544"/>
      <c r="R19" s="544"/>
      <c r="S19" s="544"/>
      <c r="T19" s="544"/>
      <c r="U19" s="544"/>
      <c r="V19" s="544"/>
      <c r="W19" s="544"/>
      <c r="X19" s="544"/>
      <c r="Y19" s="544"/>
      <c r="Z19" s="544"/>
      <c r="AA19" s="544"/>
      <c r="AB19" s="544"/>
      <c r="AC19" s="544"/>
      <c r="AD19" s="544"/>
      <c r="AE19" s="544"/>
      <c r="AF19" s="544"/>
      <c r="AG19" s="544"/>
      <c r="AH19" s="544"/>
      <c r="AI19" s="536">
        <f>ROUND(Sources!$T$8,2)</f>
        <v>4.01</v>
      </c>
      <c r="AJ19" s="536">
        <f>ROUND(Sources!$T$8,2)</f>
        <v>4.01</v>
      </c>
      <c r="AK19" s="536">
        <f>ROUND(Sources!$T$8,2)</f>
        <v>4.01</v>
      </c>
      <c r="AL19" s="536">
        <f>ROUND(Sources!$T$8,2)</f>
        <v>4.01</v>
      </c>
      <c r="AM19" s="536">
        <f>ROUND(Sources!$T$8,2)</f>
        <v>4.01</v>
      </c>
      <c r="AN19" s="536">
        <f>ROUND(Sources!$T$8,2)</f>
        <v>4.01</v>
      </c>
      <c r="AO19" s="536">
        <f>ROUND(Sources!$T$8,2)</f>
        <v>4.01</v>
      </c>
      <c r="AP19" s="536">
        <f>ROUND(Sources!$T$8,2)</f>
        <v>4.01</v>
      </c>
      <c r="AQ19" s="536">
        <f>ROUND(Sources!$T$8,2)</f>
        <v>4.01</v>
      </c>
      <c r="AR19" s="536">
        <f>ROUND(Sources!$T$8,2)</f>
        <v>4.01</v>
      </c>
      <c r="AS19" s="536">
        <f>ROUND(Sources!$T$8,2)</f>
        <v>4.01</v>
      </c>
      <c r="AT19" s="536">
        <f>ROUND(Sources!$T$8,2)</f>
        <v>4.01</v>
      </c>
      <c r="AU19" s="163">
        <v>1</v>
      </c>
      <c r="AV19" s="168">
        <v>1</v>
      </c>
      <c r="AW19" s="162">
        <v>100</v>
      </c>
      <c r="AX19" s="162"/>
      <c r="AY19" s="162"/>
      <c r="BA19" s="542">
        <f t="shared" si="10"/>
        <v>0</v>
      </c>
      <c r="BB19" s="542">
        <f t="shared" si="11"/>
        <v>0</v>
      </c>
      <c r="BC19" s="542">
        <f t="shared" si="12"/>
        <v>0</v>
      </c>
      <c r="BD19" s="543">
        <f t="shared" si="22"/>
        <v>0</v>
      </c>
      <c r="BE19" s="543">
        <f t="shared" si="23"/>
        <v>0</v>
      </c>
      <c r="BF19" s="543">
        <f t="shared" si="24"/>
        <v>0</v>
      </c>
      <c r="BH19" s="201"/>
      <c r="BI19" s="201"/>
      <c r="BJ19" s="201"/>
      <c r="BK19" s="201"/>
      <c r="BL19" s="596"/>
      <c r="BM19" s="596"/>
      <c r="BN19" s="596"/>
      <c r="BO19" s="201"/>
      <c r="BP19" s="201"/>
      <c r="BQ19" s="201"/>
      <c r="BR19" s="201"/>
    </row>
    <row r="20" spans="1:70">
      <c r="B20" s="162"/>
      <c r="C20" s="162"/>
      <c r="D20" s="568"/>
      <c r="E20" s="191"/>
      <c r="F20" s="156">
        <v>2016</v>
      </c>
      <c r="H20" s="544"/>
      <c r="I20" s="544"/>
      <c r="J20" s="544"/>
      <c r="K20" s="544"/>
      <c r="L20" s="544"/>
      <c r="M20" s="544"/>
      <c r="N20" s="544"/>
      <c r="O20" s="544"/>
      <c r="P20" s="544"/>
      <c r="Q20" s="544"/>
      <c r="R20" s="544"/>
      <c r="S20" s="544"/>
      <c r="T20" s="544"/>
      <c r="U20" s="544"/>
      <c r="V20" s="544"/>
      <c r="W20" s="544"/>
      <c r="X20" s="544"/>
      <c r="Y20" s="544"/>
      <c r="Z20" s="544"/>
      <c r="AA20" s="544"/>
      <c r="AB20" s="544"/>
      <c r="AC20" s="544"/>
      <c r="AD20" s="544"/>
      <c r="AE20" s="544"/>
      <c r="AF20" s="544"/>
      <c r="AG20" s="544"/>
      <c r="AH20" s="544"/>
      <c r="AI20" s="536">
        <f>ROUND(Sources!$T$9,2)</f>
        <v>4.75</v>
      </c>
      <c r="AJ20" s="536">
        <f>ROUND(Sources!$T$9,2)</f>
        <v>4.75</v>
      </c>
      <c r="AK20" s="536">
        <f>ROUND(Sources!$T$9,2)</f>
        <v>4.75</v>
      </c>
      <c r="AL20" s="536">
        <f>ROUND(Sources!$T$9,2)</f>
        <v>4.75</v>
      </c>
      <c r="AM20" s="536">
        <f>ROUND(Sources!$T$9,2)</f>
        <v>4.75</v>
      </c>
      <c r="AN20" s="536">
        <f>ROUND(Sources!$T$9,2)</f>
        <v>4.75</v>
      </c>
      <c r="AO20" s="536">
        <f>ROUND(Sources!$T$9,2)</f>
        <v>4.75</v>
      </c>
      <c r="AP20" s="536">
        <f>ROUND(Sources!$T$9,2)</f>
        <v>4.75</v>
      </c>
      <c r="AQ20" s="536">
        <f>ROUND(Sources!$T$9,2)</f>
        <v>4.75</v>
      </c>
      <c r="AR20" s="536">
        <f>ROUND(Sources!$T$9,2)</f>
        <v>4.75</v>
      </c>
      <c r="AS20" s="536">
        <f>ROUND(Sources!$T$9,2)</f>
        <v>4.75</v>
      </c>
      <c r="AT20" s="536">
        <f>ROUND(Sources!$T$9,2)</f>
        <v>4.75</v>
      </c>
      <c r="AU20" s="163">
        <v>1</v>
      </c>
      <c r="AV20" s="168">
        <v>1</v>
      </c>
      <c r="AW20" s="162">
        <v>100</v>
      </c>
      <c r="AX20" s="162"/>
      <c r="AY20" s="162"/>
      <c r="BA20" s="542">
        <f t="shared" si="10"/>
        <v>0</v>
      </c>
      <c r="BB20" s="542">
        <f t="shared" si="11"/>
        <v>0</v>
      </c>
      <c r="BC20" s="542">
        <f t="shared" si="12"/>
        <v>0</v>
      </c>
      <c r="BD20" s="543">
        <f t="shared" si="22"/>
        <v>0</v>
      </c>
      <c r="BE20" s="543">
        <f t="shared" si="23"/>
        <v>0</v>
      </c>
      <c r="BF20" s="543">
        <f t="shared" si="24"/>
        <v>0</v>
      </c>
      <c r="BH20" s="201"/>
      <c r="BI20" s="201"/>
      <c r="BJ20" s="201"/>
      <c r="BK20" s="201"/>
      <c r="BL20" s="201"/>
      <c r="BM20" s="201"/>
      <c r="BN20" s="201"/>
      <c r="BO20" s="201"/>
      <c r="BP20" s="201"/>
      <c r="BQ20" s="201"/>
      <c r="BR20" s="201"/>
    </row>
    <row r="21" spans="1:70">
      <c r="B21" s="162"/>
      <c r="C21" s="162"/>
      <c r="D21" s="568"/>
      <c r="E21" s="191"/>
      <c r="F21" s="156">
        <v>2021</v>
      </c>
      <c r="H21" s="544"/>
      <c r="I21" s="544"/>
      <c r="J21" s="544"/>
      <c r="K21" s="544"/>
      <c r="L21" s="544"/>
      <c r="M21" s="544"/>
      <c r="N21" s="544"/>
      <c r="O21" s="544"/>
      <c r="P21" s="544"/>
      <c r="Q21" s="544"/>
      <c r="R21" s="544"/>
      <c r="S21" s="544"/>
      <c r="T21" s="544"/>
      <c r="U21" s="544"/>
      <c r="V21" s="544"/>
      <c r="W21" s="544"/>
      <c r="X21" s="544"/>
      <c r="Y21" s="544"/>
      <c r="Z21" s="544"/>
      <c r="AA21" s="544"/>
      <c r="AB21" s="544"/>
      <c r="AC21" s="544"/>
      <c r="AD21" s="544"/>
      <c r="AE21" s="544"/>
      <c r="AF21" s="544"/>
      <c r="AG21" s="544"/>
      <c r="AH21" s="544"/>
      <c r="AI21" s="536">
        <f>ROUND(Sources!$T$10,2)</f>
        <v>6.08</v>
      </c>
      <c r="AJ21" s="536">
        <f>ROUND(Sources!$T$10,2)</f>
        <v>6.08</v>
      </c>
      <c r="AK21" s="536">
        <f>ROUND(Sources!$T$10,2)</f>
        <v>6.08</v>
      </c>
      <c r="AL21" s="536">
        <f>ROUND(Sources!$T$10,2)</f>
        <v>6.08</v>
      </c>
      <c r="AM21" s="536">
        <f>ROUND(Sources!$T$10,2)</f>
        <v>6.08</v>
      </c>
      <c r="AN21" s="536">
        <f>ROUND(Sources!$T$10,2)</f>
        <v>6.08</v>
      </c>
      <c r="AO21" s="536">
        <f>ROUND(Sources!$T$10,2)</f>
        <v>6.08</v>
      </c>
      <c r="AP21" s="536">
        <f>ROUND(Sources!$T$10,2)</f>
        <v>6.08</v>
      </c>
      <c r="AQ21" s="536">
        <f>ROUND(Sources!$T$10,2)</f>
        <v>6.08</v>
      </c>
      <c r="AR21" s="536">
        <f>ROUND(Sources!$T$10,2)</f>
        <v>6.08</v>
      </c>
      <c r="AS21" s="536">
        <f>ROUND(Sources!$T$10,2)</f>
        <v>6.08</v>
      </c>
      <c r="AT21" s="536">
        <f>ROUND(Sources!$T$10,2)</f>
        <v>6.08</v>
      </c>
      <c r="AU21" s="163">
        <v>1</v>
      </c>
      <c r="AV21" s="168">
        <v>1</v>
      </c>
      <c r="AW21" s="162">
        <v>100</v>
      </c>
      <c r="AX21" s="162"/>
      <c r="AY21" s="162"/>
      <c r="BA21" s="542">
        <f t="shared" si="10"/>
        <v>0</v>
      </c>
      <c r="BB21" s="542">
        <f t="shared" si="11"/>
        <v>0</v>
      </c>
      <c r="BC21" s="542">
        <f t="shared" si="12"/>
        <v>0</v>
      </c>
      <c r="BD21" s="543">
        <f t="shared" si="22"/>
        <v>0</v>
      </c>
      <c r="BE21" s="543">
        <f t="shared" si="23"/>
        <v>0</v>
      </c>
      <c r="BF21" s="543">
        <f t="shared" si="24"/>
        <v>0</v>
      </c>
      <c r="BH21" s="201"/>
      <c r="BI21" s="201"/>
      <c r="BJ21" s="201"/>
      <c r="BK21" s="201"/>
      <c r="BL21" s="201"/>
      <c r="BM21" s="201"/>
      <c r="BN21" s="201"/>
      <c r="BO21" s="201"/>
      <c r="BP21" s="201"/>
      <c r="BQ21" s="201"/>
      <c r="BR21" s="201"/>
    </row>
    <row r="22" spans="1:70" ht="14" thickBot="1">
      <c r="B22" s="162"/>
      <c r="C22" s="162"/>
      <c r="D22" s="568"/>
      <c r="E22" s="212"/>
      <c r="F22" s="164">
        <v>2031</v>
      </c>
      <c r="G22" s="164"/>
      <c r="H22" s="545"/>
      <c r="I22" s="545"/>
      <c r="J22" s="545"/>
      <c r="K22" s="545"/>
      <c r="L22" s="545"/>
      <c r="M22" s="545"/>
      <c r="N22" s="545"/>
      <c r="O22" s="545"/>
      <c r="P22" s="545"/>
      <c r="Q22" s="544"/>
      <c r="R22" s="544"/>
      <c r="S22" s="544"/>
      <c r="T22" s="544"/>
      <c r="U22" s="544"/>
      <c r="V22" s="544"/>
      <c r="W22" s="544"/>
      <c r="X22" s="544"/>
      <c r="Y22" s="544"/>
      <c r="Z22" s="544"/>
      <c r="AA22" s="544"/>
      <c r="AB22" s="544"/>
      <c r="AC22" s="544"/>
      <c r="AD22" s="544"/>
      <c r="AE22" s="544"/>
      <c r="AF22" s="544"/>
      <c r="AG22" s="544"/>
      <c r="AH22" s="544"/>
      <c r="AI22" s="536">
        <f>ROUND(Sources!$T$11,2)</f>
        <v>6.94</v>
      </c>
      <c r="AJ22" s="536">
        <f>ROUND(Sources!$T$11,2)</f>
        <v>6.94</v>
      </c>
      <c r="AK22" s="536">
        <f>ROUND(Sources!$T$11,2)</f>
        <v>6.94</v>
      </c>
      <c r="AL22" s="536">
        <f>ROUND(Sources!$T$11,2)</f>
        <v>6.94</v>
      </c>
      <c r="AM22" s="536">
        <f>ROUND(Sources!$T$11,2)</f>
        <v>6.94</v>
      </c>
      <c r="AN22" s="536">
        <f>ROUND(Sources!$T$11,2)</f>
        <v>6.94</v>
      </c>
      <c r="AO22" s="536">
        <f>ROUND(Sources!$T$11,2)</f>
        <v>6.94</v>
      </c>
      <c r="AP22" s="536">
        <f>ROUND(Sources!$T$11,2)</f>
        <v>6.94</v>
      </c>
      <c r="AQ22" s="536">
        <f>ROUND(Sources!$T$11,2)</f>
        <v>6.94</v>
      </c>
      <c r="AR22" s="536">
        <f>ROUND(Sources!$T$11,2)</f>
        <v>6.94</v>
      </c>
      <c r="AS22" s="536">
        <f>ROUND(Sources!$T$11,2)</f>
        <v>6.94</v>
      </c>
      <c r="AT22" s="536">
        <f>ROUND(Sources!$T$11,2)</f>
        <v>6.94</v>
      </c>
      <c r="AU22" s="163">
        <v>1</v>
      </c>
      <c r="AV22" s="168">
        <v>1</v>
      </c>
      <c r="AW22" s="162">
        <v>100</v>
      </c>
      <c r="AX22" s="162"/>
      <c r="AY22" s="162"/>
      <c r="AZ22" s="199"/>
      <c r="BA22" s="542">
        <f t="shared" si="10"/>
        <v>0</v>
      </c>
      <c r="BB22" s="542">
        <f t="shared" si="11"/>
        <v>0</v>
      </c>
      <c r="BC22" s="542">
        <f t="shared" si="12"/>
        <v>0</v>
      </c>
      <c r="BD22" s="543">
        <f t="shared" si="22"/>
        <v>0</v>
      </c>
      <c r="BE22" s="543">
        <f t="shared" si="23"/>
        <v>0</v>
      </c>
      <c r="BF22" s="543">
        <f t="shared" si="24"/>
        <v>0</v>
      </c>
      <c r="BH22" s="201"/>
      <c r="BI22" s="201"/>
      <c r="BJ22" s="201"/>
      <c r="BK22" s="201"/>
      <c r="BL22" s="201"/>
      <c r="BM22" s="201"/>
      <c r="BN22" s="201"/>
      <c r="BO22" s="201"/>
      <c r="BP22" s="201"/>
      <c r="BQ22" s="201"/>
      <c r="BR22" s="201"/>
    </row>
    <row r="23" spans="1:70" ht="15" thickBot="1">
      <c r="B23" s="165" t="str">
        <f>Processes!D15</f>
        <v>RDHUML</v>
      </c>
      <c r="C23" s="165" t="str">
        <f>Processes!E15</f>
        <v xml:space="preserve">Residential Demand Heating Urban Multi -  - Low </v>
      </c>
      <c r="D23" s="127" t="str">
        <f>Commodities!$C$37&amp;","&amp;Commodities!$C$41&amp;","&amp;Commodities!$C$45&amp;","&amp;Commodities!$C$80&amp;","&amp;Commodities!C61</f>
        <v>RESHUMX,RESHUMB,RESHUMBE,RESHSAV,RESHUMSL</v>
      </c>
      <c r="E23" s="7" t="str">
        <f>Commodities!C9</f>
        <v>RHUMB</v>
      </c>
      <c r="G23" s="166"/>
      <c r="H23" s="544" cm="1">
        <f t="array" ref="H23">ROUNDUP(INDEX(Dem!$F$41:$H$44,MATCH(Buildings_DR!$E23,Dem!$B$5:$B$8,0),MATCH(RIGHT(H$7,3),Dem!$F$1:$H$1,0))*_xlfn.IFS(RIGHT($D23,1)="H",$H$4,RIGHT($D23,1)="M",$H$3,RIGHT($D23,1)="L",$H$2),2)</f>
        <v>0</v>
      </c>
      <c r="I23" s="544" cm="1">
        <f t="array" ref="I23">ROUNDUP(INDEX(Dem!$F$41:$H$44,MATCH(Buildings_DR!$E23,Dem!$B$5:$B$8,0),MATCH(RIGHT(I$7,3),Dem!$F$1:$H$1,0))*_xlfn.IFS(RIGHT($D23,1)="H",$H$4,RIGHT($D23,1)="M",$H$3,RIGHT($D23,1)="L",$H$2),2)</f>
        <v>0</v>
      </c>
      <c r="J23" s="544" cm="1">
        <f t="array" ref="J23">ROUNDUP(INDEX(Dem!$F$41:$H$44,MATCH(Buildings_DR!$E23,Dem!$B$5:$B$8,0),MATCH(RIGHT(J$7,3),Dem!$F$1:$H$1,0))*_xlfn.IFS(RIGHT($D23,1)="H",$H$4,RIGHT($D23,1)="M",$H$3,RIGHT($D23,1)="L",$H$2),2)</f>
        <v>0</v>
      </c>
      <c r="K23" s="544" cm="1">
        <f t="array" ref="K23">ROUNDUP(INDEX(Dem!$F$45:$H$48,MATCH(Buildings_DR!$E23,Dem!$B$5:$B$8,0),MATCH(RIGHT(K$7,3),Dem!$F$1:$H$1,0))*_xlfn.IFS(RIGHT($D23,1)="H",$H$4,RIGHT($D23,1)="M",$H$3,RIGHT($D23,1)="L",$H$2),2)</f>
        <v>0</v>
      </c>
      <c r="L23" s="544" cm="1">
        <f t="array" ref="L23">ROUNDUP(INDEX(Dem!$F$45:$H$48,MATCH(Buildings_DR!$E23,Dem!$B$5:$B$8,0),MATCH(RIGHT(L$7,3),Dem!$F$1:$H$1,0))*_xlfn.IFS(RIGHT($D23,1)="H",$H$4,RIGHT($D23,1)="M",$H$3,RIGHT($D23,1)="L",$H$2),2)</f>
        <v>0</v>
      </c>
      <c r="M23" s="544" cm="1">
        <f t="array" ref="M23">ROUNDUP(INDEX(Dem!$F$45:$H$48,MATCH(Buildings_DR!$E23,Dem!$B$5:$B$8,0),MATCH(RIGHT(M$7,3),Dem!$F$1:$H$1,0))*_xlfn.IFS(RIGHT($D23,1)="H",$H$4,RIGHT($D23,1)="M",$H$3,RIGHT($D23,1)="L",$H$2),2)</f>
        <v>0</v>
      </c>
      <c r="N23" s="544" cm="1">
        <f t="array" ref="N23">ROUNDUP(INDEX(Dem!$F$49:$H$52,MATCH(Buildings_DR!$E23,Dem!$B$5:$B$8,0),MATCH(RIGHT(N$7,3),Dem!$F$1:$H$1,0))*_xlfn.IFS(RIGHT($D23,1)="H",$H$4,RIGHT($D23,1)="M",$H$3,RIGHT($D23,1)="L",$H$2),2)</f>
        <v>0</v>
      </c>
      <c r="O23" s="544" cm="1">
        <f t="array" ref="O23">ROUNDUP(INDEX(Dem!$F$49:$H$52,MATCH(Buildings_DR!$E23,Dem!$B$5:$B$8,0),MATCH(RIGHT(O$7,3),Dem!$F$1:$H$1,0))*_xlfn.IFS(RIGHT($D23,1)="H",$H$4,RIGHT($D23,1)="M",$H$3,RIGHT($D23,1)="L",$H$2),2)</f>
        <v>0</v>
      </c>
      <c r="P23" s="544" cm="1">
        <f t="array" ref="P23">ROUNDUP(INDEX(Dem!$F$49:$H$52,MATCH(Buildings_DR!$E23,Dem!$B$5:$B$8,0),MATCH(RIGHT(P$7,3),Dem!$F$1:$H$1,0))*_xlfn.IFS(RIGHT($D23,1)="H",$H$4,RIGHT($D23,1)="M",$H$3,RIGHT($D23,1)="L",$H$2),2)</f>
        <v>0</v>
      </c>
      <c r="Q23" s="544">
        <f t="shared" ref="Q23:S25" si="29">H23*0.6</f>
        <v>0</v>
      </c>
      <c r="R23" s="544">
        <f t="shared" si="29"/>
        <v>0</v>
      </c>
      <c r="S23" s="544">
        <f t="shared" si="29"/>
        <v>0</v>
      </c>
      <c r="T23" s="544">
        <f t="shared" ref="T23:AE23" si="30">H23*0.99</f>
        <v>0</v>
      </c>
      <c r="U23" s="544">
        <f t="shared" si="30"/>
        <v>0</v>
      </c>
      <c r="V23" s="544">
        <f t="shared" si="30"/>
        <v>0</v>
      </c>
      <c r="W23" s="544">
        <f t="shared" si="30"/>
        <v>0</v>
      </c>
      <c r="X23" s="544">
        <f t="shared" si="30"/>
        <v>0</v>
      </c>
      <c r="Y23" s="544">
        <f t="shared" si="30"/>
        <v>0</v>
      </c>
      <c r="Z23" s="544">
        <f t="shared" si="30"/>
        <v>0</v>
      </c>
      <c r="AA23" s="544">
        <f t="shared" si="30"/>
        <v>0</v>
      </c>
      <c r="AB23" s="544">
        <f t="shared" si="30"/>
        <v>0</v>
      </c>
      <c r="AC23" s="544">
        <f t="shared" si="30"/>
        <v>0</v>
      </c>
      <c r="AD23" s="544">
        <f t="shared" si="30"/>
        <v>0</v>
      </c>
      <c r="AE23" s="544">
        <f t="shared" si="30"/>
        <v>0</v>
      </c>
      <c r="AF23" s="544">
        <v>5</v>
      </c>
      <c r="AG23" s="544">
        <v>5</v>
      </c>
      <c r="AH23" s="544">
        <v>5</v>
      </c>
      <c r="AI23" s="534">
        <f t="shared" ref="AI23:AT23" si="31">AI24/2</f>
        <v>1.5299999999999998</v>
      </c>
      <c r="AJ23" s="534">
        <f t="shared" si="31"/>
        <v>0.8</v>
      </c>
      <c r="AK23" s="534">
        <f t="shared" si="31"/>
        <v>0.8</v>
      </c>
      <c r="AL23" s="534">
        <f t="shared" si="31"/>
        <v>1.6649499999999997</v>
      </c>
      <c r="AM23" s="534">
        <f t="shared" si="31"/>
        <v>0.86975000000000002</v>
      </c>
      <c r="AN23" s="534">
        <f t="shared" si="31"/>
        <v>0.87472000000000005</v>
      </c>
      <c r="AO23" s="534">
        <f t="shared" si="31"/>
        <v>1.585</v>
      </c>
      <c r="AP23" s="534">
        <f t="shared" si="31"/>
        <v>0.83</v>
      </c>
      <c r="AQ23" s="534">
        <f t="shared" si="31"/>
        <v>0.83</v>
      </c>
      <c r="AR23" s="534">
        <f t="shared" si="31"/>
        <v>1.4749999999999999</v>
      </c>
      <c r="AS23" s="534">
        <f t="shared" si="31"/>
        <v>0.77500000000000002</v>
      </c>
      <c r="AT23" s="534">
        <f t="shared" si="31"/>
        <v>0.77500000000000002</v>
      </c>
      <c r="AU23" s="167">
        <v>1</v>
      </c>
      <c r="AV23" s="165">
        <v>1</v>
      </c>
      <c r="AW23" s="160"/>
      <c r="AX23" s="162"/>
      <c r="AY23" s="162"/>
      <c r="AZ23" s="199"/>
      <c r="BA23" s="542">
        <f t="shared" si="10"/>
        <v>0</v>
      </c>
      <c r="BB23" s="542">
        <f t="shared" si="11"/>
        <v>0</v>
      </c>
      <c r="BC23" s="542">
        <f t="shared" si="12"/>
        <v>0</v>
      </c>
      <c r="BD23" s="543">
        <f t="shared" si="22"/>
        <v>0</v>
      </c>
      <c r="BE23" s="543">
        <f t="shared" si="23"/>
        <v>0</v>
      </c>
      <c r="BF23" s="543">
        <f t="shared" si="24"/>
        <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Commodities!$C$37&amp;","&amp;Commodities!$C$41&amp;","&amp;Commodities!$C$45&amp;","&amp;Commodities!$C$80&amp;","&amp;Commodities!C62</f>
        <v>RESHUMX,RESHUMB,RESHUMBE,RESHSAV,RESHUMSM</v>
      </c>
      <c r="E24" s="191" t="str">
        <f>E23</f>
        <v>RHUMB</v>
      </c>
      <c r="G24" s="191"/>
      <c r="H24" s="544" cm="1">
        <f t="array" ref="H24">ROUNDUP(INDEX(Dem!$F$41:$H$44,MATCH(Buildings_DR!$E24,Dem!$B$5:$B$8,0),MATCH(RIGHT(H$7,3),Dem!$F$1:$H$1,0))*_xlfn.IFS(RIGHT($D24,1)="H",$H$4,RIGHT($D24,1)="M",$H$3,RIGHT($D24,1)="L",$H$2),2)</f>
        <v>45.15</v>
      </c>
      <c r="I24" s="544" cm="1">
        <f t="array" ref="I24">ROUNDUP(INDEX(Dem!$F$41:$H$44,MATCH(Buildings_DR!$E24,Dem!$B$5:$B$8,0),MATCH(RIGHT(I$7,3),Dem!$F$1:$H$1,0))*_xlfn.IFS(RIGHT($D24,1)="H",$H$4,RIGHT($D24,1)="M",$H$3,RIGHT($D24,1)="L",$H$2),2)</f>
        <v>0.6</v>
      </c>
      <c r="J24" s="544" cm="1">
        <f t="array" ref="J24">ROUNDUP(INDEX(Dem!$F$41:$H$44,MATCH(Buildings_DR!$E24,Dem!$B$5:$B$8,0),MATCH(RIGHT(J$7,3),Dem!$F$1:$H$1,0))*_xlfn.IFS(RIGHT($D24,1)="H",$H$4,RIGHT($D24,1)="M",$H$3,RIGHT($D24,1)="L",$H$2),2)</f>
        <v>1.9</v>
      </c>
      <c r="K24" s="544" cm="1">
        <f t="array" ref="K24">ROUNDUP(INDEX(Dem!$F$45:$H$48,MATCH(Buildings_DR!$E24,Dem!$B$5:$B$8,0),MATCH(RIGHT(K$7,3),Dem!$F$1:$H$1,0))*_xlfn.IFS(RIGHT($D24,1)="H",$H$4,RIGHT($D24,1)="M",$H$3,RIGHT($D24,1)="L",$H$2),2)</f>
        <v>48.25</v>
      </c>
      <c r="L24" s="544" cm="1">
        <f t="array" ref="L24">ROUNDUP(INDEX(Dem!$F$45:$H$48,MATCH(Buildings_DR!$E24,Dem!$B$5:$B$8,0),MATCH(RIGHT(L$7,3),Dem!$F$1:$H$1,0))*_xlfn.IFS(RIGHT($D24,1)="H",$H$4,RIGHT($D24,1)="M",$H$3,RIGHT($D24,1)="L",$H$2),2)</f>
        <v>0.64</v>
      </c>
      <c r="M24" s="544" cm="1">
        <f t="array" ref="M24">ROUNDUP(INDEX(Dem!$F$45:$H$48,MATCH(Buildings_DR!$E24,Dem!$B$5:$B$8,0),MATCH(RIGHT(M$7,3),Dem!$F$1:$H$1,0))*_xlfn.IFS(RIGHT($D24,1)="H",$H$4,RIGHT($D24,1)="M",$H$3,RIGHT($D24,1)="L",$H$2),2)</f>
        <v>2.0299999999999998</v>
      </c>
      <c r="N24" s="544" cm="1">
        <f t="array" ref="N24">ROUNDUP(INDEX(Dem!$F$49:$H$52,MATCH(Buildings_DR!$E24,Dem!$B$5:$B$8,0),MATCH(RIGHT(N$7,3),Dem!$F$1:$H$1,0))*_xlfn.IFS(RIGHT($D24,1)="H",$H$4,RIGHT($D24,1)="M",$H$3,RIGHT($D24,1)="L",$H$2),2)</f>
        <v>49.66</v>
      </c>
      <c r="O24" s="544" cm="1">
        <f t="array" ref="O24">ROUNDUP(INDEX(Dem!$F$49:$H$52,MATCH(Buildings_DR!$E24,Dem!$B$5:$B$8,0),MATCH(RIGHT(O$7,3),Dem!$F$1:$H$1,0))*_xlfn.IFS(RIGHT($D24,1)="H",$H$4,RIGHT($D24,1)="M",$H$3,RIGHT($D24,1)="L",$H$2),2)</f>
        <v>0.66</v>
      </c>
      <c r="P24" s="544" cm="1">
        <f t="array" ref="P24">ROUNDUP(INDEX(Dem!$F$49:$H$52,MATCH(Buildings_DR!$E24,Dem!$B$5:$B$8,0),MATCH(RIGHT(P$7,3),Dem!$F$1:$H$1,0))*_xlfn.IFS(RIGHT($D24,1)="H",$H$4,RIGHT($D24,1)="M",$H$3,RIGHT($D24,1)="L",$H$2),2)</f>
        <v>2.09</v>
      </c>
      <c r="Q24" s="544">
        <f t="shared" si="29"/>
        <v>27.09</v>
      </c>
      <c r="R24" s="544">
        <f t="shared" si="29"/>
        <v>0.36</v>
      </c>
      <c r="S24" s="544">
        <f t="shared" si="29"/>
        <v>1.1399999999999999</v>
      </c>
      <c r="T24" s="544">
        <f t="shared" ref="T24:AB24" si="32">H24*$K$2</f>
        <v>44.698499999999996</v>
      </c>
      <c r="U24" s="544">
        <f t="shared" si="32"/>
        <v>0.59399999999999997</v>
      </c>
      <c r="V24" s="544">
        <f t="shared" si="32"/>
        <v>1.881</v>
      </c>
      <c r="W24" s="544">
        <f>K24*$K$2</f>
        <v>47.767499999999998</v>
      </c>
      <c r="X24" s="544">
        <f t="shared" si="32"/>
        <v>0.63360000000000005</v>
      </c>
      <c r="Y24" s="544">
        <f t="shared" si="32"/>
        <v>2.0096999999999996</v>
      </c>
      <c r="Z24" s="544">
        <f>N24*$K$2</f>
        <v>49.163399999999996</v>
      </c>
      <c r="AA24" s="544">
        <f t="shared" si="32"/>
        <v>0.65339999999999998</v>
      </c>
      <c r="AB24" s="544">
        <f t="shared" si="32"/>
        <v>2.0690999999999997</v>
      </c>
      <c r="AC24" s="544">
        <f>Q24*$K$3</f>
        <v>26.819099999999999</v>
      </c>
      <c r="AD24" s="544">
        <f>R24*$K$3</f>
        <v>0.35639999999999999</v>
      </c>
      <c r="AE24" s="544">
        <f>S24*$K$3</f>
        <v>1.1285999999999998</v>
      </c>
      <c r="AF24" s="544">
        <v>5</v>
      </c>
      <c r="AG24" s="544">
        <v>5</v>
      </c>
      <c r="AH24" s="544">
        <v>5</v>
      </c>
      <c r="AI24" s="535">
        <f>ROUNDUP(SUM(H23:H29)/SUM(Boilers_DR!AB26:AB35),2)</f>
        <v>3.0599999999999996</v>
      </c>
      <c r="AJ24" s="535">
        <f>ROUNDUP(SUM(I23:I29)/SUM(Boilers_DR!AC26:AC35),2)</f>
        <v>1.6</v>
      </c>
      <c r="AK24" s="535">
        <f>ROUNDUP(SUM(J23:J29)/SUM(Boilers_DR!AD26:AD35),2)</f>
        <v>1.6</v>
      </c>
      <c r="AL24" s="535">
        <f>ROUNDUP(SUM(K23:K29)/SUM(Boilers_DR!AB66:AB75),2)*AL3</f>
        <v>3.3298999999999994</v>
      </c>
      <c r="AM24" s="535">
        <f>ROUNDUP(SUM(L23:L29)/SUM(Boilers_DR!AC66:AC75),2)*AM3</f>
        <v>1.7395</v>
      </c>
      <c r="AN24" s="535">
        <f>ROUNDUP(SUM(M23:M29)/SUM(Boilers_DR!AD66:AD75),2)*AN3</f>
        <v>1.7494400000000001</v>
      </c>
      <c r="AO24" s="535">
        <f>ROUNDUP(SUM(N23:N29)/SUM(Boilers_DR!AB106:AB115),2)</f>
        <v>3.17</v>
      </c>
      <c r="AP24" s="535">
        <f>ROUNDUP(SUM(O23:O29)/SUM(Boilers_DR!AC106:AC115),2)</f>
        <v>1.66</v>
      </c>
      <c r="AQ24" s="535">
        <f>ROUNDUP(SUM(P23:P29)/SUM(Boilers_DR!AD106:AD115),2)</f>
        <v>1.66</v>
      </c>
      <c r="AR24" s="535">
        <f>ROUNDUP(SUM(N23:N29)/SUM(Boilers_DR!AB146:AB155),2)</f>
        <v>2.9499999999999997</v>
      </c>
      <c r="AS24" s="535">
        <f>ROUNDUP(SUM(O23:O29)/SUM(Boilers_DR!AC146:AC155),2)</f>
        <v>1.55</v>
      </c>
      <c r="AT24" s="535">
        <f>ROUNDUP(SUM(P23:P29)/SUM(Boilers_DR!AD146:AD155),2)</f>
        <v>1.55</v>
      </c>
      <c r="AU24" s="163">
        <v>1</v>
      </c>
      <c r="AV24" s="162">
        <v>1</v>
      </c>
      <c r="AW24" s="160"/>
      <c r="AX24" s="162"/>
      <c r="AY24" s="162"/>
      <c r="AZ24" s="199"/>
      <c r="BA24" s="542">
        <f t="shared" si="10"/>
        <v>45.15</v>
      </c>
      <c r="BB24" s="542">
        <f t="shared" si="11"/>
        <v>0.6</v>
      </c>
      <c r="BC24" s="542">
        <f t="shared" si="12"/>
        <v>1.9</v>
      </c>
      <c r="BD24" s="543">
        <f t="shared" si="22"/>
        <v>14.754901960784315</v>
      </c>
      <c r="BE24" s="543">
        <f t="shared" si="23"/>
        <v>0.37499999999999994</v>
      </c>
      <c r="BF24" s="543">
        <f t="shared" si="24"/>
        <v>1.1874999999999998</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Commodities!$C$37&amp;","&amp;Commodities!$C$41&amp;","&amp;Commodities!$C$45&amp;","&amp;Commodities!$C$80&amp;","&amp;Commodities!C63</f>
        <v>RESHUMX,RESHUMB,RESHUMBE,RESHSAV,RESHUMSH</v>
      </c>
      <c r="E25" s="191" t="str">
        <f>E24</f>
        <v>RHUMB</v>
      </c>
      <c r="G25" s="191"/>
      <c r="H25" s="544" cm="1">
        <f t="array" ref="H25">ROUNDUP(INDEX(Dem!$F$41:$H$44,MATCH(Buildings_DR!$E25,Dem!$B$5:$B$8,0),MATCH(RIGHT(H$7,3),Dem!$F$1:$H$1,0))*_xlfn.IFS(RIGHT($D25,1)="H",$H$4,RIGHT($D25,1)="M",$H$3,RIGHT($D25,1)="L",$H$2),2)</f>
        <v>0</v>
      </c>
      <c r="I25" s="544" cm="1">
        <f t="array" ref="I25">ROUNDUP(INDEX(Dem!$F$41:$H$44,MATCH(Buildings_DR!$E25,Dem!$B$5:$B$8,0),MATCH(RIGHT(I$7,3),Dem!$F$1:$H$1,0))*_xlfn.IFS(RIGHT($D25,1)="H",$H$4,RIGHT($D25,1)="M",$H$3,RIGHT($D25,1)="L",$H$2),2)</f>
        <v>0</v>
      </c>
      <c r="J25" s="544" cm="1">
        <f t="array" ref="J25">ROUNDUP(INDEX(Dem!$F$41:$H$44,MATCH(Buildings_DR!$E25,Dem!$B$5:$B$8,0),MATCH(RIGHT(J$7,3),Dem!$F$1:$H$1,0))*_xlfn.IFS(RIGHT($D25,1)="H",$H$4,RIGHT($D25,1)="M",$H$3,RIGHT($D25,1)="L",$H$2),2)</f>
        <v>0</v>
      </c>
      <c r="K25" s="544" cm="1">
        <f t="array" ref="K25">ROUNDUP(INDEX(Dem!$F$45:$H$48,MATCH(Buildings_DR!$E25,Dem!$B$5:$B$8,0),MATCH(RIGHT(K$7,3),Dem!$F$1:$H$1,0))*_xlfn.IFS(RIGHT($D25,1)="H",$H$4,RIGHT($D25,1)="M",$H$3,RIGHT($D25,1)="L",$H$2),2)</f>
        <v>0</v>
      </c>
      <c r="L25" s="544" cm="1">
        <f t="array" ref="L25">ROUNDUP(INDEX(Dem!$F$45:$H$48,MATCH(Buildings_DR!$E25,Dem!$B$5:$B$8,0),MATCH(RIGHT(L$7,3),Dem!$F$1:$H$1,0))*_xlfn.IFS(RIGHT($D25,1)="H",$H$4,RIGHT($D25,1)="M",$H$3,RIGHT($D25,1)="L",$H$2),2)</f>
        <v>0</v>
      </c>
      <c r="M25" s="544" cm="1">
        <f t="array" ref="M25">ROUNDUP(INDEX(Dem!$F$45:$H$48,MATCH(Buildings_DR!$E25,Dem!$B$5:$B$8,0),MATCH(RIGHT(M$7,3),Dem!$F$1:$H$1,0))*_xlfn.IFS(RIGHT($D25,1)="H",$H$4,RIGHT($D25,1)="M",$H$3,RIGHT($D25,1)="L",$H$2),2)</f>
        <v>0</v>
      </c>
      <c r="N25" s="544" cm="1">
        <f t="array" ref="N25">ROUNDUP(INDEX(Dem!$F$49:$H$52,MATCH(Buildings_DR!$E25,Dem!$B$5:$B$8,0),MATCH(RIGHT(N$7,3),Dem!$F$1:$H$1,0))*_xlfn.IFS(RIGHT($D25,1)="H",$H$4,RIGHT($D25,1)="M",$H$3,RIGHT($D25,1)="L",$H$2),2)</f>
        <v>0</v>
      </c>
      <c r="O25" s="544" cm="1">
        <f t="array" ref="O25">ROUNDUP(INDEX(Dem!$F$49:$H$52,MATCH(Buildings_DR!$E25,Dem!$B$5:$B$8,0),MATCH(RIGHT(O$7,3),Dem!$F$1:$H$1,0))*_xlfn.IFS(RIGHT($D25,1)="H",$H$4,RIGHT($D25,1)="M",$H$3,RIGHT($D25,1)="L",$H$2),2)</f>
        <v>0</v>
      </c>
      <c r="P25" s="544" cm="1">
        <f t="array" ref="P25">ROUNDUP(INDEX(Dem!$F$49:$H$52,MATCH(Buildings_DR!$E25,Dem!$B$5:$B$8,0),MATCH(RIGHT(P$7,3),Dem!$F$1:$H$1,0))*_xlfn.IFS(RIGHT($D25,1)="H",$H$4,RIGHT($D25,1)="M",$H$3,RIGHT($D25,1)="L",$H$2),2)</f>
        <v>0</v>
      </c>
      <c r="Q25" s="544">
        <f t="shared" si="29"/>
        <v>0</v>
      </c>
      <c r="R25" s="544">
        <f t="shared" si="29"/>
        <v>0</v>
      </c>
      <c r="S25" s="544">
        <f t="shared" si="29"/>
        <v>0</v>
      </c>
      <c r="T25" s="544">
        <f t="shared" ref="T25:AE25" si="33">H25*0.99</f>
        <v>0</v>
      </c>
      <c r="U25" s="544">
        <f t="shared" si="33"/>
        <v>0</v>
      </c>
      <c r="V25" s="544">
        <f t="shared" si="33"/>
        <v>0</v>
      </c>
      <c r="W25" s="544">
        <f t="shared" si="33"/>
        <v>0</v>
      </c>
      <c r="X25" s="544">
        <f t="shared" si="33"/>
        <v>0</v>
      </c>
      <c r="Y25" s="544">
        <f t="shared" si="33"/>
        <v>0</v>
      </c>
      <c r="Z25" s="544">
        <f t="shared" si="33"/>
        <v>0</v>
      </c>
      <c r="AA25" s="544">
        <f t="shared" si="33"/>
        <v>0</v>
      </c>
      <c r="AB25" s="544">
        <f t="shared" si="33"/>
        <v>0</v>
      </c>
      <c r="AC25" s="544">
        <f t="shared" si="33"/>
        <v>0</v>
      </c>
      <c r="AD25" s="544">
        <f t="shared" si="33"/>
        <v>0</v>
      </c>
      <c r="AE25" s="544">
        <f t="shared" si="33"/>
        <v>0</v>
      </c>
      <c r="AF25" s="544">
        <v>5</v>
      </c>
      <c r="AG25" s="544">
        <v>5</v>
      </c>
      <c r="AH25" s="544">
        <v>5</v>
      </c>
      <c r="AI25" s="535">
        <f t="shared" ref="AI25:AQ25" si="34">AI24/2+AI26/2</f>
        <v>3.0999999999999996</v>
      </c>
      <c r="AJ25" s="535">
        <f t="shared" si="34"/>
        <v>2.37</v>
      </c>
      <c r="AK25" s="535">
        <f t="shared" si="34"/>
        <v>2.37</v>
      </c>
      <c r="AL25" s="535">
        <f t="shared" si="34"/>
        <v>3.2349499999999995</v>
      </c>
      <c r="AM25" s="535">
        <f t="shared" si="34"/>
        <v>2.4397500000000001</v>
      </c>
      <c r="AN25" s="535">
        <f t="shared" si="34"/>
        <v>2.4447200000000002</v>
      </c>
      <c r="AO25" s="535">
        <f t="shared" si="34"/>
        <v>3.1550000000000002</v>
      </c>
      <c r="AP25" s="535">
        <f t="shared" si="34"/>
        <v>2.4</v>
      </c>
      <c r="AQ25" s="535">
        <f t="shared" si="34"/>
        <v>2.4</v>
      </c>
      <c r="AR25" s="535">
        <f t="shared" ref="AR25:AT25" si="35">AR24/2+AR26/2</f>
        <v>3.0449999999999999</v>
      </c>
      <c r="AS25" s="535">
        <f t="shared" si="35"/>
        <v>2.3450000000000002</v>
      </c>
      <c r="AT25" s="535">
        <f t="shared" si="35"/>
        <v>2.3450000000000002</v>
      </c>
      <c r="AU25" s="163">
        <v>1</v>
      </c>
      <c r="AV25" s="162">
        <v>1</v>
      </c>
      <c r="AW25" s="162"/>
      <c r="AX25" s="162"/>
      <c r="AY25" s="162"/>
      <c r="AZ25" s="199"/>
      <c r="BA25" s="542">
        <f t="shared" si="10"/>
        <v>0</v>
      </c>
      <c r="BB25" s="542">
        <f t="shared" si="11"/>
        <v>0</v>
      </c>
      <c r="BC25" s="542">
        <f t="shared" si="12"/>
        <v>0</v>
      </c>
      <c r="BD25" s="543">
        <f t="shared" si="22"/>
        <v>0</v>
      </c>
      <c r="BE25" s="543">
        <f t="shared" si="23"/>
        <v>0</v>
      </c>
      <c r="BF25" s="543">
        <f t="shared" si="24"/>
        <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Commodities!$C$37&amp;","&amp;Commodities!$C$41&amp;","&amp;Commodities!$C$49</f>
        <v>RESHUMX,RESHUMB,RESHUMBN</v>
      </c>
      <c r="E26" s="191" t="str">
        <f>E25</f>
        <v>RHUMB</v>
      </c>
      <c r="F26" s="156">
        <v>2011</v>
      </c>
      <c r="G26" s="191">
        <v>2011</v>
      </c>
      <c r="H26" s="544"/>
      <c r="I26" s="544"/>
      <c r="J26" s="544"/>
      <c r="K26" s="544"/>
      <c r="L26" s="544"/>
      <c r="M26" s="544"/>
      <c r="N26" s="544"/>
      <c r="O26" s="544"/>
      <c r="P26" s="544"/>
      <c r="Q26" s="544"/>
      <c r="R26" s="544"/>
      <c r="S26" s="544"/>
      <c r="T26" s="544"/>
      <c r="U26" s="544"/>
      <c r="V26" s="544"/>
      <c r="W26" s="544"/>
      <c r="X26" s="544"/>
      <c r="Y26" s="544"/>
      <c r="Z26" s="544"/>
      <c r="AA26" s="544"/>
      <c r="AB26" s="544"/>
      <c r="AC26" s="544"/>
      <c r="AD26" s="544"/>
      <c r="AE26" s="544"/>
      <c r="AF26" s="544"/>
      <c r="AG26" s="544"/>
      <c r="AH26" s="544"/>
      <c r="AI26" s="536">
        <f>ROUND(Sources!$U$8,2)</f>
        <v>3.14</v>
      </c>
      <c r="AJ26" s="536">
        <f>ROUND(Sources!$U$8,2)</f>
        <v>3.14</v>
      </c>
      <c r="AK26" s="536">
        <f>ROUND(Sources!$U$8,2)</f>
        <v>3.14</v>
      </c>
      <c r="AL26" s="536">
        <f>ROUND(Sources!$U$8,2)</f>
        <v>3.14</v>
      </c>
      <c r="AM26" s="536">
        <f>ROUND(Sources!$U$8,2)</f>
        <v>3.14</v>
      </c>
      <c r="AN26" s="536">
        <f>ROUND(Sources!$U$8,2)</f>
        <v>3.14</v>
      </c>
      <c r="AO26" s="536">
        <f>ROUND(Sources!$U$8,2)</f>
        <v>3.14</v>
      </c>
      <c r="AP26" s="536">
        <f>ROUND(Sources!$U$8,2)</f>
        <v>3.14</v>
      </c>
      <c r="AQ26" s="536">
        <f>ROUND(Sources!$U$8,2)</f>
        <v>3.14</v>
      </c>
      <c r="AR26" s="536">
        <f>ROUND(Sources!$U$8,2)</f>
        <v>3.14</v>
      </c>
      <c r="AS26" s="536">
        <f>ROUND(Sources!$U$8,2)</f>
        <v>3.14</v>
      </c>
      <c r="AT26" s="536">
        <f>ROUND(Sources!$U$8,2)</f>
        <v>3.14</v>
      </c>
      <c r="AU26" s="163">
        <v>1</v>
      </c>
      <c r="AV26" s="168">
        <v>1</v>
      </c>
      <c r="AW26" s="162">
        <v>100</v>
      </c>
      <c r="AX26" s="162"/>
      <c r="AY26" s="162"/>
      <c r="BA26" s="542">
        <f t="shared" si="10"/>
        <v>0</v>
      </c>
      <c r="BB26" s="542">
        <f t="shared" si="11"/>
        <v>0</v>
      </c>
      <c r="BC26" s="542">
        <f t="shared" si="12"/>
        <v>0</v>
      </c>
      <c r="BD26" s="543">
        <f t="shared" ref="BD26:BF29" si="36">BA26/AI12</f>
        <v>0</v>
      </c>
      <c r="BE26" s="543">
        <f t="shared" si="36"/>
        <v>0</v>
      </c>
      <c r="BF26" s="543">
        <f t="shared" si="36"/>
        <v>0</v>
      </c>
      <c r="BH26" s="201"/>
      <c r="BI26" s="201"/>
      <c r="BJ26" s="201"/>
      <c r="BK26" s="201"/>
      <c r="BL26" s="201"/>
      <c r="BM26" s="201"/>
      <c r="BN26" s="201"/>
      <c r="BO26" s="201"/>
      <c r="BP26" s="201"/>
      <c r="BQ26" s="201"/>
      <c r="BR26" s="201"/>
    </row>
    <row r="27" spans="1:70">
      <c r="B27" s="162"/>
      <c r="C27" s="162"/>
      <c r="D27" s="568"/>
      <c r="E27" s="191"/>
      <c r="F27" s="156">
        <v>2016</v>
      </c>
      <c r="H27" s="544"/>
      <c r="I27" s="544"/>
      <c r="J27" s="544"/>
      <c r="K27" s="544"/>
      <c r="L27" s="544"/>
      <c r="M27" s="544"/>
      <c r="N27" s="544"/>
      <c r="O27" s="544"/>
      <c r="P27" s="544"/>
      <c r="Q27" s="544"/>
      <c r="R27" s="544"/>
      <c r="S27" s="544"/>
      <c r="T27" s="544"/>
      <c r="U27" s="544"/>
      <c r="V27" s="544"/>
      <c r="W27" s="544"/>
      <c r="X27" s="544"/>
      <c r="Y27" s="544"/>
      <c r="Z27" s="544"/>
      <c r="AA27" s="544"/>
      <c r="AB27" s="544"/>
      <c r="AC27" s="544"/>
      <c r="AD27" s="544"/>
      <c r="AE27" s="544"/>
      <c r="AF27" s="544"/>
      <c r="AG27" s="544"/>
      <c r="AH27" s="544"/>
      <c r="AI27" s="536">
        <f>ROUND(Sources!$U$9,2)</f>
        <v>3.69</v>
      </c>
      <c r="AJ27" s="536">
        <f>ROUND(Sources!$U$9,2)</f>
        <v>3.69</v>
      </c>
      <c r="AK27" s="536">
        <f>ROUND(Sources!$U$9,2)</f>
        <v>3.69</v>
      </c>
      <c r="AL27" s="536">
        <f>ROUND(Sources!$U$9,2)</f>
        <v>3.69</v>
      </c>
      <c r="AM27" s="536">
        <f>ROUND(Sources!$U$9,2)</f>
        <v>3.69</v>
      </c>
      <c r="AN27" s="536">
        <f>ROUND(Sources!$U$9,2)</f>
        <v>3.69</v>
      </c>
      <c r="AO27" s="536">
        <f>ROUND(Sources!$U$9,2)</f>
        <v>3.69</v>
      </c>
      <c r="AP27" s="536">
        <f>ROUND(Sources!$U$9,2)</f>
        <v>3.69</v>
      </c>
      <c r="AQ27" s="536">
        <f>ROUND(Sources!$U$9,2)</f>
        <v>3.69</v>
      </c>
      <c r="AR27" s="536">
        <f>ROUND(Sources!$U$9,2)</f>
        <v>3.69</v>
      </c>
      <c r="AS27" s="536">
        <f>ROUND(Sources!$U$9,2)</f>
        <v>3.69</v>
      </c>
      <c r="AT27" s="536">
        <f>ROUND(Sources!$U$9,2)</f>
        <v>3.69</v>
      </c>
      <c r="AU27" s="163">
        <v>1</v>
      </c>
      <c r="AV27" s="168">
        <v>1</v>
      </c>
      <c r="AW27" s="162">
        <v>100</v>
      </c>
      <c r="AX27" s="162"/>
      <c r="AY27" s="162"/>
      <c r="BA27" s="542">
        <f t="shared" si="10"/>
        <v>0</v>
      </c>
      <c r="BB27" s="542">
        <f t="shared" si="11"/>
        <v>0</v>
      </c>
      <c r="BC27" s="542">
        <f t="shared" si="12"/>
        <v>0</v>
      </c>
      <c r="BD27" s="543">
        <f t="shared" si="36"/>
        <v>0</v>
      </c>
      <c r="BE27" s="543">
        <f t="shared" si="36"/>
        <v>0</v>
      </c>
      <c r="BF27" s="543">
        <f t="shared" si="36"/>
        <v>0</v>
      </c>
      <c r="BH27" s="201"/>
      <c r="BI27" s="201"/>
      <c r="BJ27" s="201"/>
      <c r="BK27" s="201"/>
      <c r="BL27" s="201"/>
      <c r="BM27" s="201"/>
      <c r="BN27" s="201"/>
      <c r="BO27" s="201"/>
      <c r="BP27" s="201"/>
      <c r="BQ27" s="201"/>
      <c r="BR27" s="201"/>
    </row>
    <row r="28" spans="1:70">
      <c r="B28" s="162"/>
      <c r="C28" s="162"/>
      <c r="D28" s="568"/>
      <c r="E28" s="191"/>
      <c r="F28" s="156">
        <v>2021</v>
      </c>
      <c r="H28" s="544"/>
      <c r="I28" s="544"/>
      <c r="J28" s="544"/>
      <c r="K28" s="544"/>
      <c r="L28" s="544"/>
      <c r="M28" s="544"/>
      <c r="N28" s="544"/>
      <c r="O28" s="544"/>
      <c r="P28" s="544"/>
      <c r="Q28" s="544"/>
      <c r="R28" s="544"/>
      <c r="S28" s="544"/>
      <c r="T28" s="544"/>
      <c r="U28" s="544"/>
      <c r="V28" s="544"/>
      <c r="W28" s="544"/>
      <c r="X28" s="544"/>
      <c r="Y28" s="544"/>
      <c r="Z28" s="544"/>
      <c r="AA28" s="544"/>
      <c r="AB28" s="544"/>
      <c r="AC28" s="544"/>
      <c r="AD28" s="544"/>
      <c r="AE28" s="544"/>
      <c r="AF28" s="544"/>
      <c r="AG28" s="544"/>
      <c r="AH28" s="544"/>
      <c r="AI28" s="536">
        <f>ROUND(Sources!$U$10,2)</f>
        <v>6.08</v>
      </c>
      <c r="AJ28" s="536">
        <f>ROUND(Sources!$U$10,2)</f>
        <v>6.08</v>
      </c>
      <c r="AK28" s="536">
        <f>ROUND(Sources!$U$10,2)</f>
        <v>6.08</v>
      </c>
      <c r="AL28" s="536">
        <f>ROUND(Sources!$U$10,2)</f>
        <v>6.08</v>
      </c>
      <c r="AM28" s="536">
        <f>ROUND(Sources!$U$10,2)</f>
        <v>6.08</v>
      </c>
      <c r="AN28" s="536">
        <f>ROUND(Sources!$U$10,2)</f>
        <v>6.08</v>
      </c>
      <c r="AO28" s="536">
        <f>ROUND(Sources!$U$10,2)</f>
        <v>6.08</v>
      </c>
      <c r="AP28" s="536">
        <f>ROUND(Sources!$U$10,2)</f>
        <v>6.08</v>
      </c>
      <c r="AQ28" s="536">
        <f>ROUND(Sources!$U$10,2)</f>
        <v>6.08</v>
      </c>
      <c r="AR28" s="536">
        <f>ROUND(Sources!$U$10,2)</f>
        <v>6.08</v>
      </c>
      <c r="AS28" s="536">
        <f>ROUND(Sources!$U$10,2)</f>
        <v>6.08</v>
      </c>
      <c r="AT28" s="536">
        <f>ROUND(Sources!$U$10,2)</f>
        <v>6.08</v>
      </c>
      <c r="AU28" s="163">
        <v>1</v>
      </c>
      <c r="AV28" s="168">
        <v>1</v>
      </c>
      <c r="AW28" s="162">
        <v>100</v>
      </c>
      <c r="AX28" s="162"/>
      <c r="AY28" s="162"/>
      <c r="BA28" s="542">
        <f t="shared" si="10"/>
        <v>0</v>
      </c>
      <c r="BB28" s="542">
        <f t="shared" si="11"/>
        <v>0</v>
      </c>
      <c r="BC28" s="542">
        <f t="shared" si="12"/>
        <v>0</v>
      </c>
      <c r="BD28" s="543">
        <f t="shared" si="36"/>
        <v>0</v>
      </c>
      <c r="BE28" s="543">
        <f t="shared" si="36"/>
        <v>0</v>
      </c>
      <c r="BF28" s="543">
        <f t="shared" si="36"/>
        <v>0</v>
      </c>
      <c r="BH28" s="201"/>
      <c r="BI28" s="201"/>
      <c r="BJ28" s="201"/>
      <c r="BK28" s="201"/>
      <c r="BL28" s="201"/>
      <c r="BM28" s="201"/>
      <c r="BN28" s="201"/>
      <c r="BO28" s="201"/>
      <c r="BP28" s="201"/>
      <c r="BQ28" s="201"/>
      <c r="BR28" s="201"/>
    </row>
    <row r="29" spans="1:70" ht="14" thickBot="1">
      <c r="B29" s="162"/>
      <c r="C29" s="162"/>
      <c r="D29" s="568"/>
      <c r="E29" s="212"/>
      <c r="F29" s="164">
        <v>2031</v>
      </c>
      <c r="G29" s="164"/>
      <c r="H29" s="545"/>
      <c r="I29" s="545"/>
      <c r="J29" s="545"/>
      <c r="K29" s="545"/>
      <c r="L29" s="545"/>
      <c r="M29" s="545"/>
      <c r="N29" s="545"/>
      <c r="O29" s="545"/>
      <c r="P29" s="545"/>
      <c r="Q29" s="545"/>
      <c r="R29" s="545"/>
      <c r="S29" s="545"/>
      <c r="T29" s="545"/>
      <c r="U29" s="545"/>
      <c r="V29" s="545"/>
      <c r="W29" s="545"/>
      <c r="X29" s="545"/>
      <c r="Y29" s="545"/>
      <c r="Z29" s="545"/>
      <c r="AA29" s="545"/>
      <c r="AB29" s="545"/>
      <c r="AC29" s="545"/>
      <c r="AD29" s="545"/>
      <c r="AE29" s="545"/>
      <c r="AF29" s="545"/>
      <c r="AG29" s="545"/>
      <c r="AH29" s="545"/>
      <c r="AI29" s="540">
        <f>ROUND(Sources!$U$11,2)</f>
        <v>6.94</v>
      </c>
      <c r="AJ29" s="536">
        <f>ROUND(Sources!$U$11,2)</f>
        <v>6.94</v>
      </c>
      <c r="AK29" s="536">
        <f>ROUND(Sources!$U$11,2)</f>
        <v>6.94</v>
      </c>
      <c r="AL29" s="540">
        <f>ROUND(Sources!$U$11,2)</f>
        <v>6.94</v>
      </c>
      <c r="AM29" s="536">
        <f>ROUND(Sources!$U$11,2)</f>
        <v>6.94</v>
      </c>
      <c r="AN29" s="536">
        <f>ROUND(Sources!$U$11,2)</f>
        <v>6.94</v>
      </c>
      <c r="AO29" s="540">
        <f>ROUND(Sources!$U$11,2)</f>
        <v>6.94</v>
      </c>
      <c r="AP29" s="536">
        <f>ROUND(Sources!$U$11,2)</f>
        <v>6.94</v>
      </c>
      <c r="AQ29" s="536">
        <f>ROUND(Sources!$U$11,2)</f>
        <v>6.94</v>
      </c>
      <c r="AR29" s="540">
        <f>ROUND(Sources!$U$11,2)</f>
        <v>6.94</v>
      </c>
      <c r="AS29" s="536">
        <f>ROUND(Sources!$U$11,2)</f>
        <v>6.94</v>
      </c>
      <c r="AT29" s="536">
        <f>ROUND(Sources!$U$11,2)</f>
        <v>6.94</v>
      </c>
      <c r="AU29" s="163">
        <v>1</v>
      </c>
      <c r="AV29" s="168">
        <v>1</v>
      </c>
      <c r="AW29" s="162">
        <v>100</v>
      </c>
      <c r="AX29" s="162"/>
      <c r="AY29" s="162"/>
      <c r="BA29" s="542">
        <f t="shared" si="10"/>
        <v>0</v>
      </c>
      <c r="BB29" s="542">
        <f t="shared" si="11"/>
        <v>0</v>
      </c>
      <c r="BC29" s="542">
        <f t="shared" si="12"/>
        <v>0</v>
      </c>
      <c r="BD29" s="543">
        <f t="shared" si="36"/>
        <v>0</v>
      </c>
      <c r="BE29" s="543">
        <f t="shared" si="36"/>
        <v>0</v>
      </c>
      <c r="BF29" s="543">
        <f t="shared" si="36"/>
        <v>0</v>
      </c>
      <c r="BH29" s="201"/>
      <c r="BI29" s="201"/>
      <c r="BJ29" s="201"/>
      <c r="BK29" s="201"/>
      <c r="BL29" s="201"/>
      <c r="BM29" s="201"/>
      <c r="BN29" s="201"/>
      <c r="BO29" s="201"/>
      <c r="BP29" s="201"/>
      <c r="BQ29" s="201"/>
      <c r="BR29" s="201"/>
    </row>
    <row r="30" spans="1:70" ht="15" thickBot="1">
      <c r="B30" s="165" t="str">
        <f>Processes!D19</f>
        <v>RDHRML</v>
      </c>
      <c r="C30" s="165" t="str">
        <f>Processes!E19</f>
        <v xml:space="preserve">Residential Demand Heating Rural Multi -  - Low </v>
      </c>
      <c r="D30" s="127" t="str">
        <f>Commodities!$C$38&amp;","&amp;Commodities!$C$42&amp;","&amp;Commodities!$C$46&amp;","&amp;Commodities!$C$80&amp;","&amp;Commodities!C64</f>
        <v>RESHRMX,RESHRMB,RESHRMBE,RESHSAV,RESHRMSL</v>
      </c>
      <c r="E30" s="7" t="str">
        <f>Commodities!C10</f>
        <v>RHRMB</v>
      </c>
      <c r="F30" s="209"/>
      <c r="G30" s="209"/>
      <c r="H30" s="544" cm="1">
        <f t="array" ref="H30">ROUNDUP(INDEX(Dem!$F$41:$H$44,MATCH(Buildings_DR!$E30,Dem!$B$5:$B$8,0),MATCH(RIGHT(H$7,3),Dem!$F$1:$H$1,0))*_xlfn.IFS(RIGHT($D30,1)="H",$H$4,RIGHT($D30,1)="M",$H$3,RIGHT($D30,1)="L",$H$2),2)</f>
        <v>0</v>
      </c>
      <c r="I30" s="544" cm="1">
        <f t="array" ref="I30">ROUNDUP(INDEX(Dem!$F$41:$H$44,MATCH(Buildings_DR!$E30,Dem!$B$5:$B$8,0),MATCH(RIGHT(I$7,3),Dem!$F$1:$H$1,0))*_xlfn.IFS(RIGHT($D30,1)="H",$H$4,RIGHT($D30,1)="M",$H$3,RIGHT($D30,1)="L",$H$2),2)</f>
        <v>0</v>
      </c>
      <c r="J30" s="544" cm="1">
        <f t="array" ref="J30">ROUNDUP(INDEX(Dem!$F$41:$H$44,MATCH(Buildings_DR!$E30,Dem!$B$5:$B$8,0),MATCH(RIGHT(J$7,3),Dem!$F$1:$H$1,0))*_xlfn.IFS(RIGHT($D30,1)="H",$H$4,RIGHT($D30,1)="M",$H$3,RIGHT($D30,1)="L",$H$2),2)</f>
        <v>0</v>
      </c>
      <c r="K30" s="544" cm="1">
        <f t="array" ref="K30">ROUNDUP(INDEX(Dem!$F$45:$H$48,MATCH(Buildings_DR!$E30,Dem!$B$5:$B$8,0),MATCH(RIGHT(K$7,3),Dem!$F$1:$H$1,0))*_xlfn.IFS(RIGHT($D30,1)="H",$H$4,RIGHT($D30,1)="M",$H$3,RIGHT($D30,1)="L",$H$2),2)</f>
        <v>0</v>
      </c>
      <c r="L30" s="544" cm="1">
        <f t="array" ref="L30">ROUNDUP(INDEX(Dem!$F$45:$H$48,MATCH(Buildings_DR!$E30,Dem!$B$5:$B$8,0),MATCH(RIGHT(L$7,3),Dem!$F$1:$H$1,0))*_xlfn.IFS(RIGHT($D30,1)="H",$H$4,RIGHT($D30,1)="M",$H$3,RIGHT($D30,1)="L",$H$2),2)</f>
        <v>0</v>
      </c>
      <c r="M30" s="544" cm="1">
        <f t="array" ref="M30">ROUNDUP(INDEX(Dem!$F$45:$H$48,MATCH(Buildings_DR!$E30,Dem!$B$5:$B$8,0),MATCH(RIGHT(M$7,3),Dem!$F$1:$H$1,0))*_xlfn.IFS(RIGHT($D30,1)="H",$H$4,RIGHT($D30,1)="M",$H$3,RIGHT($D30,1)="L",$H$2),2)</f>
        <v>0</v>
      </c>
      <c r="N30" s="544" cm="1">
        <f t="array" ref="N30">ROUNDUP(INDEX(Dem!$F$49:$H$52,MATCH(Buildings_DR!$E30,Dem!$B$5:$B$8,0),MATCH(RIGHT(N$7,3),Dem!$F$1:$H$1,0))*_xlfn.IFS(RIGHT($D30,1)="H",$H$4,RIGHT($D30,1)="M",$H$3,RIGHT($D30,1)="L",$H$2),2)</f>
        <v>0</v>
      </c>
      <c r="O30" s="544" cm="1">
        <f t="array" ref="O30">ROUNDUP(INDEX(Dem!$F$49:$H$52,MATCH(Buildings_DR!$E30,Dem!$B$5:$B$8,0),MATCH(RIGHT(O$7,3),Dem!$F$1:$H$1,0))*_xlfn.IFS(RIGHT($D30,1)="H",$H$4,RIGHT($D30,1)="M",$H$3,RIGHT($D30,1)="L",$H$2),2)</f>
        <v>0</v>
      </c>
      <c r="P30" s="544" cm="1">
        <f t="array" ref="P30">ROUNDUP(INDEX(Dem!$F$49:$H$52,MATCH(Buildings_DR!$E30,Dem!$B$5:$B$8,0),MATCH(RIGHT(P$7,3),Dem!$F$1:$H$1,0))*_xlfn.IFS(RIGHT($D30,1)="H",$H$4,RIGHT($D30,1)="M",$H$3,RIGHT($D30,1)="L",$H$2),2)</f>
        <v>0</v>
      </c>
      <c r="Q30" s="544">
        <f t="shared" ref="Q30:S32" si="37">H30*0.6</f>
        <v>0</v>
      </c>
      <c r="R30" s="544">
        <f t="shared" si="37"/>
        <v>0</v>
      </c>
      <c r="S30" s="544">
        <f t="shared" si="37"/>
        <v>0</v>
      </c>
      <c r="T30" s="544">
        <f t="shared" ref="T30:AE30" si="38">H30*0.99</f>
        <v>0</v>
      </c>
      <c r="U30" s="544">
        <f t="shared" si="38"/>
        <v>0</v>
      </c>
      <c r="V30" s="544">
        <f t="shared" si="38"/>
        <v>0</v>
      </c>
      <c r="W30" s="544">
        <f t="shared" si="38"/>
        <v>0</v>
      </c>
      <c r="X30" s="544">
        <f t="shared" si="38"/>
        <v>0</v>
      </c>
      <c r="Y30" s="544">
        <f t="shared" si="38"/>
        <v>0</v>
      </c>
      <c r="Z30" s="544">
        <f t="shared" si="38"/>
        <v>0</v>
      </c>
      <c r="AA30" s="544">
        <f t="shared" si="38"/>
        <v>0</v>
      </c>
      <c r="AB30" s="544">
        <f t="shared" si="38"/>
        <v>0</v>
      </c>
      <c r="AC30" s="544">
        <f t="shared" si="38"/>
        <v>0</v>
      </c>
      <c r="AD30" s="544">
        <f t="shared" si="38"/>
        <v>0</v>
      </c>
      <c r="AE30" s="544">
        <f t="shared" si="38"/>
        <v>0</v>
      </c>
      <c r="AF30" s="544">
        <v>5</v>
      </c>
      <c r="AG30" s="544">
        <v>5</v>
      </c>
      <c r="AH30" s="544">
        <v>5</v>
      </c>
      <c r="AI30" s="535">
        <f t="shared" ref="AI30:AT30" si="39">AI31/2</f>
        <v>1.2599999999999998</v>
      </c>
      <c r="AJ30" s="534">
        <f t="shared" si="39"/>
        <v>2.09</v>
      </c>
      <c r="AK30" s="534">
        <f t="shared" si="39"/>
        <v>2.085</v>
      </c>
      <c r="AL30" s="535">
        <f t="shared" si="39"/>
        <v>1.3766899999999997</v>
      </c>
      <c r="AM30" s="534">
        <f t="shared" si="39"/>
        <v>2.30111</v>
      </c>
      <c r="AN30" s="534">
        <f t="shared" si="39"/>
        <v>2.2315300000000002</v>
      </c>
      <c r="AO30" s="535">
        <f t="shared" si="39"/>
        <v>1.3099999999999998</v>
      </c>
      <c r="AP30" s="534">
        <f t="shared" si="39"/>
        <v>2.13</v>
      </c>
      <c r="AQ30" s="534">
        <f t="shared" si="39"/>
        <v>2.1599999999999997</v>
      </c>
      <c r="AR30" s="535">
        <f t="shared" si="39"/>
        <v>1.2149999999999999</v>
      </c>
      <c r="AS30" s="534">
        <f t="shared" si="39"/>
        <v>1.9749999999999999</v>
      </c>
      <c r="AT30" s="534">
        <f t="shared" si="39"/>
        <v>2.0049999999999999</v>
      </c>
      <c r="AU30" s="210">
        <v>1</v>
      </c>
      <c r="AV30" s="208">
        <v>1</v>
      </c>
      <c r="AW30" s="160"/>
      <c r="AX30" s="162"/>
      <c r="AY30" s="162"/>
      <c r="AZ30" s="199"/>
      <c r="BA30" s="542">
        <f t="shared" si="10"/>
        <v>0</v>
      </c>
      <c r="BB30" s="542">
        <f t="shared" si="11"/>
        <v>0</v>
      </c>
      <c r="BC30" s="542">
        <f t="shared" si="12"/>
        <v>0</v>
      </c>
      <c r="BD30" s="543">
        <f t="shared" ref="BD30:BF36" si="40">BA30/AI30</f>
        <v>0</v>
      </c>
      <c r="BE30" s="543">
        <f t="shared" si="40"/>
        <v>0</v>
      </c>
      <c r="BF30" s="543">
        <f t="shared" si="40"/>
        <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Commodities!$C$38&amp;","&amp;Commodities!$C$42&amp;","&amp;Commodities!$C$46&amp;","&amp;Commodities!$C$80&amp;","&amp;Commodities!C65</f>
        <v>RESHRMX,RESHRMB,RESHRMBE,RESHSAV,RESHRMSM</v>
      </c>
      <c r="E31" s="191" t="str">
        <f>E30</f>
        <v>RHRMB</v>
      </c>
      <c r="F31" s="191"/>
      <c r="G31" s="191"/>
      <c r="H31" s="544" cm="1">
        <f t="array" ref="H31">ROUNDUP(INDEX(Dem!$F$41:$H$44,MATCH(Buildings_DR!$E31,Dem!$B$5:$B$8,0),MATCH(RIGHT(H$7,3),Dem!$F$1:$H$1,0))*_xlfn.IFS(RIGHT($D31,1)="H",$H$4,RIGHT($D31,1)="M",$H$3,RIGHT($D31,1)="L",$H$2),2)</f>
        <v>3.0799999999999996</v>
      </c>
      <c r="I31" s="544" cm="1">
        <f t="array" ref="I31">ROUNDUP(INDEX(Dem!$F$41:$H$44,MATCH(Buildings_DR!$E31,Dem!$B$5:$B$8,0),MATCH(RIGHT(I$7,3),Dem!$F$1:$H$1,0))*_xlfn.IFS(RIGHT($D31,1)="H",$H$4,RIGHT($D31,1)="M",$H$3,RIGHT($D31,1)="L",$H$2),2)</f>
        <v>0.13</v>
      </c>
      <c r="J31" s="544" cm="1">
        <f t="array" ref="J31">ROUNDUP(INDEX(Dem!$F$41:$H$44,MATCH(Buildings_DR!$E31,Dem!$B$5:$B$8,0),MATCH(RIGHT(J$7,3),Dem!$F$1:$H$1,0))*_xlfn.IFS(RIGHT($D31,1)="H",$H$4,RIGHT($D31,1)="M",$H$3,RIGHT($D31,1)="L",$H$2),2)</f>
        <v>0.41000000000000003</v>
      </c>
      <c r="K31" s="544" cm="1">
        <f t="array" ref="K31">ROUNDUP(INDEX(Dem!$F$45:$H$48,MATCH(Buildings_DR!$E31,Dem!$B$5:$B$8,0),MATCH(RIGHT(K$7,3),Dem!$F$1:$H$1,0))*_xlfn.IFS(RIGHT($D31,1)="H",$H$4,RIGHT($D31,1)="M",$H$3,RIGHT($D31,1)="L",$H$2),2)</f>
        <v>3.2899999999999996</v>
      </c>
      <c r="L31" s="544" cm="1">
        <f t="array" ref="L31">ROUNDUP(INDEX(Dem!$F$45:$H$48,MATCH(Buildings_DR!$E31,Dem!$B$5:$B$8,0),MATCH(RIGHT(L$7,3),Dem!$F$1:$H$1,0))*_xlfn.IFS(RIGHT($D31,1)="H",$H$4,RIGHT($D31,1)="M",$H$3,RIGHT($D31,1)="L",$H$2),2)</f>
        <v>0.14000000000000001</v>
      </c>
      <c r="M31" s="544" cm="1">
        <f t="array" ref="M31">ROUNDUP(INDEX(Dem!$F$45:$H$48,MATCH(Buildings_DR!$E31,Dem!$B$5:$B$8,0),MATCH(RIGHT(M$7,3),Dem!$F$1:$H$1,0))*_xlfn.IFS(RIGHT($D31,1)="H",$H$4,RIGHT($D31,1)="M",$H$3,RIGHT($D31,1)="L",$H$2),2)</f>
        <v>0.43</v>
      </c>
      <c r="N31" s="544" cm="1">
        <f t="array" ref="N31">ROUNDUP(INDEX(Dem!$F$49:$H$52,MATCH(Buildings_DR!$E31,Dem!$B$5:$B$8,0),MATCH(RIGHT(N$7,3),Dem!$F$1:$H$1,0))*_xlfn.IFS(RIGHT($D31,1)="H",$H$4,RIGHT($D31,1)="M",$H$3,RIGHT($D31,1)="L",$H$2),2)</f>
        <v>3.3899999999999997</v>
      </c>
      <c r="O31" s="544" cm="1">
        <f t="array" ref="O31">ROUNDUP(INDEX(Dem!$F$49:$H$52,MATCH(Buildings_DR!$E31,Dem!$B$5:$B$8,0),MATCH(RIGHT(O$7,3),Dem!$F$1:$H$1,0))*_xlfn.IFS(RIGHT($D31,1)="H",$H$4,RIGHT($D31,1)="M",$H$3,RIGHT($D31,1)="L",$H$2),2)</f>
        <v>0.14000000000000001</v>
      </c>
      <c r="P31" s="544" cm="1">
        <f t="array" ref="P31">ROUNDUP(INDEX(Dem!$F$49:$H$52,MATCH(Buildings_DR!$E31,Dem!$B$5:$B$8,0),MATCH(RIGHT(P$7,3),Dem!$F$1:$H$1,0))*_xlfn.IFS(RIGHT($D31,1)="H",$H$4,RIGHT($D31,1)="M",$H$3,RIGHT($D31,1)="L",$H$2),2)</f>
        <v>0.45</v>
      </c>
      <c r="Q31" s="544">
        <f t="shared" si="37"/>
        <v>1.8479999999999996</v>
      </c>
      <c r="R31" s="544">
        <f t="shared" si="37"/>
        <v>7.8E-2</v>
      </c>
      <c r="S31" s="544">
        <f t="shared" si="37"/>
        <v>0.246</v>
      </c>
      <c r="T31" s="544">
        <f t="shared" ref="T31:AB31" si="41">H31*$K$2</f>
        <v>3.0491999999999995</v>
      </c>
      <c r="U31" s="544">
        <f t="shared" si="41"/>
        <v>0.12870000000000001</v>
      </c>
      <c r="V31" s="544">
        <f t="shared" si="41"/>
        <v>0.40590000000000004</v>
      </c>
      <c r="W31" s="544">
        <f t="shared" si="41"/>
        <v>3.2570999999999994</v>
      </c>
      <c r="X31" s="544">
        <f t="shared" si="41"/>
        <v>0.1386</v>
      </c>
      <c r="Y31" s="544">
        <f t="shared" si="41"/>
        <v>0.42569999999999997</v>
      </c>
      <c r="Z31" s="544">
        <f t="shared" si="41"/>
        <v>3.3560999999999996</v>
      </c>
      <c r="AA31" s="544">
        <f t="shared" si="41"/>
        <v>0.1386</v>
      </c>
      <c r="AB31" s="544">
        <f t="shared" si="41"/>
        <v>0.44550000000000001</v>
      </c>
      <c r="AC31" s="544">
        <f>Q31*$K$3</f>
        <v>1.8295199999999996</v>
      </c>
      <c r="AD31" s="544">
        <f>R31*$K$3</f>
        <v>7.7219999999999997E-2</v>
      </c>
      <c r="AE31" s="544">
        <f>S31*$K$3</f>
        <v>0.24354000000000001</v>
      </c>
      <c r="AF31" s="544">
        <v>5</v>
      </c>
      <c r="AG31" s="544">
        <v>5</v>
      </c>
      <c r="AH31" s="544">
        <v>5</v>
      </c>
      <c r="AI31" s="535">
        <f>ROUNDUP(SUM(H30:H36)/SUM(Boilers_DR!AB36:AB45),2)</f>
        <v>2.5199999999999996</v>
      </c>
      <c r="AJ31" s="535">
        <f>ROUNDUP(SUM(I30:I36)/SUM(Boilers_DR!AC36:AC45),2)</f>
        <v>4.18</v>
      </c>
      <c r="AK31" s="535">
        <f>ROUNDUP(SUM(J30:J36)/SUM(Boilers_DR!AD36:AD45),2)</f>
        <v>4.17</v>
      </c>
      <c r="AL31" s="535">
        <f>ROUNDUP(SUM(K30:K36)/SUM(Boilers_DR!AB76:AB85),2)*AL3</f>
        <v>2.7533799999999995</v>
      </c>
      <c r="AM31" s="535">
        <f>ROUNDUP(SUM(L30:L36)/SUM(Boilers_DR!AC76:AC85),2)*AM3</f>
        <v>4.60222</v>
      </c>
      <c r="AN31" s="535">
        <f>ROUNDUP(SUM(M30:M36)/SUM(Boilers_DR!AD76:AD85),2)*AN3</f>
        <v>4.4630600000000005</v>
      </c>
      <c r="AO31" s="535">
        <f>ROUNDUP(SUM(N30:N36)/SUM(Boilers_DR!AB116:AB125),2)</f>
        <v>2.6199999999999997</v>
      </c>
      <c r="AP31" s="535">
        <f>ROUNDUP(SUM(O30:O36)/SUM(Boilers_DR!AC116:AC125),2)</f>
        <v>4.26</v>
      </c>
      <c r="AQ31" s="535">
        <f>ROUNDUP(SUM(P30:P36)/SUM(Boilers_DR!AD116:AD125),2)</f>
        <v>4.3199999999999994</v>
      </c>
      <c r="AR31" s="535">
        <f>ROUNDUP(SUM(N30:N36)/SUM(Boilers_DR!AB156:AB165),2)</f>
        <v>2.4299999999999997</v>
      </c>
      <c r="AS31" s="535">
        <f>ROUNDUP(SUM(O30:O36)/SUM(Boilers_DR!AC156:AC165),2)</f>
        <v>3.9499999999999997</v>
      </c>
      <c r="AT31" s="535">
        <f>ROUNDUP(SUM(P30:P36)/SUM(Boilers_DR!AD156:AD165),2)</f>
        <v>4.01</v>
      </c>
      <c r="AU31" s="163">
        <v>1</v>
      </c>
      <c r="AV31" s="162">
        <v>1</v>
      </c>
      <c r="AW31" s="160"/>
      <c r="AX31" s="162"/>
      <c r="AY31" s="162"/>
      <c r="AZ31" s="199"/>
      <c r="BA31" s="542">
        <f t="shared" si="10"/>
        <v>3.0799999999999996</v>
      </c>
      <c r="BB31" s="542">
        <f t="shared" si="11"/>
        <v>0.13</v>
      </c>
      <c r="BC31" s="542">
        <f t="shared" si="12"/>
        <v>0.41000000000000003</v>
      </c>
      <c r="BD31" s="543">
        <f t="shared" si="40"/>
        <v>1.2222222222222223</v>
      </c>
      <c r="BE31" s="543">
        <f t="shared" si="40"/>
        <v>3.1100478468899524E-2</v>
      </c>
      <c r="BF31" s="543">
        <f t="shared" si="40"/>
        <v>9.8321342925659486E-2</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Commodities!$C$38&amp;","&amp;Commodities!$C$42&amp;","&amp;Commodities!$C$46&amp;","&amp;Commodities!$C$80&amp;","&amp;Commodities!C66</f>
        <v>RESHRMX,RESHRMB,RESHRMBE,RESHSAV,RESHRMSH</v>
      </c>
      <c r="E32" s="191" t="str">
        <f>E31</f>
        <v>RHRMB</v>
      </c>
      <c r="F32" s="191"/>
      <c r="G32" s="191"/>
      <c r="H32" s="544" cm="1">
        <f t="array" ref="H32">ROUNDUP(INDEX(Dem!$F$41:$H$44,MATCH(Buildings_DR!$E32,Dem!$B$5:$B$8,0),MATCH(RIGHT(H$7,3),Dem!$F$1:$H$1,0))*_xlfn.IFS(RIGHT($D32,1)="H",$H$4,RIGHT($D32,1)="M",$H$3,RIGHT($D32,1)="L",$H$2),2)</f>
        <v>0</v>
      </c>
      <c r="I32" s="544" cm="1">
        <f t="array" ref="I32">ROUNDUP(INDEX(Dem!$F$41:$H$44,MATCH(Buildings_DR!$E32,Dem!$B$5:$B$8,0),MATCH(RIGHT(I$7,3),Dem!$F$1:$H$1,0))*_xlfn.IFS(RIGHT($D32,1)="H",$H$4,RIGHT($D32,1)="M",$H$3,RIGHT($D32,1)="L",$H$2),2)</f>
        <v>0</v>
      </c>
      <c r="J32" s="544" cm="1">
        <f t="array" ref="J32">ROUNDUP(INDEX(Dem!$F$41:$H$44,MATCH(Buildings_DR!$E32,Dem!$B$5:$B$8,0),MATCH(RIGHT(J$7,3),Dem!$F$1:$H$1,0))*_xlfn.IFS(RIGHT($D32,1)="H",$H$4,RIGHT($D32,1)="M",$H$3,RIGHT($D32,1)="L",$H$2),2)</f>
        <v>0</v>
      </c>
      <c r="K32" s="544" cm="1">
        <f t="array" ref="K32">ROUNDUP(INDEX(Dem!$F$45:$H$48,MATCH(Buildings_DR!$E32,Dem!$B$5:$B$8,0),MATCH(RIGHT(K$7,3),Dem!$F$1:$H$1,0))*_xlfn.IFS(RIGHT($D32,1)="H",$H$4,RIGHT($D32,1)="M",$H$3,RIGHT($D32,1)="L",$H$2),2)</f>
        <v>0</v>
      </c>
      <c r="L32" s="544" cm="1">
        <f t="array" ref="L32">ROUNDUP(INDEX(Dem!$F$45:$H$48,MATCH(Buildings_DR!$E32,Dem!$B$5:$B$8,0),MATCH(RIGHT(L$7,3),Dem!$F$1:$H$1,0))*_xlfn.IFS(RIGHT($D32,1)="H",$H$4,RIGHT($D32,1)="M",$H$3,RIGHT($D32,1)="L",$H$2),2)</f>
        <v>0</v>
      </c>
      <c r="M32" s="544" cm="1">
        <f t="array" ref="M32">ROUNDUP(INDEX(Dem!$F$45:$H$48,MATCH(Buildings_DR!$E32,Dem!$B$5:$B$8,0),MATCH(RIGHT(M$7,3),Dem!$F$1:$H$1,0))*_xlfn.IFS(RIGHT($D32,1)="H",$H$4,RIGHT($D32,1)="M",$H$3,RIGHT($D32,1)="L",$H$2),2)</f>
        <v>0</v>
      </c>
      <c r="N32" s="544" cm="1">
        <f t="array" ref="N32">ROUNDUP(INDEX(Dem!$F$49:$H$52,MATCH(Buildings_DR!$E32,Dem!$B$5:$B$8,0),MATCH(RIGHT(N$7,3),Dem!$F$1:$H$1,0))*_xlfn.IFS(RIGHT($D32,1)="H",$H$4,RIGHT($D32,1)="M",$H$3,RIGHT($D32,1)="L",$H$2),2)</f>
        <v>0</v>
      </c>
      <c r="O32" s="544" cm="1">
        <f t="array" ref="O32">ROUNDUP(INDEX(Dem!$F$49:$H$52,MATCH(Buildings_DR!$E32,Dem!$B$5:$B$8,0),MATCH(RIGHT(O$7,3),Dem!$F$1:$H$1,0))*_xlfn.IFS(RIGHT($D32,1)="H",$H$4,RIGHT($D32,1)="M",$H$3,RIGHT($D32,1)="L",$H$2),2)</f>
        <v>0</v>
      </c>
      <c r="P32" s="544" cm="1">
        <f t="array" ref="P32">ROUNDUP(INDEX(Dem!$F$49:$H$52,MATCH(Buildings_DR!$E32,Dem!$B$5:$B$8,0),MATCH(RIGHT(P$7,3),Dem!$F$1:$H$1,0))*_xlfn.IFS(RIGHT($D32,1)="H",$H$4,RIGHT($D32,1)="M",$H$3,RIGHT($D32,1)="L",$H$2),2)</f>
        <v>0</v>
      </c>
      <c r="Q32" s="544">
        <f t="shared" si="37"/>
        <v>0</v>
      </c>
      <c r="R32" s="544">
        <f t="shared" si="37"/>
        <v>0</v>
      </c>
      <c r="S32" s="544">
        <f t="shared" si="37"/>
        <v>0</v>
      </c>
      <c r="T32" s="544">
        <f t="shared" ref="T32:AE32" si="42">H32*0.99</f>
        <v>0</v>
      </c>
      <c r="U32" s="544">
        <f t="shared" si="42"/>
        <v>0</v>
      </c>
      <c r="V32" s="544">
        <f t="shared" si="42"/>
        <v>0</v>
      </c>
      <c r="W32" s="544">
        <f t="shared" si="42"/>
        <v>0</v>
      </c>
      <c r="X32" s="544">
        <f t="shared" si="42"/>
        <v>0</v>
      </c>
      <c r="Y32" s="544">
        <f t="shared" si="42"/>
        <v>0</v>
      </c>
      <c r="Z32" s="544">
        <f t="shared" si="42"/>
        <v>0</v>
      </c>
      <c r="AA32" s="544">
        <f t="shared" si="42"/>
        <v>0</v>
      </c>
      <c r="AB32" s="544">
        <f t="shared" si="42"/>
        <v>0</v>
      </c>
      <c r="AC32" s="544">
        <f t="shared" si="42"/>
        <v>0</v>
      </c>
      <c r="AD32" s="544">
        <f t="shared" si="42"/>
        <v>0</v>
      </c>
      <c r="AE32" s="544">
        <f t="shared" si="42"/>
        <v>0</v>
      </c>
      <c r="AF32" s="544">
        <v>5</v>
      </c>
      <c r="AG32" s="544">
        <v>5</v>
      </c>
      <c r="AH32" s="544">
        <v>5</v>
      </c>
      <c r="AI32" s="535">
        <f t="shared" ref="AI32:AQ32" si="43">AI31/2+AI33/2</f>
        <v>2.83</v>
      </c>
      <c r="AJ32" s="535">
        <f t="shared" si="43"/>
        <v>3.66</v>
      </c>
      <c r="AK32" s="535">
        <f t="shared" si="43"/>
        <v>3.6550000000000002</v>
      </c>
      <c r="AL32" s="535">
        <f t="shared" si="43"/>
        <v>2.9466899999999998</v>
      </c>
      <c r="AM32" s="535">
        <f t="shared" si="43"/>
        <v>3.8711099999999998</v>
      </c>
      <c r="AN32" s="535">
        <f t="shared" si="43"/>
        <v>3.8015300000000005</v>
      </c>
      <c r="AO32" s="535">
        <f t="shared" si="43"/>
        <v>2.88</v>
      </c>
      <c r="AP32" s="535">
        <f t="shared" si="43"/>
        <v>3.7</v>
      </c>
      <c r="AQ32" s="535">
        <f t="shared" si="43"/>
        <v>3.7299999999999995</v>
      </c>
      <c r="AR32" s="535">
        <f t="shared" ref="AR32:AT32" si="44">AR31/2+AR33/2</f>
        <v>2.7850000000000001</v>
      </c>
      <c r="AS32" s="535">
        <f t="shared" si="44"/>
        <v>3.5449999999999999</v>
      </c>
      <c r="AT32" s="535">
        <f t="shared" si="44"/>
        <v>3.5750000000000002</v>
      </c>
      <c r="AU32" s="163">
        <v>1</v>
      </c>
      <c r="AV32" s="162">
        <v>1</v>
      </c>
      <c r="AW32" s="162"/>
      <c r="AX32" s="162"/>
      <c r="AY32" s="162"/>
      <c r="AZ32" s="199"/>
      <c r="BA32" s="542">
        <f t="shared" si="10"/>
        <v>0</v>
      </c>
      <c r="BB32" s="542">
        <f t="shared" si="11"/>
        <v>0</v>
      </c>
      <c r="BC32" s="542">
        <f t="shared" si="12"/>
        <v>0</v>
      </c>
      <c r="BD32" s="203">
        <f t="shared" si="40"/>
        <v>0</v>
      </c>
      <c r="BE32" s="203">
        <f t="shared" si="40"/>
        <v>0</v>
      </c>
      <c r="BF32" s="203">
        <f t="shared" si="40"/>
        <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Commodities!$C$38&amp;","&amp;Commodities!$C$42&amp;","&amp;Commodities!$C$50</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36">
        <f>ROUND(Sources!$U$8,2)</f>
        <v>3.14</v>
      </c>
      <c r="AJ33" s="536">
        <f>ROUND(Sources!$U$8,2)</f>
        <v>3.14</v>
      </c>
      <c r="AK33" s="536">
        <f>ROUND(Sources!$U$8,2)</f>
        <v>3.14</v>
      </c>
      <c r="AL33" s="536">
        <f>ROUND(Sources!$U$8,2)</f>
        <v>3.14</v>
      </c>
      <c r="AM33" s="536">
        <f>ROUND(Sources!$U$8,2)</f>
        <v>3.14</v>
      </c>
      <c r="AN33" s="536">
        <f>ROUND(Sources!$U$8,2)</f>
        <v>3.14</v>
      </c>
      <c r="AO33" s="536">
        <f>ROUND(Sources!$U$8,2)</f>
        <v>3.14</v>
      </c>
      <c r="AP33" s="536">
        <f>ROUND(Sources!$U$8,2)</f>
        <v>3.14</v>
      </c>
      <c r="AQ33" s="536">
        <f>ROUND(Sources!$U$8,2)</f>
        <v>3.14</v>
      </c>
      <c r="AR33" s="536">
        <f>ROUND(Sources!$U$8,2)</f>
        <v>3.14</v>
      </c>
      <c r="AS33" s="536">
        <f>ROUND(Sources!$U$8,2)</f>
        <v>3.14</v>
      </c>
      <c r="AT33" s="536">
        <f>ROUND(Sources!$U$8,2)</f>
        <v>3.14</v>
      </c>
      <c r="AU33" s="163">
        <v>1</v>
      </c>
      <c r="AV33" s="168">
        <v>1</v>
      </c>
      <c r="AW33" s="162">
        <v>100</v>
      </c>
      <c r="AX33" s="162"/>
      <c r="AY33" s="162"/>
      <c r="BA33" s="542">
        <f t="shared" si="10"/>
        <v>0</v>
      </c>
      <c r="BB33" s="542">
        <f t="shared" si="11"/>
        <v>0</v>
      </c>
      <c r="BC33" s="542">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68"/>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36">
        <f>ROUND(Sources!$U$9,2)</f>
        <v>3.69</v>
      </c>
      <c r="AJ34" s="536">
        <f>ROUND(Sources!$U$9,2)</f>
        <v>3.69</v>
      </c>
      <c r="AK34" s="536">
        <f>ROUND(Sources!$U$9,2)</f>
        <v>3.69</v>
      </c>
      <c r="AL34" s="536">
        <f>ROUND(Sources!$U$9,2)</f>
        <v>3.69</v>
      </c>
      <c r="AM34" s="536">
        <f>ROUND(Sources!$U$9,2)</f>
        <v>3.69</v>
      </c>
      <c r="AN34" s="536">
        <f>ROUND(Sources!$U$9,2)</f>
        <v>3.69</v>
      </c>
      <c r="AO34" s="536">
        <f>ROUND(Sources!$U$9,2)</f>
        <v>3.69</v>
      </c>
      <c r="AP34" s="536">
        <f>ROUND(Sources!$U$9,2)</f>
        <v>3.69</v>
      </c>
      <c r="AQ34" s="536">
        <f>ROUND(Sources!$U$9,2)</f>
        <v>3.69</v>
      </c>
      <c r="AR34" s="536">
        <f>ROUND(Sources!$U$9,2)</f>
        <v>3.69</v>
      </c>
      <c r="AS34" s="536">
        <f>ROUND(Sources!$U$9,2)</f>
        <v>3.69</v>
      </c>
      <c r="AT34" s="536">
        <f>ROUND(Sources!$U$9,2)</f>
        <v>3.69</v>
      </c>
      <c r="AU34" s="163">
        <v>1</v>
      </c>
      <c r="AV34" s="168">
        <v>1</v>
      </c>
      <c r="AW34" s="162">
        <v>100</v>
      </c>
      <c r="AX34" s="162"/>
      <c r="AY34" s="162"/>
      <c r="BA34" s="542">
        <f t="shared" si="10"/>
        <v>0</v>
      </c>
      <c r="BB34" s="542">
        <f t="shared" si="11"/>
        <v>0</v>
      </c>
      <c r="BC34" s="542">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68"/>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36">
        <f>ROUND(Sources!$U$10,2)</f>
        <v>6.08</v>
      </c>
      <c r="AJ35" s="536">
        <f>ROUND(Sources!$U$10,2)</f>
        <v>6.08</v>
      </c>
      <c r="AK35" s="536">
        <f>ROUND(Sources!$U$10,2)</f>
        <v>6.08</v>
      </c>
      <c r="AL35" s="536">
        <f>ROUND(Sources!$U$10,2)</f>
        <v>6.08</v>
      </c>
      <c r="AM35" s="536">
        <f>ROUND(Sources!$U$10,2)</f>
        <v>6.08</v>
      </c>
      <c r="AN35" s="536">
        <f>ROUND(Sources!$U$10,2)</f>
        <v>6.08</v>
      </c>
      <c r="AO35" s="536">
        <f>ROUND(Sources!$U$10,2)</f>
        <v>6.08</v>
      </c>
      <c r="AP35" s="536">
        <f>ROUND(Sources!$U$10,2)</f>
        <v>6.08</v>
      </c>
      <c r="AQ35" s="536">
        <f>ROUND(Sources!$U$10,2)</f>
        <v>6.08</v>
      </c>
      <c r="AR35" s="536">
        <f>ROUND(Sources!$U$10,2)</f>
        <v>6.08</v>
      </c>
      <c r="AS35" s="536">
        <f>ROUND(Sources!$U$10,2)</f>
        <v>6.08</v>
      </c>
      <c r="AT35" s="536">
        <f>ROUND(Sources!$U$10,2)</f>
        <v>6.08</v>
      </c>
      <c r="AU35" s="163">
        <v>1</v>
      </c>
      <c r="AV35" s="168">
        <v>1</v>
      </c>
      <c r="AW35" s="162">
        <v>100</v>
      </c>
      <c r="AX35" s="162"/>
      <c r="AY35" s="162"/>
      <c r="BA35" s="542">
        <f t="shared" si="10"/>
        <v>0</v>
      </c>
      <c r="BB35" s="542">
        <f t="shared" si="11"/>
        <v>0</v>
      </c>
      <c r="BC35" s="542">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9"/>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40">
        <f>ROUND(Sources!$U$11,2)</f>
        <v>6.94</v>
      </c>
      <c r="AJ36" s="540">
        <f>ROUND(Sources!$U$11,2)</f>
        <v>6.94</v>
      </c>
      <c r="AK36" s="540">
        <f>ROUND(Sources!$U$11,2)</f>
        <v>6.94</v>
      </c>
      <c r="AL36" s="540">
        <f>ROUND(Sources!$U$11,2)</f>
        <v>6.94</v>
      </c>
      <c r="AM36" s="540">
        <f>ROUND(Sources!$U$11,2)</f>
        <v>6.94</v>
      </c>
      <c r="AN36" s="540">
        <f>ROUND(Sources!$U$11,2)</f>
        <v>6.94</v>
      </c>
      <c r="AO36" s="540">
        <f>ROUND(Sources!$U$11,2)</f>
        <v>6.94</v>
      </c>
      <c r="AP36" s="540">
        <f>ROUND(Sources!$U$11,2)</f>
        <v>6.94</v>
      </c>
      <c r="AQ36" s="540">
        <f>ROUND(Sources!$U$11,2)</f>
        <v>6.94</v>
      </c>
      <c r="AR36" s="540">
        <f>ROUND(Sources!$U$11,2)</f>
        <v>6.94</v>
      </c>
      <c r="AS36" s="540">
        <f>ROUND(Sources!$U$11,2)</f>
        <v>6.94</v>
      </c>
      <c r="AT36" s="540">
        <f>ROUND(Sources!$U$11,2)</f>
        <v>6.94</v>
      </c>
      <c r="AU36" s="213">
        <v>1</v>
      </c>
      <c r="AV36" s="214">
        <v>1</v>
      </c>
      <c r="AW36" s="211">
        <v>100</v>
      </c>
      <c r="AX36" s="162"/>
      <c r="AY36" s="162"/>
      <c r="BA36" s="542">
        <f t="shared" si="10"/>
        <v>0</v>
      </c>
      <c r="BB36" s="542">
        <f t="shared" si="11"/>
        <v>0</v>
      </c>
      <c r="BC36" s="542">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68"/>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8" t="s">
        <v>196</v>
      </c>
      <c r="BD37" s="290">
        <f>SUM(Boilers_DR!AB6:AB25)</f>
        <v>42.575348333593134</v>
      </c>
      <c r="BE37" s="290">
        <f>SUM(Boilers_DR!AC6:AC25)</f>
        <v>1.0815082352083791</v>
      </c>
      <c r="BF37" s="290">
        <f>SUM(Boilers_DR!AD6:AD25)</f>
        <v>3.4245576132645152</v>
      </c>
      <c r="BG37" s="288"/>
      <c r="BH37" s="201"/>
      <c r="BI37" s="201"/>
      <c r="BJ37" s="201"/>
      <c r="BK37" s="201"/>
      <c r="BL37" s="201"/>
      <c r="BM37" s="201"/>
      <c r="BN37" s="201"/>
      <c r="BO37" s="201"/>
      <c r="BP37" s="201"/>
      <c r="BQ37" s="201"/>
      <c r="BR37" s="201"/>
    </row>
    <row r="38" spans="2:72">
      <c r="B38" s="162"/>
      <c r="C38" s="162"/>
      <c r="D38" s="568"/>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90">
        <f>SUM(Boilers_DR!AB26:AB45)</f>
        <v>16.025679618474147</v>
      </c>
      <c r="BE38" s="290">
        <f>SUM(Boilers_DR!AC26:AC45)</f>
        <v>0.40708779048357219</v>
      </c>
      <c r="BF38" s="290">
        <f>SUM(Boilers_DR!AD26:AD45)</f>
        <v>1.2890291047103681</v>
      </c>
      <c r="BG38" s="289"/>
      <c r="BH38" s="201"/>
      <c r="BI38" s="201"/>
      <c r="BJ38" s="201"/>
      <c r="BK38" s="201"/>
      <c r="BL38" s="201"/>
      <c r="BM38" s="201"/>
      <c r="BN38" s="201"/>
      <c r="BO38" s="201"/>
      <c r="BP38" s="201"/>
      <c r="BQ38" s="201"/>
      <c r="BR38" s="201"/>
    </row>
    <row r="39" spans="2:72">
      <c r="B39" s="162"/>
      <c r="C39" s="162"/>
      <c r="D39" s="568"/>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3" t="s">
        <v>195</v>
      </c>
      <c r="BA39"/>
      <c r="BB39"/>
      <c r="BC39"/>
      <c r="BD39" s="284">
        <f>SUM(BD9:BD22)</f>
        <v>42.470835474634761</v>
      </c>
      <c r="BE39" s="284">
        <f>SUM(BE9:BE22)</f>
        <v>1.0789049919484701</v>
      </c>
      <c r="BF39" s="284">
        <f>SUM(BF9:BF22)</f>
        <v>3.411916264090177</v>
      </c>
      <c r="BG39" s="284"/>
      <c r="BH39" s="286"/>
      <c r="BI39" s="201"/>
      <c r="BJ39" s="201"/>
      <c r="BK39" s="201"/>
      <c r="BL39" s="201"/>
      <c r="BM39" s="201"/>
      <c r="BN39" s="201"/>
      <c r="BO39" s="201"/>
      <c r="BP39" s="201"/>
      <c r="BQ39" s="201"/>
      <c r="BR39" s="201"/>
      <c r="BS39" s="201"/>
    </row>
    <row r="40" spans="2:72">
      <c r="B40" s="162"/>
      <c r="C40" s="162"/>
      <c r="D40" s="568"/>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4">
        <f>SUM(BD23:BD36)</f>
        <v>15.977124183006538</v>
      </c>
      <c r="BE40" s="284">
        <f>SUM(BE23:BE36)</f>
        <v>0.40610047846889946</v>
      </c>
      <c r="BF40" s="284">
        <f>SUM(BF23:BF36)</f>
        <v>1.2858213429256593</v>
      </c>
      <c r="BG40" s="285"/>
      <c r="BH40" s="284"/>
      <c r="BI40" s="287"/>
      <c r="BJ40" s="201"/>
      <c r="BK40" s="201"/>
      <c r="BL40" s="201"/>
      <c r="BM40" s="201"/>
      <c r="BN40" s="201"/>
      <c r="BO40" s="201"/>
      <c r="BP40" s="201"/>
      <c r="BQ40" s="201"/>
      <c r="BR40" s="201"/>
      <c r="BS40" s="201"/>
      <c r="BT40" s="201"/>
    </row>
    <row r="41" spans="2:72">
      <c r="B41" s="162"/>
      <c r="C41" s="162"/>
      <c r="D41" s="568"/>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0.10451285895837259</v>
      </c>
      <c r="BE41" s="221">
        <f t="shared" si="45"/>
        <v>2.6032432599090161E-3</v>
      </c>
      <c r="BF41" s="221">
        <f t="shared" si="45"/>
        <v>1.2641349174338234E-2</v>
      </c>
      <c r="BG41" s="221"/>
      <c r="BH41" s="221"/>
      <c r="BJ41" s="201"/>
      <c r="BK41" s="201"/>
      <c r="BL41" s="201"/>
      <c r="BM41" s="201"/>
      <c r="BN41" s="201"/>
      <c r="BO41" s="201"/>
      <c r="BP41" s="201"/>
      <c r="BQ41" s="201"/>
      <c r="BR41" s="201"/>
      <c r="BS41" s="201"/>
      <c r="BT41" s="201"/>
    </row>
    <row r="42" spans="2:72">
      <c r="B42" s="162"/>
      <c r="C42" s="162"/>
      <c r="D42" s="568"/>
      <c r="E42" s="191"/>
      <c r="F42" s="191"/>
      <c r="G42" s="191"/>
      <c r="AC42" s="156"/>
      <c r="AD42" s="156"/>
      <c r="AE42" s="156"/>
      <c r="AF42" s="156"/>
      <c r="AG42" s="156"/>
      <c r="AH42" s="156"/>
      <c r="AN42" s="155"/>
      <c r="AO42" s="155"/>
      <c r="AP42" s="155"/>
      <c r="AQ42" s="155"/>
      <c r="AR42" s="155"/>
      <c r="AS42" s="155"/>
      <c r="AT42" s="155"/>
      <c r="AU42" s="190"/>
      <c r="AV42" s="190"/>
      <c r="BD42" s="221">
        <f t="shared" si="45"/>
        <v>4.8555435467608987E-2</v>
      </c>
      <c r="BE42" s="221">
        <f t="shared" si="45"/>
        <v>9.8731201467272545E-4</v>
      </c>
      <c r="BF42" s="221">
        <f t="shared" si="45"/>
        <v>3.2077617847088291E-3</v>
      </c>
      <c r="BG42" s="221"/>
      <c r="BH42" s="221"/>
      <c r="BJ42" s="201"/>
      <c r="BK42" s="201"/>
      <c r="BL42" s="201"/>
      <c r="BM42" s="201"/>
      <c r="BN42" s="201"/>
      <c r="BO42" s="201"/>
      <c r="BP42" s="201"/>
      <c r="BQ42" s="201"/>
      <c r="BR42" s="201"/>
      <c r="BS42" s="201"/>
      <c r="BT42" s="201"/>
    </row>
    <row r="43" spans="2:72" s="211" customFormat="1">
      <c r="D43" s="569"/>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3"/>
      <c r="AJ43" s="473"/>
      <c r="AK43" s="474"/>
      <c r="AL43" s="473"/>
      <c r="AM43" s="473"/>
      <c r="AN43" s="474"/>
      <c r="AO43" s="473"/>
      <c r="AP43" s="473"/>
      <c r="AQ43" s="474"/>
      <c r="AR43" s="473"/>
      <c r="AS43" s="473"/>
      <c r="AT43" s="474"/>
      <c r="BD43" s="475"/>
      <c r="BE43" s="475"/>
      <c r="BF43" s="475"/>
      <c r="BG43" s="476"/>
      <c r="BH43" s="476"/>
      <c r="BI43" s="476"/>
      <c r="BJ43" s="476"/>
      <c r="BK43" s="476"/>
      <c r="BL43" s="476"/>
      <c r="BM43" s="476"/>
      <c r="BN43" s="476"/>
      <c r="BO43" s="476"/>
      <c r="BP43" s="476"/>
    </row>
    <row r="44" spans="2:72" ht="14">
      <c r="B44" s="162"/>
      <c r="D44" s="570"/>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71"/>
      <c r="E45" s="154"/>
      <c r="F45" s="154"/>
      <c r="G45" s="154" t="s">
        <v>724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71"/>
      <c r="E46" s="154"/>
      <c r="F46" s="154"/>
      <c r="G46" s="154" t="s">
        <v>725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2" t="s">
        <v>737</v>
      </c>
      <c r="D47" s="571"/>
      <c r="E47" s="154"/>
      <c r="F47" s="154"/>
      <c r="G47" s="154" t="s">
        <v>726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71"/>
      <c r="E48" s="154"/>
      <c r="F48" s="154"/>
      <c r="G48" s="154" t="s">
        <v>727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72"/>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72"/>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73"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82" t="str">
        <f>H51&amp;"~2100"</f>
        <v>STOCK~DE1~2100</v>
      </c>
      <c r="R51" s="582" t="str">
        <f>I51&amp;"~2100"</f>
        <v>STOCK~DE2~2100</v>
      </c>
      <c r="S51" s="582" t="str">
        <f>J51&amp;"~2100"</f>
        <v>STOCK~DE3~2100</v>
      </c>
      <c r="T51" s="582" t="s">
        <v>844</v>
      </c>
      <c r="U51" s="582" t="s">
        <v>845</v>
      </c>
      <c r="V51" s="582" t="s">
        <v>846</v>
      </c>
      <c r="W51" s="582" t="str">
        <f t="shared" ref="W51:AB51" si="49">W7</f>
        <v>ACTBND~LO~DE1~2015</v>
      </c>
      <c r="X51" s="582" t="str">
        <f t="shared" si="49"/>
        <v>ACTBND~LO~DE2~2015</v>
      </c>
      <c r="Y51" s="582" t="str">
        <f t="shared" si="49"/>
        <v>ACTBND~LO~DE3~2015</v>
      </c>
      <c r="Z51" s="582" t="str">
        <f t="shared" si="49"/>
        <v>ACTBND~LO~DE1~2017</v>
      </c>
      <c r="AA51" s="582" t="str">
        <f t="shared" si="49"/>
        <v>ACTBND~LO~DE2~2017</v>
      </c>
      <c r="AB51" s="582" t="str">
        <f t="shared" si="49"/>
        <v>ACTBND~LO~DE3~2017</v>
      </c>
      <c r="AC51" s="582" t="s">
        <v>853</v>
      </c>
      <c r="AD51" s="582" t="s">
        <v>854</v>
      </c>
      <c r="AE51" s="582" t="s">
        <v>855</v>
      </c>
      <c r="AF51" s="582" t="s">
        <v>856</v>
      </c>
      <c r="AG51" s="582" t="s">
        <v>857</v>
      </c>
      <c r="AH51" s="582" t="s">
        <v>858</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9"/>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4" thickBot="1">
      <c r="B52" s="161" t="s">
        <v>27</v>
      </c>
      <c r="C52" s="161" t="s">
        <v>138</v>
      </c>
      <c r="D52" s="574"/>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300"/>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RDCUDL</v>
      </c>
      <c r="C53" s="165" t="str">
        <f>Processes!E23</f>
        <v xml:space="preserve">Residential Demand Cooling Urban Detached -  - Low </v>
      </c>
      <c r="D53" s="127" t="str">
        <f>Commodities!$C$51&amp;","&amp;Commodities!C67</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44">
        <f t="shared" ref="Q53:S55" si="60">H53*0.6</f>
        <v>0</v>
      </c>
      <c r="R53" s="544">
        <f t="shared" si="60"/>
        <v>0</v>
      </c>
      <c r="S53" s="544">
        <f t="shared" si="60"/>
        <v>0</v>
      </c>
      <c r="T53" s="544">
        <f t="shared" ref="T53:V55" si="61">H53*0.99</f>
        <v>0</v>
      </c>
      <c r="U53" s="544">
        <f t="shared" si="61"/>
        <v>0</v>
      </c>
      <c r="V53" s="544">
        <f t="shared" si="61"/>
        <v>0</v>
      </c>
      <c r="W53" s="544">
        <f t="shared" ref="W53:W55" si="62">K53*0.99</f>
        <v>0</v>
      </c>
      <c r="X53" s="544">
        <f t="shared" ref="X53:X55" si="63">L53*0.99</f>
        <v>0</v>
      </c>
      <c r="Y53" s="544">
        <f t="shared" ref="Y53:Y55" si="64">M53*0.99</f>
        <v>0</v>
      </c>
      <c r="Z53" s="544">
        <f t="shared" ref="Z53" si="65">N53*0.99</f>
        <v>0</v>
      </c>
      <c r="AA53" s="544">
        <f t="shared" ref="AA53:AA55" si="66">O53*0.99</f>
        <v>0</v>
      </c>
      <c r="AB53" s="544">
        <f t="shared" ref="AB53:AB55" si="67">P53*0.99</f>
        <v>0</v>
      </c>
      <c r="AC53" s="544">
        <f t="shared" ref="AC53:AH55" si="68">Q53*0.99</f>
        <v>0</v>
      </c>
      <c r="AD53" s="544">
        <f t="shared" si="68"/>
        <v>0</v>
      </c>
      <c r="AE53" s="544">
        <f t="shared" si="68"/>
        <v>0</v>
      </c>
      <c r="AF53" s="544">
        <f t="shared" si="68"/>
        <v>0</v>
      </c>
      <c r="AG53" s="544">
        <f t="shared" si="68"/>
        <v>0</v>
      </c>
      <c r="AH53" s="544">
        <f t="shared" si="68"/>
        <v>0</v>
      </c>
      <c r="AI53" s="537">
        <f t="shared" ref="AI53:AT53" si="69">AI54/2</f>
        <v>144.7765</v>
      </c>
      <c r="AJ53" s="537">
        <f t="shared" si="69"/>
        <v>75.909000000000006</v>
      </c>
      <c r="AK53" s="537">
        <f t="shared" si="69"/>
        <v>75.832499999999996</v>
      </c>
      <c r="AL53" s="537">
        <f>AL54/2</f>
        <v>112.1875</v>
      </c>
      <c r="AM53" s="537">
        <f t="shared" si="69"/>
        <v>59.53</v>
      </c>
      <c r="AN53" s="537">
        <f t="shared" si="69"/>
        <v>58.529000000000003</v>
      </c>
      <c r="AO53" s="537">
        <f>AO54/2</f>
        <v>136.81699999999998</v>
      </c>
      <c r="AP53" s="537">
        <f t="shared" si="69"/>
        <v>71.867000000000004</v>
      </c>
      <c r="AQ53" s="537">
        <f t="shared" si="69"/>
        <v>71.451499999999996</v>
      </c>
      <c r="AR53" s="537">
        <f>AR54/2</f>
        <v>136.81699999999998</v>
      </c>
      <c r="AS53" s="537">
        <f t="shared" si="69"/>
        <v>71.867000000000004</v>
      </c>
      <c r="AT53" s="537">
        <f t="shared" si="69"/>
        <v>71.451499999999996</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f t="shared" si="73"/>
        <v>0</v>
      </c>
      <c r="BF53" s="203">
        <f t="shared" si="73"/>
        <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Commodities!$C$51&amp;","&amp;Commodities!C68</f>
        <v>RESCUDB,RESCUDSM</v>
      </c>
      <c r="E54" s="191" t="str">
        <f>E53</f>
        <v>RCUDB</v>
      </c>
      <c r="G54" s="191"/>
      <c r="H54" s="49" cm="1">
        <f t="array" ref="H54">ROUNDUP(INDEX(Dem!$F$53:$H$56,MATCH(Buildings_DR!$E54,Dem!$B$17:$B$20,0),MATCH(RIGHT(H$51,3),Dem!$F$1:$H$1,0))*_xlfn.IFS(RIGHT($D54,1)="H",$H$48,RIGHT($D54,1)="M",$H$47,RIGHT($D54,1)="L",$H$46),2)</f>
        <v>36.79</v>
      </c>
      <c r="I54" s="49" cm="1">
        <f t="array" ref="I54">ROUNDUP(INDEX(Dem!$F$53:$H$56,MATCH(Buildings_DR!$E54,Dem!$B$17:$B$20,0),MATCH(RIGHT(I$51,3),Dem!$F$1:$H$1,0))*_xlfn.IFS(RIGHT($D54,1)="H",$H$48,RIGHT($D54,1)="M",$H$47,RIGHT($D54,1)="L",$H$46),2)</f>
        <v>0.49</v>
      </c>
      <c r="J54" s="49" cm="1">
        <f t="array" ref="J54">ROUNDUP(INDEX(Dem!$F$53:$H$56,MATCH(Buildings_DR!$E54,Dem!$B$17:$B$20,0),MATCH(RIGHT(J$51,3),Dem!$F$1:$H$1,0))*_xlfn.IFS(RIGHT($D54,1)="H",$H$48,RIGHT($D54,1)="M",$H$47,RIGHT($D54,1)="L",$H$46),2)</f>
        <v>1.55</v>
      </c>
      <c r="K54" s="49" cm="1">
        <f t="array" ref="K54">ROUNDUP(INDEX(Dem!$F$57:$H$60,MATCH(Buildings_DR!$E54,Dem!$B$17:$B$20,0),MATCH(RIGHT(K$51,3),Dem!$F$1:$H$1,0))*_xlfn.IFS(RIGHT($D54,1)="H",$H$48,RIGHT($D54,1)="M",$H$47,RIGHT($D54,1)="L",$H$46),2)</f>
        <v>39.32</v>
      </c>
      <c r="L54" s="49" cm="1">
        <f t="array" ref="L54">ROUNDUP(INDEX(Dem!$F$57:$H$60,MATCH(Buildings_DR!$E54,Dem!$B$17:$B$20,0),MATCH(RIGHT(L$51,3),Dem!$F$1:$H$1,0))*_xlfn.IFS(RIGHT($D54,1)="H",$H$48,RIGHT($D54,1)="M",$H$47,RIGHT($D54,1)="L",$H$46),2)</f>
        <v>0.53</v>
      </c>
      <c r="M54" s="49" cm="1">
        <f t="array" ref="M54">ROUNDUP(INDEX(Dem!$F$57:$H$60,MATCH(Buildings_DR!$E54,Dem!$B$17:$B$20,0),MATCH(RIGHT(M$51,3),Dem!$F$1:$H$1,0))*_xlfn.IFS(RIGHT($D54,1)="H",$H$48,RIGHT($D54,1)="M",$H$47,RIGHT($D54,1)="L",$H$46),2)</f>
        <v>1.65</v>
      </c>
      <c r="N54" s="49" cm="1">
        <f t="array" ref="N54">ROUNDUP(INDEX(Dem!$F$61:$H$64,MATCH(Buildings_DR!$E54,Dem!$B$17:$B$20,0),MATCH(RIGHT(N$51,3),Dem!$F$1:$H$1,0))*_xlfn.IFS(RIGHT($D54,1)="H",$H$48,RIGHT($D54,1)="M",$H$47,RIGHT($D54,1)="L",$H$46),2)</f>
        <v>40.47</v>
      </c>
      <c r="O54" s="49" cm="1">
        <f t="array" ref="O54">ROUNDUP(INDEX(Dem!$F$61:$H$64,MATCH(Buildings_DR!$E54,Dem!$B$17:$B$20,0),MATCH(RIGHT(O$51,3),Dem!$F$1:$H$1,0))*_xlfn.IFS(RIGHT($D54,1)="H",$H$48,RIGHT($D54,1)="M",$H$47,RIGHT($D54,1)="L",$H$46),2)</f>
        <v>0.54</v>
      </c>
      <c r="P54" s="49" cm="1">
        <f t="array" ref="P54">ROUNDUP(INDEX(Dem!$F$61:$H$64,MATCH(Buildings_DR!$E54,Dem!$B$17:$B$20,0),MATCH(RIGHT(P$51,3),Dem!$F$1:$H$1,0))*_xlfn.IFS(RIGHT($D54,1)="H",$H$48,RIGHT($D54,1)="M",$H$47,RIGHT($D54,1)="L",$H$46),2)</f>
        <v>1.7</v>
      </c>
      <c r="Q54" s="544">
        <f t="shared" si="60"/>
        <v>22.073999999999998</v>
      </c>
      <c r="R54" s="544">
        <f t="shared" si="60"/>
        <v>0.29399999999999998</v>
      </c>
      <c r="S54" s="544">
        <f t="shared" si="60"/>
        <v>0.92999999999999994</v>
      </c>
      <c r="T54" s="544">
        <f t="shared" si="61"/>
        <v>36.4221</v>
      </c>
      <c r="U54" s="544">
        <f t="shared" si="61"/>
        <v>0.48509999999999998</v>
      </c>
      <c r="V54" s="544">
        <f t="shared" si="61"/>
        <v>1.5345</v>
      </c>
      <c r="W54" s="544">
        <f>K54*0.99</f>
        <v>38.9268</v>
      </c>
      <c r="X54" s="544">
        <f t="shared" si="63"/>
        <v>0.52470000000000006</v>
      </c>
      <c r="Y54" s="544">
        <f t="shared" si="64"/>
        <v>1.6335</v>
      </c>
      <c r="Z54" s="544">
        <f>N54*0.99</f>
        <v>40.065300000000001</v>
      </c>
      <c r="AA54" s="544">
        <f t="shared" si="66"/>
        <v>0.53460000000000008</v>
      </c>
      <c r="AB54" s="544">
        <f t="shared" si="67"/>
        <v>1.6830000000000001</v>
      </c>
      <c r="AC54" s="544">
        <f t="shared" si="68"/>
        <v>21.853259999999999</v>
      </c>
      <c r="AD54" s="544">
        <f t="shared" si="68"/>
        <v>0.29105999999999999</v>
      </c>
      <c r="AE54" s="544">
        <f t="shared" si="68"/>
        <v>0.92069999999999996</v>
      </c>
      <c r="AF54" s="544">
        <f t="shared" si="68"/>
        <v>36.057879</v>
      </c>
      <c r="AG54" s="544">
        <f t="shared" si="68"/>
        <v>0.48024899999999998</v>
      </c>
      <c r="AH54" s="544">
        <f t="shared" si="68"/>
        <v>1.519155</v>
      </c>
      <c r="AI54" s="538">
        <f>ROUNDUP(SUM(H53:H59)/Cooling!AA7,3)</f>
        <v>289.553</v>
      </c>
      <c r="AJ54" s="538">
        <f>ROUNDUP(SUM(I53:I59)/Cooling!AB7,3)</f>
        <v>151.81800000000001</v>
      </c>
      <c r="AK54" s="538">
        <f>ROUNDUP(SUM(J53:J59)/Cooling!AC7,3)</f>
        <v>151.66499999999999</v>
      </c>
      <c r="AL54" s="538">
        <f>ROUNDUP(SUM(K53:K59)/Cooling!AA11,3)</f>
        <v>224.375</v>
      </c>
      <c r="AM54" s="538">
        <f>ROUNDUP(SUM(L53:L59)/Cooling!AB11,3)</f>
        <v>119.06</v>
      </c>
      <c r="AN54" s="538">
        <f>ROUNDUP(SUM(M53:M59)/Cooling!AC11,3)</f>
        <v>117.05800000000001</v>
      </c>
      <c r="AO54" s="538">
        <f>ROUNDUP(SUM(N53:N59)/Cooling!AA15,3)</f>
        <v>273.63399999999996</v>
      </c>
      <c r="AP54" s="538">
        <f>ROUNDUP(SUM(O53:O59)/Cooling!AB15,3)</f>
        <v>143.73400000000001</v>
      </c>
      <c r="AQ54" s="538">
        <f>ROUNDUP(SUM(P53:P59)/Cooling!AC15,3)</f>
        <v>142.90299999999999</v>
      </c>
      <c r="AR54" s="538">
        <f>AO54</f>
        <v>273.63399999999996</v>
      </c>
      <c r="AS54" s="538">
        <f>AP54</f>
        <v>143.73400000000001</v>
      </c>
      <c r="AT54" s="538">
        <f>AQ54</f>
        <v>142.90299999999999</v>
      </c>
      <c r="AU54" s="163">
        <v>1</v>
      </c>
      <c r="AV54" s="162">
        <v>1</v>
      </c>
      <c r="AW54" s="160"/>
      <c r="AX54" s="162"/>
      <c r="AY54" s="162"/>
      <c r="AZ54" s="199"/>
      <c r="BA54" s="202">
        <f t="shared" si="70"/>
        <v>36.79</v>
      </c>
      <c r="BB54" s="202">
        <f t="shared" si="71"/>
        <v>0.49</v>
      </c>
      <c r="BC54" s="202">
        <f t="shared" si="72"/>
        <v>1.55</v>
      </c>
      <c r="BD54" s="203">
        <f t="shared" si="73"/>
        <v>0.12705791340445444</v>
      </c>
      <c r="BE54" s="203">
        <f t="shared" si="73"/>
        <v>3.2275487755075152E-3</v>
      </c>
      <c r="BF54" s="203">
        <f t="shared" si="73"/>
        <v>1.0219892526291498E-2</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Commodities!$C$51&amp;","&amp;Commodities!C69</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44">
        <f t="shared" si="60"/>
        <v>0</v>
      </c>
      <c r="R55" s="544">
        <f t="shared" si="60"/>
        <v>0</v>
      </c>
      <c r="S55" s="544">
        <f t="shared" si="60"/>
        <v>0</v>
      </c>
      <c r="T55" s="544">
        <f t="shared" si="61"/>
        <v>0</v>
      </c>
      <c r="U55" s="544">
        <f t="shared" si="61"/>
        <v>0</v>
      </c>
      <c r="V55" s="544">
        <f t="shared" si="61"/>
        <v>0</v>
      </c>
      <c r="W55" s="544">
        <f t="shared" si="62"/>
        <v>0</v>
      </c>
      <c r="X55" s="544">
        <f t="shared" si="63"/>
        <v>0</v>
      </c>
      <c r="Y55" s="544">
        <f t="shared" si="64"/>
        <v>0</v>
      </c>
      <c r="Z55" s="544">
        <f t="shared" ref="Z55" si="74">N55*0.99</f>
        <v>0</v>
      </c>
      <c r="AA55" s="544">
        <f t="shared" si="66"/>
        <v>0</v>
      </c>
      <c r="AB55" s="544">
        <f t="shared" si="67"/>
        <v>0</v>
      </c>
      <c r="AC55" s="544">
        <f t="shared" si="68"/>
        <v>0</v>
      </c>
      <c r="AD55" s="544">
        <f t="shared" si="68"/>
        <v>0</v>
      </c>
      <c r="AE55" s="544">
        <f t="shared" si="68"/>
        <v>0</v>
      </c>
      <c r="AF55" s="544">
        <f t="shared" si="68"/>
        <v>0</v>
      </c>
      <c r="AG55" s="544">
        <f t="shared" si="68"/>
        <v>0</v>
      </c>
      <c r="AH55" s="544">
        <f t="shared" si="68"/>
        <v>0</v>
      </c>
      <c r="AI55" s="538">
        <f t="shared" ref="AI55:AQ55" si="75">AI54/2+AI56/2</f>
        <v>370.67290661478603</v>
      </c>
      <c r="AJ55" s="538">
        <f t="shared" si="75"/>
        <v>301.80540661478602</v>
      </c>
      <c r="AK55" s="538">
        <f t="shared" si="75"/>
        <v>301.72890661478601</v>
      </c>
      <c r="AL55" s="538">
        <f t="shared" si="75"/>
        <v>338.08390661478597</v>
      </c>
      <c r="AM55" s="538">
        <f t="shared" si="75"/>
        <v>285.426406614786</v>
      </c>
      <c r="AN55" s="538">
        <f t="shared" si="75"/>
        <v>284.42540661478603</v>
      </c>
      <c r="AO55" s="538">
        <f t="shared" si="75"/>
        <v>362.71340661478598</v>
      </c>
      <c r="AP55" s="538">
        <f t="shared" si="75"/>
        <v>297.76340661478599</v>
      </c>
      <c r="AQ55" s="538">
        <f t="shared" si="75"/>
        <v>297.34790661478598</v>
      </c>
      <c r="AR55" s="538">
        <f t="shared" ref="AR55:AT55" si="76">AR54/2+AR56/2</f>
        <v>362.71340661478598</v>
      </c>
      <c r="AS55" s="538">
        <f t="shared" si="76"/>
        <v>297.76340661478599</v>
      </c>
      <c r="AT55" s="538">
        <f t="shared" si="76"/>
        <v>297.34790661478598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Commodities!$C$51</f>
        <v>RESCUDB</v>
      </c>
      <c r="E56" s="191" t="str">
        <f>E55</f>
        <v>RCUDB</v>
      </c>
      <c r="F56" s="156">
        <v>2011</v>
      </c>
      <c r="G56" s="191">
        <v>2011</v>
      </c>
      <c r="H56" s="49"/>
      <c r="I56" s="49"/>
      <c r="J56" s="49"/>
      <c r="K56" s="49"/>
      <c r="L56" s="49"/>
      <c r="M56" s="49"/>
      <c r="N56" s="49"/>
      <c r="O56" s="49"/>
      <c r="P56" s="49"/>
      <c r="Q56" s="544"/>
      <c r="R56" s="544"/>
      <c r="S56" s="544"/>
      <c r="T56" s="544"/>
      <c r="U56" s="544"/>
      <c r="V56" s="544"/>
      <c r="W56" s="544"/>
      <c r="X56" s="544"/>
      <c r="Y56" s="544"/>
      <c r="Z56" s="544"/>
      <c r="AA56" s="544"/>
      <c r="AB56" s="544"/>
      <c r="AC56" s="544"/>
      <c r="AD56" s="544"/>
      <c r="AE56" s="544"/>
      <c r="AF56" s="544"/>
      <c r="AG56" s="544"/>
      <c r="AH56" s="544"/>
      <c r="AI56" s="539">
        <f t="shared" ref="AI56:AQ56" si="77">$AI$54*AI12/$AI$10</f>
        <v>451.792813229572</v>
      </c>
      <c r="AJ56" s="539">
        <f t="shared" si="77"/>
        <v>451.792813229572</v>
      </c>
      <c r="AK56" s="539">
        <f t="shared" si="77"/>
        <v>451.792813229572</v>
      </c>
      <c r="AL56" s="539">
        <f t="shared" si="77"/>
        <v>451.792813229572</v>
      </c>
      <c r="AM56" s="539">
        <f t="shared" si="77"/>
        <v>451.792813229572</v>
      </c>
      <c r="AN56" s="539">
        <f t="shared" si="77"/>
        <v>451.792813229572</v>
      </c>
      <c r="AO56" s="539">
        <f t="shared" si="77"/>
        <v>451.792813229572</v>
      </c>
      <c r="AP56" s="539">
        <f t="shared" si="77"/>
        <v>451.792813229572</v>
      </c>
      <c r="AQ56" s="539">
        <f t="shared" si="77"/>
        <v>451.792813229572</v>
      </c>
      <c r="AR56" s="539">
        <f t="shared" ref="AR56:AT56" si="78">$AI$54*AR12/$AI$10</f>
        <v>451.792813229572</v>
      </c>
      <c r="AS56" s="539">
        <f t="shared" si="78"/>
        <v>451.792813229572</v>
      </c>
      <c r="AT56" s="539">
        <f t="shared" si="78"/>
        <v>451.792813229572</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68"/>
      <c r="E57" s="191"/>
      <c r="F57" s="156">
        <v>2016</v>
      </c>
      <c r="H57" s="49"/>
      <c r="I57" s="49"/>
      <c r="J57" s="49"/>
      <c r="K57" s="49"/>
      <c r="L57" s="49"/>
      <c r="M57" s="49"/>
      <c r="N57" s="49"/>
      <c r="O57" s="49"/>
      <c r="P57" s="49"/>
      <c r="Q57" s="544"/>
      <c r="R57" s="544"/>
      <c r="S57" s="544"/>
      <c r="T57" s="544"/>
      <c r="U57" s="544"/>
      <c r="V57" s="544"/>
      <c r="W57" s="544"/>
      <c r="X57" s="544"/>
      <c r="Y57" s="544"/>
      <c r="Z57" s="544"/>
      <c r="AA57" s="544"/>
      <c r="AB57" s="544"/>
      <c r="AC57" s="544"/>
      <c r="AD57" s="544"/>
      <c r="AE57" s="544"/>
      <c r="AF57" s="544"/>
      <c r="AG57" s="544"/>
      <c r="AH57" s="544"/>
      <c r="AI57" s="539">
        <f t="shared" ref="AI57:AQ57" si="80">$AI$54*AI13/$AI$10</f>
        <v>535.16605058365758</v>
      </c>
      <c r="AJ57" s="539">
        <f t="shared" si="80"/>
        <v>535.16605058365758</v>
      </c>
      <c r="AK57" s="539">
        <f t="shared" si="80"/>
        <v>535.16605058365758</v>
      </c>
      <c r="AL57" s="539">
        <f t="shared" si="80"/>
        <v>535.16605058365758</v>
      </c>
      <c r="AM57" s="539">
        <f t="shared" si="80"/>
        <v>535.16605058365758</v>
      </c>
      <c r="AN57" s="539">
        <f t="shared" si="80"/>
        <v>535.16605058365758</v>
      </c>
      <c r="AO57" s="539">
        <f t="shared" si="80"/>
        <v>535.16605058365758</v>
      </c>
      <c r="AP57" s="539">
        <f t="shared" si="80"/>
        <v>535.16605058365758</v>
      </c>
      <c r="AQ57" s="539">
        <f t="shared" si="80"/>
        <v>535.16605058365758</v>
      </c>
      <c r="AR57" s="539">
        <f t="shared" ref="AR57:AT57" si="81">$AI$54*AR13/$AI$10</f>
        <v>535.16605058365758</v>
      </c>
      <c r="AS57" s="539">
        <f t="shared" si="81"/>
        <v>535.16605058365758</v>
      </c>
      <c r="AT57" s="539">
        <f t="shared" si="81"/>
        <v>535.16605058365758</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68"/>
      <c r="E58" s="191"/>
      <c r="F58" s="156">
        <v>2021</v>
      </c>
      <c r="H58" s="49"/>
      <c r="I58" s="49"/>
      <c r="J58" s="49"/>
      <c r="K58" s="49"/>
      <c r="L58" s="49"/>
      <c r="M58" s="49"/>
      <c r="N58" s="49"/>
      <c r="O58" s="49"/>
      <c r="P58" s="49"/>
      <c r="Q58" s="544"/>
      <c r="R58" s="544"/>
      <c r="S58" s="544"/>
      <c r="T58" s="544"/>
      <c r="U58" s="544"/>
      <c r="V58" s="544"/>
      <c r="W58" s="544"/>
      <c r="X58" s="544"/>
      <c r="Y58" s="544"/>
      <c r="Z58" s="544"/>
      <c r="AA58" s="544"/>
      <c r="AB58" s="544"/>
      <c r="AC58" s="544"/>
      <c r="AD58" s="544"/>
      <c r="AE58" s="544"/>
      <c r="AF58" s="544"/>
      <c r="AG58" s="544"/>
      <c r="AH58" s="544"/>
      <c r="AI58" s="539">
        <f t="shared" ref="AI58:AQ58" si="82">$AI$54*AI14/$AI$10</f>
        <v>685.01254474708173</v>
      </c>
      <c r="AJ58" s="539">
        <f t="shared" si="82"/>
        <v>685.01254474708173</v>
      </c>
      <c r="AK58" s="539">
        <f t="shared" si="82"/>
        <v>685.01254474708173</v>
      </c>
      <c r="AL58" s="539">
        <f t="shared" si="82"/>
        <v>685.01254474708173</v>
      </c>
      <c r="AM58" s="539">
        <f t="shared" si="82"/>
        <v>685.01254474708173</v>
      </c>
      <c r="AN58" s="539">
        <f t="shared" si="82"/>
        <v>685.01254474708173</v>
      </c>
      <c r="AO58" s="539">
        <f t="shared" si="82"/>
        <v>685.01254474708173</v>
      </c>
      <c r="AP58" s="539">
        <f t="shared" si="82"/>
        <v>685.01254474708173</v>
      </c>
      <c r="AQ58" s="539">
        <f t="shared" si="82"/>
        <v>685.01254474708173</v>
      </c>
      <c r="AR58" s="539">
        <f t="shared" ref="AR58:AT58" si="83">$AI$54*AR14/$AI$10</f>
        <v>685.01254474708173</v>
      </c>
      <c r="AS58" s="539">
        <f t="shared" si="83"/>
        <v>685.01254474708173</v>
      </c>
      <c r="AT58" s="539">
        <f t="shared" si="83"/>
        <v>685.01254474708173</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68"/>
      <c r="E59" s="212"/>
      <c r="F59" s="164">
        <v>2031</v>
      </c>
      <c r="G59" s="164"/>
      <c r="H59" s="541"/>
      <c r="I59" s="541"/>
      <c r="J59" s="541"/>
      <c r="K59" s="541"/>
      <c r="L59" s="541"/>
      <c r="M59" s="541"/>
      <c r="N59" s="541"/>
      <c r="O59" s="541"/>
      <c r="P59" s="541"/>
      <c r="Q59" s="544"/>
      <c r="R59" s="544"/>
      <c r="S59" s="544"/>
      <c r="T59" s="544"/>
      <c r="U59" s="544"/>
      <c r="V59" s="544"/>
      <c r="W59" s="544"/>
      <c r="X59" s="544"/>
      <c r="Y59" s="544"/>
      <c r="Z59" s="544"/>
      <c r="AA59" s="544"/>
      <c r="AB59" s="544"/>
      <c r="AC59" s="544"/>
      <c r="AD59" s="544"/>
      <c r="AE59" s="544"/>
      <c r="AF59" s="544"/>
      <c r="AG59" s="544"/>
      <c r="AH59" s="544"/>
      <c r="AI59" s="539">
        <f t="shared" ref="AI59:AQ59" si="84">$AI$54*AI15/$AI$10</f>
        <v>781.90576653696507</v>
      </c>
      <c r="AJ59" s="539">
        <f t="shared" si="84"/>
        <v>781.90576653696507</v>
      </c>
      <c r="AK59" s="539">
        <f t="shared" si="84"/>
        <v>781.90576653696507</v>
      </c>
      <c r="AL59" s="539">
        <f t="shared" si="84"/>
        <v>781.90576653696507</v>
      </c>
      <c r="AM59" s="539">
        <f t="shared" si="84"/>
        <v>781.90576653696507</v>
      </c>
      <c r="AN59" s="539">
        <f t="shared" si="84"/>
        <v>781.90576653696507</v>
      </c>
      <c r="AO59" s="539">
        <f t="shared" si="84"/>
        <v>781.90576653696507</v>
      </c>
      <c r="AP59" s="539">
        <f t="shared" si="84"/>
        <v>781.90576653696507</v>
      </c>
      <c r="AQ59" s="539">
        <f t="shared" si="84"/>
        <v>781.90576653696507</v>
      </c>
      <c r="AR59" s="539">
        <f t="shared" ref="AR59:AT59" si="85">$AI$54*AR15/$AI$10</f>
        <v>781.90576653696507</v>
      </c>
      <c r="AS59" s="539">
        <f t="shared" si="85"/>
        <v>781.90576653696507</v>
      </c>
      <c r="AT59" s="539">
        <f t="shared" si="85"/>
        <v>781.90576653696507</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RDCRDL</v>
      </c>
      <c r="C60" s="165" t="str">
        <f>Processes!E27</f>
        <v xml:space="preserve">Residential Demand Cooling Rural Detached -  - Low </v>
      </c>
      <c r="D60" s="127" t="str">
        <f>Commodities!$C$52&amp;","&amp;Commodities!C70</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44">
        <f t="shared" ref="Q60:S62" si="86">H60*0.6</f>
        <v>0</v>
      </c>
      <c r="R60" s="544">
        <f t="shared" si="86"/>
        <v>0</v>
      </c>
      <c r="S60" s="544">
        <f t="shared" si="86"/>
        <v>0</v>
      </c>
      <c r="T60" s="544">
        <f t="shared" ref="T60:V62" si="87">H60*0.99</f>
        <v>0</v>
      </c>
      <c r="U60" s="544">
        <f t="shared" si="87"/>
        <v>0</v>
      </c>
      <c r="V60" s="544">
        <f t="shared" si="87"/>
        <v>0</v>
      </c>
      <c r="W60" s="544">
        <f t="shared" ref="W60:W62" si="88">K60*0.99</f>
        <v>0</v>
      </c>
      <c r="X60" s="544">
        <f t="shared" ref="X60:X62" si="89">L60*0.99</f>
        <v>0</v>
      </c>
      <c r="Y60" s="544">
        <f t="shared" ref="Y60:Y62" si="90">M60*0.99</f>
        <v>0</v>
      </c>
      <c r="Z60" s="544">
        <f t="shared" ref="Z60:Z62" si="91">N60*0.99</f>
        <v>0</v>
      </c>
      <c r="AA60" s="544">
        <f t="shared" ref="AA60:AA62" si="92">O60*0.99</f>
        <v>0</v>
      </c>
      <c r="AB60" s="544">
        <f t="shared" ref="AB60:AB62" si="93">P60*0.99</f>
        <v>0</v>
      </c>
      <c r="AC60" s="544">
        <f t="shared" ref="AC60:AH62" si="94">Q60*0.99</f>
        <v>0</v>
      </c>
      <c r="AD60" s="544">
        <f t="shared" si="94"/>
        <v>0</v>
      </c>
      <c r="AE60" s="544">
        <f t="shared" si="94"/>
        <v>0</v>
      </c>
      <c r="AF60" s="544">
        <f t="shared" si="94"/>
        <v>0</v>
      </c>
      <c r="AG60" s="544">
        <f t="shared" si="94"/>
        <v>0</v>
      </c>
      <c r="AH60" s="544">
        <f t="shared" si="94"/>
        <v>0</v>
      </c>
      <c r="AI60" s="537">
        <f t="shared" ref="AI60:AT60" si="95">AI61/2</f>
        <v>130.43949999999998</v>
      </c>
      <c r="AJ60" s="537">
        <f t="shared" si="95"/>
        <v>212.48699999999999</v>
      </c>
      <c r="AK60" s="537">
        <f t="shared" si="95"/>
        <v>212.18349999999998</v>
      </c>
      <c r="AL60" s="537">
        <f t="shared" si="95"/>
        <v>101.0705</v>
      </c>
      <c r="AM60" s="537">
        <f t="shared" si="95"/>
        <v>164.66549999999998</v>
      </c>
      <c r="AN60" s="537">
        <f t="shared" si="95"/>
        <v>164.47899999999998</v>
      </c>
      <c r="AO60" s="537">
        <f t="shared" si="95"/>
        <v>123.248</v>
      </c>
      <c r="AP60" s="537">
        <f t="shared" si="95"/>
        <v>200.2825</v>
      </c>
      <c r="AQ60" s="537">
        <f t="shared" si="95"/>
        <v>200.48999999999998</v>
      </c>
      <c r="AR60" s="537">
        <f t="shared" si="95"/>
        <v>123.248</v>
      </c>
      <c r="AS60" s="537">
        <f t="shared" si="95"/>
        <v>200.2825</v>
      </c>
      <c r="AT60" s="537">
        <f t="shared" si="95"/>
        <v>200.48999999999998</v>
      </c>
      <c r="AU60" s="167">
        <v>1</v>
      </c>
      <c r="AV60" s="165">
        <v>1</v>
      </c>
      <c r="AW60" s="160"/>
      <c r="AX60" s="162"/>
      <c r="AY60" s="162"/>
      <c r="AZ60" s="199"/>
      <c r="BA60" s="202">
        <f t="shared" si="70"/>
        <v>0</v>
      </c>
      <c r="BB60" s="202">
        <f t="shared" si="71"/>
        <v>0</v>
      </c>
      <c r="BC60" s="202">
        <f t="shared" si="72"/>
        <v>0</v>
      </c>
      <c r="BD60" s="203">
        <f t="shared" ref="BD60:BD69" si="96">BA60/AI60</f>
        <v>0</v>
      </c>
      <c r="BE60" s="203">
        <f t="shared" ref="BE60:BE69" si="97">BB60/AJ60</f>
        <v>0</v>
      </c>
      <c r="BF60" s="203">
        <f t="shared" ref="BF60:BF69" si="98">BC60/AK60</f>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Commodities!$C$52&amp;","&amp;Commodities!C71</f>
        <v>RESCRDB,RESCRDSM</v>
      </c>
      <c r="E61" s="191" t="str">
        <f>E60</f>
        <v>RCRDB</v>
      </c>
      <c r="G61" s="191"/>
      <c r="H61" s="49" cm="1">
        <f t="array" ref="H61">ROUNDUP(INDEX(Dem!$F$53:$H$56,MATCH(Buildings_DR!$E61,Dem!$B$17:$B$20,0),MATCH(RIGHT(H$51,3),Dem!$F$1:$H$1,0))*_xlfn.IFS(RIGHT($D61,1)="H",$H$48,RIGHT($D61,1)="M",$H$47,RIGHT($D61,1)="L",$H$46),2)</f>
        <v>59.69</v>
      </c>
      <c r="I61" s="49" cm="1">
        <f t="array" ref="I61">ROUNDUP(INDEX(Dem!$F$53:$H$56,MATCH(Buildings_DR!$E61,Dem!$B$17:$B$20,0),MATCH(RIGHT(I$51,3),Dem!$F$1:$H$1,0))*_xlfn.IFS(RIGHT($D61,1)="H",$H$48,RIGHT($D61,1)="M",$H$47,RIGHT($D61,1)="L",$H$46),2)</f>
        <v>2.4699999999999998</v>
      </c>
      <c r="J61" s="49" cm="1">
        <f t="array" ref="J61">ROUNDUP(INDEX(Dem!$F$53:$H$56,MATCH(Buildings_DR!$E61,Dem!$B$17:$B$20,0),MATCH(RIGHT(J$51,3),Dem!$F$1:$H$1,0))*_xlfn.IFS(RIGHT($D61,1)="H",$H$48,RIGHT($D61,1)="M",$H$47,RIGHT($D61,1)="L",$H$46),2)</f>
        <v>7.81</v>
      </c>
      <c r="K61" s="49" cm="1">
        <f t="array" ref="K61">ROUNDUP(INDEX(Dem!$F$57:$H$60,MATCH(Buildings_DR!$E61,Dem!$B$17:$B$20,0),MATCH(RIGHT(K$51,3),Dem!$F$1:$H$1,0))*_xlfn.IFS(RIGHT($D61,1)="H",$H$48,RIGHT($D61,1)="M",$H$47,RIGHT($D61,1)="L",$H$46),2)</f>
        <v>63.79</v>
      </c>
      <c r="L61" s="49" cm="1">
        <f t="array" ref="L61">ROUNDUP(INDEX(Dem!$F$57:$H$60,MATCH(Buildings_DR!$E61,Dem!$B$17:$B$20,0),MATCH(RIGHT(L$51,3),Dem!$F$1:$H$1,0))*_xlfn.IFS(RIGHT($D61,1)="H",$H$48,RIGHT($D61,1)="M",$H$47,RIGHT($D61,1)="L",$H$46),2)</f>
        <v>2.6399999999999997</v>
      </c>
      <c r="M61" s="49" cm="1">
        <f t="array" ref="M61">ROUNDUP(INDEX(Dem!$F$57:$H$60,MATCH(Buildings_DR!$E61,Dem!$B$17:$B$20,0),MATCH(RIGHT(M$51,3),Dem!$F$1:$H$1,0))*_xlfn.IFS(RIGHT($D61,1)="H",$H$48,RIGHT($D61,1)="M",$H$47,RIGHT($D61,1)="L",$H$46),2)</f>
        <v>8.35</v>
      </c>
      <c r="N61" s="49" cm="1">
        <f t="array" ref="N61">ROUNDUP(INDEX(Dem!$F$61:$H$64,MATCH(Buildings_DR!$E61,Dem!$B$17:$B$20,0),MATCH(RIGHT(N$51,3),Dem!$F$1:$H$1,0))*_xlfn.IFS(RIGHT($D61,1)="H",$H$48,RIGHT($D61,1)="M",$H$47,RIGHT($D61,1)="L",$H$46),2)</f>
        <v>65.650000000000006</v>
      </c>
      <c r="O61" s="49" cm="1">
        <f t="array" ref="O61">ROUNDUP(INDEX(Dem!$F$61:$H$64,MATCH(Buildings_DR!$E61,Dem!$B$17:$B$20,0),MATCH(RIGHT(O$51,3),Dem!$F$1:$H$1,0))*_xlfn.IFS(RIGHT($D61,1)="H",$H$48,RIGHT($D61,1)="M",$H$47,RIGHT($D61,1)="L",$H$46),2)</f>
        <v>2.71</v>
      </c>
      <c r="P61" s="49" cm="1">
        <f t="array" ref="P61">ROUNDUP(INDEX(Dem!$F$61:$H$64,MATCH(Buildings_DR!$E61,Dem!$B$17:$B$20,0),MATCH(RIGHT(P$51,3),Dem!$F$1:$H$1,0))*_xlfn.IFS(RIGHT($D61,1)="H",$H$48,RIGHT($D61,1)="M",$H$47,RIGHT($D61,1)="L",$H$46),2)</f>
        <v>8.59</v>
      </c>
      <c r="Q61" s="544">
        <f t="shared" si="86"/>
        <v>35.814</v>
      </c>
      <c r="R61" s="544">
        <f t="shared" si="86"/>
        <v>1.4819999999999998</v>
      </c>
      <c r="S61" s="544">
        <f t="shared" si="86"/>
        <v>4.6859999999999999</v>
      </c>
      <c r="T61" s="544">
        <f t="shared" si="87"/>
        <v>59.0931</v>
      </c>
      <c r="U61" s="544">
        <f t="shared" si="87"/>
        <v>2.4452999999999996</v>
      </c>
      <c r="V61" s="544">
        <f t="shared" si="87"/>
        <v>7.7318999999999996</v>
      </c>
      <c r="W61" s="544">
        <f t="shared" si="88"/>
        <v>63.152099999999997</v>
      </c>
      <c r="X61" s="544">
        <f t="shared" si="89"/>
        <v>2.6135999999999995</v>
      </c>
      <c r="Y61" s="544">
        <f t="shared" si="90"/>
        <v>8.2664999999999988</v>
      </c>
      <c r="Z61" s="544">
        <f t="shared" si="91"/>
        <v>64.993500000000012</v>
      </c>
      <c r="AA61" s="544">
        <f t="shared" si="92"/>
        <v>2.6829000000000001</v>
      </c>
      <c r="AB61" s="544">
        <f t="shared" si="93"/>
        <v>8.5040999999999993</v>
      </c>
      <c r="AC61" s="544">
        <f t="shared" si="94"/>
        <v>35.455860000000001</v>
      </c>
      <c r="AD61" s="544">
        <f t="shared" si="94"/>
        <v>1.4671799999999997</v>
      </c>
      <c r="AE61" s="544">
        <f t="shared" si="94"/>
        <v>4.6391400000000003</v>
      </c>
      <c r="AF61" s="544">
        <f t="shared" si="94"/>
        <v>58.502169000000002</v>
      </c>
      <c r="AG61" s="544">
        <f t="shared" si="94"/>
        <v>2.4208469999999997</v>
      </c>
      <c r="AH61" s="544">
        <f t="shared" si="94"/>
        <v>7.6545809999999994</v>
      </c>
      <c r="AI61" s="538">
        <f>ROUNDUP(SUM(H60:H66)/Cooling!AA8,3)</f>
        <v>260.87899999999996</v>
      </c>
      <c r="AJ61" s="538">
        <f>ROUNDUP(SUM(I60:I66)/Cooling!AB8,3)</f>
        <v>424.97399999999999</v>
      </c>
      <c r="AK61" s="538">
        <f>ROUNDUP(SUM(J60:J66)/Cooling!AC8,3)</f>
        <v>424.36699999999996</v>
      </c>
      <c r="AL61" s="538">
        <f>ROUNDUP(SUM(K60:K66)/Cooling!AA12,3)</f>
        <v>202.14099999999999</v>
      </c>
      <c r="AM61" s="538">
        <f>ROUNDUP(SUM(L60:L66)/Cooling!AB12,3)</f>
        <v>329.33099999999996</v>
      </c>
      <c r="AN61" s="538">
        <f>ROUNDUP(SUM(M60:M66)/Cooling!AC12,3)</f>
        <v>328.95799999999997</v>
      </c>
      <c r="AO61" s="538">
        <f>ROUNDUP(SUM(N60:N66)/Cooling!AA16,3)</f>
        <v>246.49600000000001</v>
      </c>
      <c r="AP61" s="538">
        <f>ROUNDUP(SUM(O60:O66)/Cooling!AB16,3)</f>
        <v>400.565</v>
      </c>
      <c r="AQ61" s="538">
        <f>ROUNDUP(SUM(P60:P66)/Cooling!AC16,3)</f>
        <v>400.97999999999996</v>
      </c>
      <c r="AR61" s="538">
        <f>AO61</f>
        <v>246.49600000000001</v>
      </c>
      <c r="AS61" s="538">
        <f>AP61</f>
        <v>400.565</v>
      </c>
      <c r="AT61" s="538">
        <f>AQ61</f>
        <v>400.97999999999996</v>
      </c>
      <c r="AU61" s="163">
        <v>1</v>
      </c>
      <c r="AV61" s="162">
        <v>1</v>
      </c>
      <c r="AW61" s="160"/>
      <c r="AX61" s="162"/>
      <c r="AY61" s="162"/>
      <c r="AZ61" s="199"/>
      <c r="BA61" s="202">
        <f t="shared" si="70"/>
        <v>59.69</v>
      </c>
      <c r="BB61" s="202">
        <f t="shared" si="71"/>
        <v>2.4699999999999998</v>
      </c>
      <c r="BC61" s="202">
        <f t="shared" si="72"/>
        <v>7.81</v>
      </c>
      <c r="BD61" s="203">
        <f t="shared" si="96"/>
        <v>0.22880339161067009</v>
      </c>
      <c r="BE61" s="203">
        <f t="shared" si="97"/>
        <v>5.8121202708871595E-3</v>
      </c>
      <c r="BF61" s="203">
        <f t="shared" si="98"/>
        <v>1.8403881545926051E-2</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Commodities!$C$52&amp;","&amp;Commodities!C72</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44">
        <f t="shared" si="86"/>
        <v>0</v>
      </c>
      <c r="R62" s="544">
        <f t="shared" si="86"/>
        <v>0</v>
      </c>
      <c r="S62" s="544">
        <f t="shared" si="86"/>
        <v>0</v>
      </c>
      <c r="T62" s="544">
        <f t="shared" si="87"/>
        <v>0</v>
      </c>
      <c r="U62" s="544">
        <f t="shared" si="87"/>
        <v>0</v>
      </c>
      <c r="V62" s="544">
        <f t="shared" si="87"/>
        <v>0</v>
      </c>
      <c r="W62" s="544">
        <f t="shared" si="88"/>
        <v>0</v>
      </c>
      <c r="X62" s="544">
        <f t="shared" si="89"/>
        <v>0</v>
      </c>
      <c r="Y62" s="544">
        <f t="shared" si="90"/>
        <v>0</v>
      </c>
      <c r="Z62" s="544">
        <f t="shared" si="91"/>
        <v>0</v>
      </c>
      <c r="AA62" s="544">
        <f t="shared" si="92"/>
        <v>0</v>
      </c>
      <c r="AB62" s="544">
        <f t="shared" si="93"/>
        <v>0</v>
      </c>
      <c r="AC62" s="544">
        <f t="shared" si="94"/>
        <v>0</v>
      </c>
      <c r="AD62" s="544">
        <f t="shared" si="94"/>
        <v>0</v>
      </c>
      <c r="AE62" s="544">
        <f t="shared" si="94"/>
        <v>0</v>
      </c>
      <c r="AF62" s="544">
        <f t="shared" si="94"/>
        <v>0</v>
      </c>
      <c r="AG62" s="544">
        <f t="shared" si="94"/>
        <v>0</v>
      </c>
      <c r="AH62" s="544">
        <f t="shared" si="94"/>
        <v>0</v>
      </c>
      <c r="AI62" s="538">
        <f t="shared" ref="AI62:AQ62" si="99">AI61/2+AI63/2</f>
        <v>377.16704481132075</v>
      </c>
      <c r="AJ62" s="538">
        <f t="shared" si="99"/>
        <v>459.21454481132076</v>
      </c>
      <c r="AK62" s="538">
        <f t="shared" si="99"/>
        <v>458.91104481132072</v>
      </c>
      <c r="AL62" s="538">
        <f t="shared" si="99"/>
        <v>347.79804481132078</v>
      </c>
      <c r="AM62" s="538">
        <f t="shared" si="99"/>
        <v>411.39304481132075</v>
      </c>
      <c r="AN62" s="538">
        <f t="shared" si="99"/>
        <v>411.20654481132078</v>
      </c>
      <c r="AO62" s="538">
        <f t="shared" si="99"/>
        <v>369.97554481132079</v>
      </c>
      <c r="AP62" s="538">
        <f t="shared" si="99"/>
        <v>447.01004481132077</v>
      </c>
      <c r="AQ62" s="538">
        <f t="shared" si="99"/>
        <v>447.21754481132075</v>
      </c>
      <c r="AR62" s="538">
        <f t="shared" ref="AR62:AT62" si="100">AR61/2+AR63/2</f>
        <v>369.97554481132079</v>
      </c>
      <c r="AS62" s="538">
        <f t="shared" si="100"/>
        <v>447.01004481132077</v>
      </c>
      <c r="AT62" s="538">
        <f t="shared" si="100"/>
        <v>447.21754481132075</v>
      </c>
      <c r="AU62" s="163">
        <v>1</v>
      </c>
      <c r="AV62" s="162">
        <v>1</v>
      </c>
      <c r="AW62" s="162"/>
      <c r="AX62" s="162"/>
      <c r="AY62" s="162"/>
      <c r="AZ62" s="199"/>
      <c r="BA62" s="202">
        <f t="shared" si="70"/>
        <v>0</v>
      </c>
      <c r="BB62" s="202">
        <f t="shared" si="71"/>
        <v>0</v>
      </c>
      <c r="BC62" s="202">
        <f t="shared" si="72"/>
        <v>0</v>
      </c>
      <c r="BD62" s="203">
        <f t="shared" si="96"/>
        <v>0</v>
      </c>
      <c r="BE62" s="203">
        <f t="shared" si="97"/>
        <v>0</v>
      </c>
      <c r="BF62" s="203">
        <f t="shared" si="98"/>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Commodities!$C$52</f>
        <v>RESCRDB</v>
      </c>
      <c r="E63" s="191" t="str">
        <f>E62</f>
        <v>RCRDB</v>
      </c>
      <c r="F63" s="156">
        <v>2011</v>
      </c>
      <c r="G63" s="191">
        <v>2011</v>
      </c>
      <c r="H63" s="49"/>
      <c r="I63" s="49"/>
      <c r="J63" s="49"/>
      <c r="K63" s="49"/>
      <c r="L63" s="49"/>
      <c r="M63" s="49"/>
      <c r="N63" s="49"/>
      <c r="O63" s="49"/>
      <c r="P63" s="49"/>
      <c r="Q63" s="544"/>
      <c r="R63" s="544"/>
      <c r="S63" s="544"/>
      <c r="T63" s="544"/>
      <c r="U63" s="544"/>
      <c r="V63" s="544"/>
      <c r="W63" s="544"/>
      <c r="X63" s="544"/>
      <c r="Y63" s="544"/>
      <c r="Z63" s="544"/>
      <c r="AA63" s="544"/>
      <c r="AB63" s="544"/>
      <c r="AC63" s="544"/>
      <c r="AD63" s="544"/>
      <c r="AE63" s="544"/>
      <c r="AF63" s="544"/>
      <c r="AG63" s="544"/>
      <c r="AH63" s="544"/>
      <c r="AI63" s="539">
        <f t="shared" ref="AI63:AQ63" si="101">$AI$61*AI19/$AI$17</f>
        <v>493.45508962264154</v>
      </c>
      <c r="AJ63" s="539">
        <f t="shared" si="101"/>
        <v>493.45508962264154</v>
      </c>
      <c r="AK63" s="539">
        <f t="shared" si="101"/>
        <v>493.45508962264154</v>
      </c>
      <c r="AL63" s="539">
        <f t="shared" si="101"/>
        <v>493.45508962264154</v>
      </c>
      <c r="AM63" s="539">
        <f t="shared" si="101"/>
        <v>493.45508962264154</v>
      </c>
      <c r="AN63" s="539">
        <f t="shared" si="101"/>
        <v>493.45508962264154</v>
      </c>
      <c r="AO63" s="539">
        <f t="shared" si="101"/>
        <v>493.45508962264154</v>
      </c>
      <c r="AP63" s="539">
        <f t="shared" si="101"/>
        <v>493.45508962264154</v>
      </c>
      <c r="AQ63" s="539">
        <f t="shared" si="101"/>
        <v>493.45508962264154</v>
      </c>
      <c r="AR63" s="539">
        <f t="shared" ref="AR63:AT63" si="102">$AI$61*AR19/$AI$17</f>
        <v>493.45508962264154</v>
      </c>
      <c r="AS63" s="539">
        <f t="shared" si="102"/>
        <v>493.45508962264154</v>
      </c>
      <c r="AT63" s="539">
        <f t="shared" si="102"/>
        <v>493.45508962264154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596"/>
      <c r="BM63" s="596"/>
      <c r="BN63" s="596"/>
      <c r="BO63" s="201"/>
      <c r="BP63" s="201"/>
      <c r="BQ63" s="201"/>
      <c r="BR63" s="201"/>
    </row>
    <row r="64" spans="1:70">
      <c r="B64" s="162"/>
      <c r="C64" s="162"/>
      <c r="D64" s="568"/>
      <c r="E64" s="191"/>
      <c r="F64" s="156">
        <v>2016</v>
      </c>
      <c r="H64" s="49"/>
      <c r="I64" s="49"/>
      <c r="J64" s="49"/>
      <c r="K64" s="49"/>
      <c r="L64" s="49"/>
      <c r="M64" s="49"/>
      <c r="N64" s="49"/>
      <c r="O64" s="49"/>
      <c r="P64" s="49"/>
      <c r="Q64" s="544"/>
      <c r="R64" s="544"/>
      <c r="S64" s="544"/>
      <c r="T64" s="544"/>
      <c r="U64" s="544"/>
      <c r="V64" s="544"/>
      <c r="W64" s="544"/>
      <c r="X64" s="544"/>
      <c r="Y64" s="544"/>
      <c r="Z64" s="544"/>
      <c r="AA64" s="544"/>
      <c r="AB64" s="544"/>
      <c r="AC64" s="544"/>
      <c r="AD64" s="544"/>
      <c r="AE64" s="544"/>
      <c r="AF64" s="544"/>
      <c r="AG64" s="544"/>
      <c r="AH64" s="544"/>
      <c r="AI64" s="539">
        <f t="shared" ref="AI64:AQ64" si="103">$AI$61*AI20/$AI$17</f>
        <v>584.51662735849061</v>
      </c>
      <c r="AJ64" s="539">
        <f t="shared" si="103"/>
        <v>584.51662735849061</v>
      </c>
      <c r="AK64" s="539">
        <f t="shared" si="103"/>
        <v>584.51662735849061</v>
      </c>
      <c r="AL64" s="539">
        <f t="shared" si="103"/>
        <v>584.51662735849061</v>
      </c>
      <c r="AM64" s="539">
        <f t="shared" si="103"/>
        <v>584.51662735849061</v>
      </c>
      <c r="AN64" s="539">
        <f t="shared" si="103"/>
        <v>584.51662735849061</v>
      </c>
      <c r="AO64" s="539">
        <f t="shared" si="103"/>
        <v>584.51662735849061</v>
      </c>
      <c r="AP64" s="539">
        <f t="shared" si="103"/>
        <v>584.51662735849061</v>
      </c>
      <c r="AQ64" s="539">
        <f t="shared" si="103"/>
        <v>584.51662735849061</v>
      </c>
      <c r="AR64" s="539">
        <f t="shared" ref="AR64:AT64" si="104">$AI$61*AR20/$AI$17</f>
        <v>584.51662735849061</v>
      </c>
      <c r="AS64" s="539">
        <f t="shared" si="104"/>
        <v>584.51662735849061</v>
      </c>
      <c r="AT64" s="539">
        <f t="shared" si="104"/>
        <v>584.51662735849061</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68"/>
      <c r="E65" s="191"/>
      <c r="F65" s="156">
        <v>2021</v>
      </c>
      <c r="H65" s="49"/>
      <c r="I65" s="49"/>
      <c r="J65" s="49"/>
      <c r="K65" s="49"/>
      <c r="L65" s="49"/>
      <c r="M65" s="49"/>
      <c r="N65" s="49"/>
      <c r="O65" s="49"/>
      <c r="P65" s="49"/>
      <c r="Q65" s="544"/>
      <c r="R65" s="544"/>
      <c r="S65" s="544"/>
      <c r="T65" s="544"/>
      <c r="U65" s="544"/>
      <c r="V65" s="544"/>
      <c r="W65" s="544"/>
      <c r="X65" s="544"/>
      <c r="Y65" s="544"/>
      <c r="Z65" s="544"/>
      <c r="AA65" s="544"/>
      <c r="AB65" s="544"/>
      <c r="AC65" s="544"/>
      <c r="AD65" s="544"/>
      <c r="AE65" s="544"/>
      <c r="AF65" s="544"/>
      <c r="AG65" s="544"/>
      <c r="AH65" s="544"/>
      <c r="AI65" s="539">
        <f t="shared" ref="AI65:AQ65" si="105">$AI$61*AI21/$AI$17</f>
        <v>748.18128301886804</v>
      </c>
      <c r="AJ65" s="539">
        <f t="shared" si="105"/>
        <v>748.18128301886804</v>
      </c>
      <c r="AK65" s="539">
        <f t="shared" si="105"/>
        <v>748.18128301886804</v>
      </c>
      <c r="AL65" s="539">
        <f t="shared" si="105"/>
        <v>748.18128301886804</v>
      </c>
      <c r="AM65" s="539">
        <f t="shared" si="105"/>
        <v>748.18128301886804</v>
      </c>
      <c r="AN65" s="539">
        <f t="shared" si="105"/>
        <v>748.18128301886804</v>
      </c>
      <c r="AO65" s="539">
        <f t="shared" si="105"/>
        <v>748.18128301886804</v>
      </c>
      <c r="AP65" s="539">
        <f t="shared" si="105"/>
        <v>748.18128301886804</v>
      </c>
      <c r="AQ65" s="539">
        <f t="shared" si="105"/>
        <v>748.18128301886804</v>
      </c>
      <c r="AR65" s="539">
        <f t="shared" ref="AR65:AT65" si="106">$AI$61*AR21/$AI$17</f>
        <v>748.18128301886804</v>
      </c>
      <c r="AS65" s="539">
        <f t="shared" si="106"/>
        <v>748.18128301886804</v>
      </c>
      <c r="AT65" s="539">
        <f t="shared" si="106"/>
        <v>748.18128301886804</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4" thickBot="1">
      <c r="B66" s="162"/>
      <c r="C66" s="162"/>
      <c r="D66" s="568"/>
      <c r="E66" s="212"/>
      <c r="F66" s="164">
        <v>2031</v>
      </c>
      <c r="G66" s="164"/>
      <c r="H66" s="541"/>
      <c r="I66" s="541"/>
      <c r="J66" s="541"/>
      <c r="K66" s="541"/>
      <c r="L66" s="541"/>
      <c r="M66" s="541"/>
      <c r="N66" s="541"/>
      <c r="O66" s="541"/>
      <c r="P66" s="541"/>
      <c r="Q66" s="544"/>
      <c r="R66" s="544"/>
      <c r="S66" s="544"/>
      <c r="T66" s="544"/>
      <c r="U66" s="544"/>
      <c r="V66" s="544"/>
      <c r="W66" s="544"/>
      <c r="X66" s="544"/>
      <c r="Y66" s="544"/>
      <c r="Z66" s="544"/>
      <c r="AA66" s="544"/>
      <c r="AB66" s="544"/>
      <c r="AC66" s="544"/>
      <c r="AD66" s="544"/>
      <c r="AE66" s="544"/>
      <c r="AF66" s="544"/>
      <c r="AG66" s="544"/>
      <c r="AH66" s="544"/>
      <c r="AI66" s="539">
        <f t="shared" ref="AI66:AQ66" si="107">$AI$61*AI22/$AI$17</f>
        <v>854.0095566037736</v>
      </c>
      <c r="AJ66" s="539">
        <f t="shared" si="107"/>
        <v>854.0095566037736</v>
      </c>
      <c r="AK66" s="539">
        <f t="shared" si="107"/>
        <v>854.0095566037736</v>
      </c>
      <c r="AL66" s="539">
        <f t="shared" si="107"/>
        <v>854.0095566037736</v>
      </c>
      <c r="AM66" s="539">
        <f t="shared" si="107"/>
        <v>854.0095566037736</v>
      </c>
      <c r="AN66" s="539">
        <f t="shared" si="107"/>
        <v>854.0095566037736</v>
      </c>
      <c r="AO66" s="539">
        <f t="shared" si="107"/>
        <v>854.0095566037736</v>
      </c>
      <c r="AP66" s="539">
        <f t="shared" si="107"/>
        <v>854.0095566037736</v>
      </c>
      <c r="AQ66" s="539">
        <f t="shared" si="107"/>
        <v>854.0095566037736</v>
      </c>
      <c r="AR66" s="539">
        <f t="shared" ref="AR66:AT66" si="108">$AI$61*AR22/$AI$17</f>
        <v>854.0095566037736</v>
      </c>
      <c r="AS66" s="539">
        <f t="shared" si="108"/>
        <v>854.0095566037736</v>
      </c>
      <c r="AT66" s="539">
        <f t="shared" si="108"/>
        <v>854.0095566037736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5" thickBot="1">
      <c r="B67" s="165" t="str">
        <f>Processes!D31</f>
        <v>RDCUML</v>
      </c>
      <c r="C67" s="165" t="str">
        <f>Processes!E31</f>
        <v xml:space="preserve">Residential Demand Cooling Urban Multi -  - Low </v>
      </c>
      <c r="D67" s="127" t="str">
        <f>Commodities!$C$53&amp;","&amp;Commodities!C73</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44">
        <f t="shared" ref="Q67:S69" si="109">H67*0.6</f>
        <v>0</v>
      </c>
      <c r="R67" s="544">
        <f t="shared" si="109"/>
        <v>0</v>
      </c>
      <c r="S67" s="544">
        <f t="shared" si="109"/>
        <v>0</v>
      </c>
      <c r="T67" s="544">
        <f t="shared" ref="T67:V69" si="110">H67*0.99</f>
        <v>0</v>
      </c>
      <c r="U67" s="544">
        <f t="shared" si="110"/>
        <v>0</v>
      </c>
      <c r="V67" s="544">
        <f t="shared" si="110"/>
        <v>0</v>
      </c>
      <c r="W67" s="544">
        <f t="shared" ref="W67:W69" si="111">K67*0.99</f>
        <v>0</v>
      </c>
      <c r="X67" s="544">
        <f t="shared" ref="X67:X69" si="112">L67*0.99</f>
        <v>0</v>
      </c>
      <c r="Y67" s="544">
        <f t="shared" ref="Y67:Y69" si="113">M67*0.99</f>
        <v>0</v>
      </c>
      <c r="Z67" s="544">
        <f t="shared" ref="Z67:Z69" si="114">N67*0.99</f>
        <v>0</v>
      </c>
      <c r="AA67" s="544">
        <f t="shared" ref="AA67:AA69" si="115">O67*0.99</f>
        <v>0</v>
      </c>
      <c r="AB67" s="544">
        <f t="shared" ref="AB67:AB69" si="116">P67*0.99</f>
        <v>0</v>
      </c>
      <c r="AC67" s="544">
        <f t="shared" ref="AC67:AH69" si="117">Q67*0.99</f>
        <v>0</v>
      </c>
      <c r="AD67" s="544">
        <f t="shared" si="117"/>
        <v>0</v>
      </c>
      <c r="AE67" s="544">
        <f t="shared" si="117"/>
        <v>0</v>
      </c>
      <c r="AF67" s="544">
        <f t="shared" si="117"/>
        <v>0</v>
      </c>
      <c r="AG67" s="544">
        <f t="shared" si="117"/>
        <v>0</v>
      </c>
      <c r="AH67" s="544">
        <f t="shared" si="117"/>
        <v>0</v>
      </c>
      <c r="AI67" s="537">
        <f t="shared" ref="AI67:AT67" si="118">AI68/2</f>
        <v>172.29049999999998</v>
      </c>
      <c r="AJ67" s="537">
        <f t="shared" si="118"/>
        <v>90.132999999999996</v>
      </c>
      <c r="AK67" s="537">
        <f t="shared" si="118"/>
        <v>90.138999999999996</v>
      </c>
      <c r="AL67" s="537">
        <f t="shared" si="118"/>
        <v>133.49499999999998</v>
      </c>
      <c r="AM67" s="537">
        <f t="shared" si="118"/>
        <v>69.707000000000008</v>
      </c>
      <c r="AN67" s="537">
        <f t="shared" si="118"/>
        <v>69.826000000000008</v>
      </c>
      <c r="AO67" s="537">
        <f t="shared" si="118"/>
        <v>162.798</v>
      </c>
      <c r="AP67" s="537">
        <f t="shared" si="118"/>
        <v>85.1755</v>
      </c>
      <c r="AQ67" s="537">
        <f t="shared" si="118"/>
        <v>85.180999999999997</v>
      </c>
      <c r="AR67" s="537">
        <f t="shared" si="118"/>
        <v>162.798</v>
      </c>
      <c r="AS67" s="537">
        <f t="shared" si="118"/>
        <v>85.1755</v>
      </c>
      <c r="AT67" s="537">
        <f t="shared" si="118"/>
        <v>85.180999999999997</v>
      </c>
      <c r="AU67" s="167">
        <v>1</v>
      </c>
      <c r="AV67" s="165">
        <v>1</v>
      </c>
      <c r="AW67" s="160"/>
      <c r="AX67" s="162"/>
      <c r="AY67" s="162"/>
      <c r="AZ67" s="199"/>
      <c r="BA67" s="202">
        <f t="shared" si="70"/>
        <v>0</v>
      </c>
      <c r="BB67" s="202">
        <f t="shared" si="71"/>
        <v>0</v>
      </c>
      <c r="BC67" s="202">
        <f t="shared" si="72"/>
        <v>0</v>
      </c>
      <c r="BD67" s="203">
        <f t="shared" si="96"/>
        <v>0</v>
      </c>
      <c r="BE67" s="203">
        <f t="shared" si="97"/>
        <v>0</v>
      </c>
      <c r="BF67" s="203">
        <f t="shared" si="98"/>
        <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Commodities!$C$53&amp;","&amp;Commodities!C74</f>
        <v>RESCUMB,RESCUMSM</v>
      </c>
      <c r="E68" s="191" t="str">
        <f>E67</f>
        <v>RCUMB</v>
      </c>
      <c r="G68" s="191"/>
      <c r="H68" s="49" cm="1">
        <f t="array" ref="H68">ROUNDUP(INDEX(Dem!$F$53:$H$56,MATCH(Buildings_DR!$E68,Dem!$B$17:$B$20,0),MATCH(RIGHT(H$51,3),Dem!$F$1:$H$1,0))*_xlfn.IFS(RIGHT($D68,1)="H",$H$48,RIGHT($D68,1)="M",$H$47,RIGHT($D68,1)="L",$H$46),2)</f>
        <v>45.15</v>
      </c>
      <c r="I68" s="49" cm="1">
        <f t="array" ref="I68">ROUNDUP(INDEX(Dem!$F$53:$H$56,MATCH(Buildings_DR!$E68,Dem!$B$17:$B$20,0),MATCH(RIGHT(I$51,3),Dem!$F$1:$H$1,0))*_xlfn.IFS(RIGHT($D68,1)="H",$H$48,RIGHT($D68,1)="M",$H$47,RIGHT($D68,1)="L",$H$46),2)</f>
        <v>0.6</v>
      </c>
      <c r="J68" s="49" cm="1">
        <f t="array" ref="J68">ROUNDUP(INDEX(Dem!$F$53:$H$56,MATCH(Buildings_DR!$E68,Dem!$B$17:$B$20,0),MATCH(RIGHT(J$51,3),Dem!$F$1:$H$1,0))*_xlfn.IFS(RIGHT($D68,1)="H",$H$48,RIGHT($D68,1)="M",$H$47,RIGHT($D68,1)="L",$H$46),2)</f>
        <v>1.9</v>
      </c>
      <c r="K68" s="49" cm="1">
        <f t="array" ref="K68">ROUNDUP(INDEX(Dem!$F$57:$H$60,MATCH(Buildings_DR!$E68,Dem!$B$17:$B$20,0),MATCH(RIGHT(K$51,3),Dem!$F$1:$H$1,0))*_xlfn.IFS(RIGHT($D68,1)="H",$H$48,RIGHT($D68,1)="M",$H$47,RIGHT($D68,1)="L",$H$46),2)</f>
        <v>48.25</v>
      </c>
      <c r="L68" s="49" cm="1">
        <f t="array" ref="L68">ROUNDUP(INDEX(Dem!$F$57:$H$60,MATCH(Buildings_DR!$E68,Dem!$B$17:$B$20,0),MATCH(RIGHT(L$51,3),Dem!$F$1:$H$1,0))*_xlfn.IFS(RIGHT($D68,1)="H",$H$48,RIGHT($D68,1)="M",$H$47,RIGHT($D68,1)="L",$H$46),2)</f>
        <v>0.64</v>
      </c>
      <c r="M68" s="49" cm="1">
        <f t="array" ref="M68">ROUNDUP(INDEX(Dem!$F$57:$H$60,MATCH(Buildings_DR!$E68,Dem!$B$17:$B$20,0),MATCH(RIGHT(M$51,3),Dem!$F$1:$H$1,0))*_xlfn.IFS(RIGHT($D68,1)="H",$H$48,RIGHT($D68,1)="M",$H$47,RIGHT($D68,1)="L",$H$46),2)</f>
        <v>2.0299999999999998</v>
      </c>
      <c r="N68" s="49" cm="1">
        <f t="array" ref="N68">ROUNDUP(INDEX(Dem!$F$61:$H$64,MATCH(Buildings_DR!$E68,Dem!$B$17:$B$20,0),MATCH(RIGHT(N$51,3),Dem!$F$1:$H$1,0))*_xlfn.IFS(RIGHT($D68,1)="H",$H$48,RIGHT($D68,1)="M",$H$47,RIGHT($D68,1)="L",$H$46),2)</f>
        <v>49.66</v>
      </c>
      <c r="O68" s="49" cm="1">
        <f t="array" ref="O68">ROUNDUP(INDEX(Dem!$F$61:$H$64,MATCH(Buildings_DR!$E68,Dem!$B$17:$B$20,0),MATCH(RIGHT(O$51,3),Dem!$F$1:$H$1,0))*_xlfn.IFS(RIGHT($D68,1)="H",$H$48,RIGHT($D68,1)="M",$H$47,RIGHT($D68,1)="L",$H$46),2)</f>
        <v>0.66</v>
      </c>
      <c r="P68" s="49" cm="1">
        <f t="array" ref="P68">ROUNDUP(INDEX(Dem!$F$61:$H$64,MATCH(Buildings_DR!$E68,Dem!$B$17:$B$20,0),MATCH(RIGHT(P$51,3),Dem!$F$1:$H$1,0))*_xlfn.IFS(RIGHT($D68,1)="H",$H$48,RIGHT($D68,1)="M",$H$47,RIGHT($D68,1)="L",$H$46),2)</f>
        <v>2.09</v>
      </c>
      <c r="Q68" s="544">
        <f t="shared" si="109"/>
        <v>27.09</v>
      </c>
      <c r="R68" s="544">
        <f t="shared" si="109"/>
        <v>0.36</v>
      </c>
      <c r="S68" s="544">
        <f t="shared" si="109"/>
        <v>1.1399999999999999</v>
      </c>
      <c r="T68" s="544">
        <f t="shared" si="110"/>
        <v>44.698499999999996</v>
      </c>
      <c r="U68" s="544">
        <f t="shared" si="110"/>
        <v>0.59399999999999997</v>
      </c>
      <c r="V68" s="544">
        <f t="shared" si="110"/>
        <v>1.881</v>
      </c>
      <c r="W68" s="544">
        <f t="shared" si="111"/>
        <v>47.767499999999998</v>
      </c>
      <c r="X68" s="544">
        <f t="shared" si="112"/>
        <v>0.63360000000000005</v>
      </c>
      <c r="Y68" s="544">
        <f t="shared" si="113"/>
        <v>2.0096999999999996</v>
      </c>
      <c r="Z68" s="544">
        <f t="shared" si="114"/>
        <v>49.163399999999996</v>
      </c>
      <c r="AA68" s="544">
        <f t="shared" si="115"/>
        <v>0.65339999999999998</v>
      </c>
      <c r="AB68" s="544">
        <f t="shared" si="116"/>
        <v>2.0690999999999997</v>
      </c>
      <c r="AC68" s="544">
        <f t="shared" si="117"/>
        <v>26.819099999999999</v>
      </c>
      <c r="AD68" s="544">
        <f t="shared" si="117"/>
        <v>0.35639999999999999</v>
      </c>
      <c r="AE68" s="544">
        <f t="shared" si="117"/>
        <v>1.1285999999999998</v>
      </c>
      <c r="AF68" s="544">
        <f t="shared" si="117"/>
        <v>44.251514999999998</v>
      </c>
      <c r="AG68" s="544">
        <f t="shared" si="117"/>
        <v>0.58805999999999992</v>
      </c>
      <c r="AH68" s="544">
        <f t="shared" si="117"/>
        <v>1.86219</v>
      </c>
      <c r="AI68" s="538">
        <f>ROUNDUP(SUM(H67:H73)/Cooling!AA9,3)</f>
        <v>344.58099999999996</v>
      </c>
      <c r="AJ68" s="538">
        <f>ROUNDUP(SUM(I67:I73)/Cooling!AB9,3)</f>
        <v>180.26599999999999</v>
      </c>
      <c r="AK68" s="538">
        <f>ROUNDUP(SUM(J67:J73)/Cooling!AC9,3)</f>
        <v>180.27799999999999</v>
      </c>
      <c r="AL68" s="538">
        <f>ROUNDUP(SUM(K67:K73)/Cooling!AA13,3)</f>
        <v>266.98999999999995</v>
      </c>
      <c r="AM68" s="538">
        <f>ROUNDUP(SUM(L67:L73)/Cooling!AB13,3)</f>
        <v>139.41400000000002</v>
      </c>
      <c r="AN68" s="538">
        <f>ROUNDUP(SUM(M67:M73)/Cooling!AC13,3)</f>
        <v>139.65200000000002</v>
      </c>
      <c r="AO68" s="538">
        <f>ROUNDUP(SUM(N67:N73)/Cooling!AA17,3)</f>
        <v>325.596</v>
      </c>
      <c r="AP68" s="538">
        <f>ROUNDUP(SUM(O67:O73)/Cooling!AB17,3)</f>
        <v>170.351</v>
      </c>
      <c r="AQ68" s="538">
        <f>ROUNDUP(SUM(P67:P73)/Cooling!AC17,3)</f>
        <v>170.36199999999999</v>
      </c>
      <c r="AR68" s="538">
        <f>AO68</f>
        <v>325.596</v>
      </c>
      <c r="AS68" s="538">
        <f>AP68</f>
        <v>170.351</v>
      </c>
      <c r="AT68" s="538">
        <f>AQ68</f>
        <v>170.36199999999999</v>
      </c>
      <c r="AU68" s="163">
        <v>1</v>
      </c>
      <c r="AV68" s="162">
        <v>1</v>
      </c>
      <c r="AW68" s="160"/>
      <c r="AX68" s="162"/>
      <c r="AY68" s="162"/>
      <c r="AZ68" s="199"/>
      <c r="BA68" s="202">
        <f t="shared" si="70"/>
        <v>45.15</v>
      </c>
      <c r="BB68" s="202">
        <f t="shared" si="71"/>
        <v>0.6</v>
      </c>
      <c r="BC68" s="202">
        <f t="shared" si="72"/>
        <v>1.9</v>
      </c>
      <c r="BD68" s="203">
        <f t="shared" si="96"/>
        <v>0.13102869862238486</v>
      </c>
      <c r="BE68" s="203">
        <f t="shared" si="97"/>
        <v>3.3284146760897784E-3</v>
      </c>
      <c r="BF68" s="203">
        <f t="shared" si="98"/>
        <v>1.0539278225851186E-2</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Commodities!$C$53&amp;","&amp;Commodities!C75</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44">
        <f t="shared" si="109"/>
        <v>0</v>
      </c>
      <c r="R69" s="544">
        <f t="shared" si="109"/>
        <v>0</v>
      </c>
      <c r="S69" s="544">
        <f t="shared" si="109"/>
        <v>0</v>
      </c>
      <c r="T69" s="544">
        <f t="shared" si="110"/>
        <v>0</v>
      </c>
      <c r="U69" s="544">
        <f t="shared" si="110"/>
        <v>0</v>
      </c>
      <c r="V69" s="544">
        <f t="shared" si="110"/>
        <v>0</v>
      </c>
      <c r="W69" s="544">
        <f t="shared" si="111"/>
        <v>0</v>
      </c>
      <c r="X69" s="544">
        <f t="shared" si="112"/>
        <v>0</v>
      </c>
      <c r="Y69" s="544">
        <f t="shared" si="113"/>
        <v>0</v>
      </c>
      <c r="Z69" s="544">
        <f t="shared" si="114"/>
        <v>0</v>
      </c>
      <c r="AA69" s="544">
        <f t="shared" si="115"/>
        <v>0</v>
      </c>
      <c r="AB69" s="544">
        <f t="shared" si="116"/>
        <v>0</v>
      </c>
      <c r="AC69" s="544">
        <f t="shared" si="117"/>
        <v>0</v>
      </c>
      <c r="AD69" s="544">
        <f t="shared" si="117"/>
        <v>0</v>
      </c>
      <c r="AE69" s="544">
        <f t="shared" si="117"/>
        <v>0</v>
      </c>
      <c r="AF69" s="544">
        <f t="shared" si="117"/>
        <v>0</v>
      </c>
      <c r="AG69" s="544">
        <f t="shared" si="117"/>
        <v>0</v>
      </c>
      <c r="AH69" s="544">
        <f t="shared" si="117"/>
        <v>0</v>
      </c>
      <c r="AI69" s="538">
        <f t="shared" ref="AI69:AQ69" si="119">AI68/2+AI70/2</f>
        <v>349.08532679738562</v>
      </c>
      <c r="AJ69" s="538">
        <f t="shared" si="119"/>
        <v>266.92782679738565</v>
      </c>
      <c r="AK69" s="538">
        <f t="shared" si="119"/>
        <v>266.93382679738562</v>
      </c>
      <c r="AL69" s="538">
        <f t="shared" si="119"/>
        <v>310.28982679738562</v>
      </c>
      <c r="AM69" s="538">
        <f t="shared" si="119"/>
        <v>246.50182679738566</v>
      </c>
      <c r="AN69" s="538">
        <f t="shared" si="119"/>
        <v>246.62082679738563</v>
      </c>
      <c r="AO69" s="538">
        <f t="shared" si="119"/>
        <v>339.59282679738567</v>
      </c>
      <c r="AP69" s="538">
        <f t="shared" si="119"/>
        <v>261.97032679738561</v>
      </c>
      <c r="AQ69" s="538">
        <f t="shared" si="119"/>
        <v>261.97582679738565</v>
      </c>
      <c r="AR69" s="538">
        <f t="shared" ref="AR69:AT69" si="120">AR68/2+AR70/2</f>
        <v>339.59282679738567</v>
      </c>
      <c r="AS69" s="538">
        <f t="shared" si="120"/>
        <v>261.97032679738561</v>
      </c>
      <c r="AT69" s="538">
        <f t="shared" si="120"/>
        <v>261.97582679738565</v>
      </c>
      <c r="AU69" s="163">
        <v>1</v>
      </c>
      <c r="AV69" s="162">
        <v>1</v>
      </c>
      <c r="AW69" s="162"/>
      <c r="AX69" s="162"/>
      <c r="AY69" s="162"/>
      <c r="AZ69" s="199"/>
      <c r="BA69" s="202">
        <f t="shared" si="70"/>
        <v>0</v>
      </c>
      <c r="BB69" s="202">
        <f t="shared" si="71"/>
        <v>0</v>
      </c>
      <c r="BC69" s="202">
        <f t="shared" si="72"/>
        <v>0</v>
      </c>
      <c r="BD69" s="203">
        <f t="shared" si="96"/>
        <v>0</v>
      </c>
      <c r="BE69" s="203">
        <f t="shared" si="97"/>
        <v>0</v>
      </c>
      <c r="BF69" s="203">
        <f t="shared" si="98"/>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Commodities!$C$53</f>
        <v>RESCUMB</v>
      </c>
      <c r="E70" s="191" t="str">
        <f>E69</f>
        <v>RCUMB</v>
      </c>
      <c r="F70" s="156">
        <v>2011</v>
      </c>
      <c r="G70" s="191">
        <v>2011</v>
      </c>
      <c r="H70" s="49"/>
      <c r="I70" s="49"/>
      <c r="J70" s="49"/>
      <c r="K70" s="49"/>
      <c r="L70" s="49"/>
      <c r="M70" s="49"/>
      <c r="N70" s="49"/>
      <c r="O70" s="49"/>
      <c r="P70" s="49"/>
      <c r="Q70" s="544"/>
      <c r="R70" s="544"/>
      <c r="S70" s="544"/>
      <c r="T70" s="544"/>
      <c r="U70" s="544"/>
      <c r="V70" s="544"/>
      <c r="W70" s="544"/>
      <c r="X70" s="544"/>
      <c r="Y70" s="544"/>
      <c r="Z70" s="544"/>
      <c r="AA70" s="544"/>
      <c r="AB70" s="544"/>
      <c r="AC70" s="544"/>
      <c r="AD70" s="544"/>
      <c r="AE70" s="544"/>
      <c r="AF70" s="544"/>
      <c r="AG70" s="544"/>
      <c r="AH70" s="544"/>
      <c r="AI70" s="539">
        <f t="shared" ref="AI70:AQ70" si="121">$AI$68*AI26/$AI$24</f>
        <v>353.58965359477128</v>
      </c>
      <c r="AJ70" s="539">
        <f t="shared" si="121"/>
        <v>353.58965359477128</v>
      </c>
      <c r="AK70" s="539">
        <f t="shared" si="121"/>
        <v>353.58965359477128</v>
      </c>
      <c r="AL70" s="539">
        <f t="shared" si="121"/>
        <v>353.58965359477128</v>
      </c>
      <c r="AM70" s="539">
        <f t="shared" si="121"/>
        <v>353.58965359477128</v>
      </c>
      <c r="AN70" s="539">
        <f t="shared" si="121"/>
        <v>353.58965359477128</v>
      </c>
      <c r="AO70" s="539">
        <f t="shared" si="121"/>
        <v>353.58965359477128</v>
      </c>
      <c r="AP70" s="539">
        <f t="shared" si="121"/>
        <v>353.58965359477128</v>
      </c>
      <c r="AQ70" s="539">
        <f t="shared" si="121"/>
        <v>353.58965359477128</v>
      </c>
      <c r="AR70" s="539">
        <f t="shared" ref="AR70:AT70" si="122">$AI$68*AR26/$AI$24</f>
        <v>353.58965359477128</v>
      </c>
      <c r="AS70" s="539">
        <f t="shared" si="122"/>
        <v>353.58965359477128</v>
      </c>
      <c r="AT70" s="539">
        <f t="shared" si="122"/>
        <v>353.58965359477128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68"/>
      <c r="E71" s="191"/>
      <c r="F71" s="156">
        <v>2016</v>
      </c>
      <c r="H71" s="49"/>
      <c r="I71" s="49"/>
      <c r="J71" s="49"/>
      <c r="K71" s="49"/>
      <c r="L71" s="49"/>
      <c r="M71" s="49"/>
      <c r="N71" s="49"/>
      <c r="O71" s="49"/>
      <c r="P71" s="49"/>
      <c r="Q71" s="544"/>
      <c r="R71" s="544"/>
      <c r="S71" s="544"/>
      <c r="T71" s="544"/>
      <c r="U71" s="544"/>
      <c r="V71" s="544"/>
      <c r="W71" s="544"/>
      <c r="X71" s="544"/>
      <c r="Y71" s="544"/>
      <c r="Z71" s="544"/>
      <c r="AA71" s="544"/>
      <c r="AB71" s="544"/>
      <c r="AC71" s="544"/>
      <c r="AD71" s="544"/>
      <c r="AE71" s="544"/>
      <c r="AF71" s="544"/>
      <c r="AG71" s="544"/>
      <c r="AH71" s="544"/>
      <c r="AI71" s="539">
        <f t="shared" ref="AI71:AQ71" si="124">$AI$68*AI27/$AI$24</f>
        <v>415.52414705882347</v>
      </c>
      <c r="AJ71" s="539">
        <f t="shared" si="124"/>
        <v>415.52414705882347</v>
      </c>
      <c r="AK71" s="539">
        <f t="shared" si="124"/>
        <v>415.52414705882347</v>
      </c>
      <c r="AL71" s="539">
        <f t="shared" si="124"/>
        <v>415.52414705882347</v>
      </c>
      <c r="AM71" s="539">
        <f t="shared" si="124"/>
        <v>415.52414705882347</v>
      </c>
      <c r="AN71" s="539">
        <f t="shared" si="124"/>
        <v>415.52414705882347</v>
      </c>
      <c r="AO71" s="539">
        <f t="shared" si="124"/>
        <v>415.52414705882347</v>
      </c>
      <c r="AP71" s="539">
        <f t="shared" si="124"/>
        <v>415.52414705882347</v>
      </c>
      <c r="AQ71" s="539">
        <f t="shared" si="124"/>
        <v>415.52414705882347</v>
      </c>
      <c r="AR71" s="539">
        <f t="shared" ref="AR71:AT71" si="125">$AI$68*AR27/$AI$24</f>
        <v>415.52414705882347</v>
      </c>
      <c r="AS71" s="539">
        <f t="shared" si="125"/>
        <v>415.52414705882347</v>
      </c>
      <c r="AT71" s="539">
        <f t="shared" si="125"/>
        <v>415.52414705882347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68"/>
      <c r="E72" s="191"/>
      <c r="F72" s="156">
        <v>2021</v>
      </c>
      <c r="H72" s="49"/>
      <c r="I72" s="49"/>
      <c r="J72" s="49"/>
      <c r="K72" s="49"/>
      <c r="L72" s="49"/>
      <c r="M72" s="49"/>
      <c r="N72" s="49"/>
      <c r="O72" s="49"/>
      <c r="P72" s="49"/>
      <c r="Q72" s="544"/>
      <c r="R72" s="544"/>
      <c r="S72" s="544"/>
      <c r="T72" s="544"/>
      <c r="U72" s="544"/>
      <c r="V72" s="544"/>
      <c r="W72" s="544"/>
      <c r="X72" s="544"/>
      <c r="Y72" s="544"/>
      <c r="Z72" s="544"/>
      <c r="AA72" s="544"/>
      <c r="AB72" s="544"/>
      <c r="AC72" s="544"/>
      <c r="AD72" s="544"/>
      <c r="AE72" s="544"/>
      <c r="AF72" s="544"/>
      <c r="AG72" s="544"/>
      <c r="AH72" s="544"/>
      <c r="AI72" s="539">
        <f t="shared" ref="AI72:AQ72" si="126">$AI$68*AI28/$AI$24</f>
        <v>684.65767320261443</v>
      </c>
      <c r="AJ72" s="539">
        <f t="shared" si="126"/>
        <v>684.65767320261443</v>
      </c>
      <c r="AK72" s="539">
        <f t="shared" si="126"/>
        <v>684.65767320261443</v>
      </c>
      <c r="AL72" s="539">
        <f t="shared" si="126"/>
        <v>684.65767320261443</v>
      </c>
      <c r="AM72" s="539">
        <f t="shared" si="126"/>
        <v>684.65767320261443</v>
      </c>
      <c r="AN72" s="539">
        <f t="shared" si="126"/>
        <v>684.65767320261443</v>
      </c>
      <c r="AO72" s="539">
        <f t="shared" si="126"/>
        <v>684.65767320261443</v>
      </c>
      <c r="AP72" s="539">
        <f t="shared" si="126"/>
        <v>684.65767320261443</v>
      </c>
      <c r="AQ72" s="539">
        <f t="shared" si="126"/>
        <v>684.65767320261443</v>
      </c>
      <c r="AR72" s="539">
        <f t="shared" ref="AR72:AT72" si="127">$AI$68*AR28/$AI$24</f>
        <v>684.65767320261443</v>
      </c>
      <c r="AS72" s="539">
        <f t="shared" si="127"/>
        <v>684.65767320261443</v>
      </c>
      <c r="AT72" s="539">
        <f t="shared" si="127"/>
        <v>684.65767320261443</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68"/>
      <c r="E73" s="212"/>
      <c r="F73" s="164">
        <v>2031</v>
      </c>
      <c r="G73" s="164"/>
      <c r="H73" s="541"/>
      <c r="I73" s="541"/>
      <c r="J73" s="541"/>
      <c r="K73" s="541"/>
      <c r="L73" s="541"/>
      <c r="M73" s="541"/>
      <c r="N73" s="541"/>
      <c r="O73" s="541"/>
      <c r="P73" s="541"/>
      <c r="Q73" s="545"/>
      <c r="R73" s="545"/>
      <c r="S73" s="545"/>
      <c r="T73" s="545"/>
      <c r="U73" s="545"/>
      <c r="V73" s="545"/>
      <c r="W73" s="545"/>
      <c r="X73" s="545"/>
      <c r="Y73" s="545"/>
      <c r="Z73" s="545"/>
      <c r="AA73" s="545"/>
      <c r="AB73" s="545"/>
      <c r="AC73" s="545"/>
      <c r="AD73" s="545"/>
      <c r="AE73" s="545"/>
      <c r="AF73" s="545"/>
      <c r="AG73" s="545"/>
      <c r="AH73" s="545"/>
      <c r="AI73" s="539">
        <f t="shared" ref="AI73:AQ73" si="128">$AI$68*AI29/$AI$24</f>
        <v>781.50069934640533</v>
      </c>
      <c r="AJ73" s="539">
        <f t="shared" si="128"/>
        <v>781.50069934640533</v>
      </c>
      <c r="AK73" s="539">
        <f t="shared" si="128"/>
        <v>781.50069934640533</v>
      </c>
      <c r="AL73" s="539">
        <f t="shared" si="128"/>
        <v>781.50069934640533</v>
      </c>
      <c r="AM73" s="539">
        <f t="shared" si="128"/>
        <v>781.50069934640533</v>
      </c>
      <c r="AN73" s="539">
        <f t="shared" si="128"/>
        <v>781.50069934640533</v>
      </c>
      <c r="AO73" s="539">
        <f t="shared" si="128"/>
        <v>781.50069934640533</v>
      </c>
      <c r="AP73" s="539">
        <f t="shared" si="128"/>
        <v>781.50069934640533</v>
      </c>
      <c r="AQ73" s="539">
        <f t="shared" si="128"/>
        <v>781.50069934640533</v>
      </c>
      <c r="AR73" s="539">
        <f t="shared" ref="AR73:AT73" si="129">$AI$68*AR29/$AI$24</f>
        <v>781.50069934640533</v>
      </c>
      <c r="AS73" s="539">
        <f t="shared" si="129"/>
        <v>781.50069934640533</v>
      </c>
      <c r="AT73" s="539">
        <f t="shared" si="129"/>
        <v>781.50069934640533</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RDCRML</v>
      </c>
      <c r="C74" s="165" t="str">
        <f>Processes!E35</f>
        <v xml:space="preserve">Residential Demand Cooling Rural Multi -  - Low </v>
      </c>
      <c r="D74" s="127" t="str">
        <f>Commodities!$C$54&amp;","&amp;Commodities!C76</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44">
        <f t="shared" ref="Q74:S76" si="130">H74*0.6</f>
        <v>0</v>
      </c>
      <c r="R74" s="544">
        <f t="shared" si="130"/>
        <v>0</v>
      </c>
      <c r="S74" s="544">
        <f t="shared" si="130"/>
        <v>0</v>
      </c>
      <c r="T74" s="544">
        <f t="shared" ref="T74:V76" si="131">H74*0.99</f>
        <v>0</v>
      </c>
      <c r="U74" s="544">
        <f t="shared" si="131"/>
        <v>0</v>
      </c>
      <c r="V74" s="544">
        <f t="shared" si="131"/>
        <v>0</v>
      </c>
      <c r="W74" s="544">
        <f t="shared" ref="W74:W76" si="132">K74*0.99</f>
        <v>0</v>
      </c>
      <c r="X74" s="544">
        <f t="shared" ref="X74:X76" si="133">L74*0.99</f>
        <v>0</v>
      </c>
      <c r="Y74" s="544">
        <f t="shared" ref="Y74:Y76" si="134">M74*0.99</f>
        <v>0</v>
      </c>
      <c r="Z74" s="544">
        <f t="shared" ref="Z74:Z76" si="135">N74*0.99</f>
        <v>0</v>
      </c>
      <c r="AA74" s="544">
        <f t="shared" ref="AA74:AA76" si="136">O74*0.99</f>
        <v>0</v>
      </c>
      <c r="AB74" s="544">
        <f t="shared" ref="AB74:AB76" si="137">P74*0.99</f>
        <v>0</v>
      </c>
      <c r="AC74" s="544">
        <f t="shared" ref="AC74:AH76" si="138">Q74*0.99</f>
        <v>0</v>
      </c>
      <c r="AD74" s="544">
        <f t="shared" si="138"/>
        <v>0</v>
      </c>
      <c r="AE74" s="544">
        <f t="shared" si="138"/>
        <v>0</v>
      </c>
      <c r="AF74" s="544">
        <f t="shared" si="138"/>
        <v>0</v>
      </c>
      <c r="AG74" s="544">
        <f t="shared" si="138"/>
        <v>0</v>
      </c>
      <c r="AH74" s="544">
        <f t="shared" si="138"/>
        <v>0</v>
      </c>
      <c r="AI74" s="537">
        <f t="shared" ref="AI74:AT74" si="139">AI75/2</f>
        <v>155.142</v>
      </c>
      <c r="AJ74" s="537">
        <f t="shared" si="139"/>
        <v>257.77999999999997</v>
      </c>
      <c r="AK74" s="537">
        <f t="shared" si="139"/>
        <v>256.75299999999999</v>
      </c>
      <c r="AL74" s="537">
        <f t="shared" si="139"/>
        <v>120.154</v>
      </c>
      <c r="AM74" s="537">
        <f t="shared" si="139"/>
        <v>201.27849999999998</v>
      </c>
      <c r="AN74" s="537">
        <f t="shared" si="139"/>
        <v>195.23749999999998</v>
      </c>
      <c r="AO74" s="537">
        <f t="shared" si="139"/>
        <v>146.69549999999998</v>
      </c>
      <c r="AP74" s="537">
        <f t="shared" si="139"/>
        <v>238.4915</v>
      </c>
      <c r="AQ74" s="537">
        <f t="shared" si="139"/>
        <v>242.09299999999999</v>
      </c>
      <c r="AR74" s="537">
        <f t="shared" si="139"/>
        <v>146.69549999999998</v>
      </c>
      <c r="AS74" s="537">
        <f t="shared" si="139"/>
        <v>238.4915</v>
      </c>
      <c r="AT74" s="537">
        <f t="shared" si="139"/>
        <v>242.09299999999999</v>
      </c>
      <c r="AU74" s="210">
        <v>1</v>
      </c>
      <c r="AV74" s="208">
        <v>1</v>
      </c>
      <c r="AW74" s="160"/>
      <c r="AX74" s="162"/>
      <c r="AY74" s="162"/>
      <c r="AZ74" s="199"/>
      <c r="BA74" s="202">
        <f t="shared" si="70"/>
        <v>0</v>
      </c>
      <c r="BB74" s="202">
        <f t="shared" si="71"/>
        <v>0</v>
      </c>
      <c r="BC74" s="202">
        <f t="shared" si="72"/>
        <v>0</v>
      </c>
      <c r="BD74" s="203">
        <f t="shared" ref="BD74:BF80" si="140">BA74/AI74</f>
        <v>0</v>
      </c>
      <c r="BE74" s="203">
        <f t="shared" si="140"/>
        <v>0</v>
      </c>
      <c r="BF74" s="203">
        <f t="shared" si="140"/>
        <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Commodities!$C$54&amp;","&amp;Commodities!C77</f>
        <v>RESCRMB,RESCRMSM</v>
      </c>
      <c r="E75" s="191" t="str">
        <f>E74</f>
        <v>RCRMB</v>
      </c>
      <c r="F75" s="191"/>
      <c r="G75" s="191"/>
      <c r="H75" s="49" cm="1">
        <f t="array" ref="H75">ROUNDUP(INDEX(Dem!$F$53:$H$56,MATCH(Buildings_DR!$E75,Dem!$B$17:$B$20,0),MATCH(RIGHT(H$51,3),Dem!$F$1:$H$1,0))*_xlfn.IFS(RIGHT($D75,1)="H",$H$48,RIGHT($D75,1)="M",$H$47,RIGHT($D75,1)="L",$H$46),2)</f>
        <v>3.0799999999999996</v>
      </c>
      <c r="I75" s="49" cm="1">
        <f t="array" ref="I75">ROUNDUP(INDEX(Dem!$F$53:$H$56,MATCH(Buildings_DR!$E75,Dem!$B$17:$B$20,0),MATCH(RIGHT(I$51,3),Dem!$F$1:$H$1,0))*_xlfn.IFS(RIGHT($D75,1)="H",$H$48,RIGHT($D75,1)="M",$H$47,RIGHT($D75,1)="L",$H$46),2)</f>
        <v>0.13</v>
      </c>
      <c r="J75" s="49" cm="1">
        <f t="array" ref="J75">ROUNDUP(INDEX(Dem!$F$53:$H$56,MATCH(Buildings_DR!$E75,Dem!$B$17:$B$20,0),MATCH(RIGHT(J$51,3),Dem!$F$1:$H$1,0))*_xlfn.IFS(RIGHT($D75,1)="H",$H$48,RIGHT($D75,1)="M",$H$47,RIGHT($D75,1)="L",$H$46),2)</f>
        <v>0.41000000000000003</v>
      </c>
      <c r="K75" s="49" cm="1">
        <f t="array" ref="K75">ROUNDUP(INDEX(Dem!$F$57:$H$60,MATCH(Buildings_DR!$E75,Dem!$B$17:$B$20,0),MATCH(RIGHT(K$51,3),Dem!$F$1:$H$1,0))*_xlfn.IFS(RIGHT($D75,1)="H",$H$48,RIGHT($D75,1)="M",$H$47,RIGHT($D75,1)="L",$H$46),2)</f>
        <v>3.2899999999999996</v>
      </c>
      <c r="L75" s="49" cm="1">
        <f t="array" ref="L75">ROUNDUP(INDEX(Dem!$F$57:$H$60,MATCH(Buildings_DR!$E75,Dem!$B$17:$B$20,0),MATCH(RIGHT(L$51,3),Dem!$F$1:$H$1,0))*_xlfn.IFS(RIGHT($D75,1)="H",$H$48,RIGHT($D75,1)="M",$H$47,RIGHT($D75,1)="L",$H$46),2)</f>
        <v>0.14000000000000001</v>
      </c>
      <c r="M75" s="49" cm="1">
        <f t="array" ref="M75">ROUNDUP(INDEX(Dem!$F$57:$H$60,MATCH(Buildings_DR!$E75,Dem!$B$17:$B$20,0),MATCH(RIGHT(M$51,3),Dem!$F$1:$H$1,0))*_xlfn.IFS(RIGHT($D75,1)="H",$H$48,RIGHT($D75,1)="M",$H$47,RIGHT($D75,1)="L",$H$46),2)</f>
        <v>0.43</v>
      </c>
      <c r="N75" s="49" cm="1">
        <f t="array" ref="N75">ROUNDUP(INDEX(Dem!$F$61:$H$64,MATCH(Buildings_DR!$E75,Dem!$B$17:$B$20,0),MATCH(RIGHT(N$51,3),Dem!$F$1:$H$1,0))*_xlfn.IFS(RIGHT($D75,1)="H",$H$48,RIGHT($D75,1)="M",$H$47,RIGHT($D75,1)="L",$H$46),2)</f>
        <v>3.3899999999999997</v>
      </c>
      <c r="O75" s="49" cm="1">
        <f t="array" ref="O75">ROUNDUP(INDEX(Dem!$F$61:$H$64,MATCH(Buildings_DR!$E75,Dem!$B$17:$B$20,0),MATCH(RIGHT(O$51,3),Dem!$F$1:$H$1,0))*_xlfn.IFS(RIGHT($D75,1)="H",$H$48,RIGHT($D75,1)="M",$H$47,RIGHT($D75,1)="L",$H$46),2)</f>
        <v>0.14000000000000001</v>
      </c>
      <c r="P75" s="49" cm="1">
        <f t="array" ref="P75">ROUNDUP(INDEX(Dem!$F$61:$H$64,MATCH(Buildings_DR!$E75,Dem!$B$17:$B$20,0),MATCH(RIGHT(P$51,3),Dem!$F$1:$H$1,0))*_xlfn.IFS(RIGHT($D75,1)="H",$H$48,RIGHT($D75,1)="M",$H$47,RIGHT($D75,1)="L",$H$46),2)</f>
        <v>0.45</v>
      </c>
      <c r="Q75" s="544">
        <f t="shared" si="130"/>
        <v>1.8479999999999996</v>
      </c>
      <c r="R75" s="544">
        <f t="shared" si="130"/>
        <v>7.8E-2</v>
      </c>
      <c r="S75" s="544">
        <f t="shared" si="130"/>
        <v>0.246</v>
      </c>
      <c r="T75" s="544">
        <f t="shared" si="131"/>
        <v>3.0491999999999995</v>
      </c>
      <c r="U75" s="544">
        <f t="shared" si="131"/>
        <v>0.12870000000000001</v>
      </c>
      <c r="V75" s="544">
        <f t="shared" si="131"/>
        <v>0.40590000000000004</v>
      </c>
      <c r="W75" s="544">
        <f t="shared" si="132"/>
        <v>3.2570999999999994</v>
      </c>
      <c r="X75" s="544">
        <f t="shared" si="133"/>
        <v>0.1386</v>
      </c>
      <c r="Y75" s="544">
        <f t="shared" si="134"/>
        <v>0.42569999999999997</v>
      </c>
      <c r="Z75" s="544">
        <f t="shared" si="135"/>
        <v>3.3560999999999996</v>
      </c>
      <c r="AA75" s="544">
        <f t="shared" si="136"/>
        <v>0.1386</v>
      </c>
      <c r="AB75" s="544">
        <f t="shared" si="137"/>
        <v>0.44550000000000001</v>
      </c>
      <c r="AC75" s="544">
        <f t="shared" si="138"/>
        <v>1.8295199999999996</v>
      </c>
      <c r="AD75" s="544">
        <f t="shared" si="138"/>
        <v>7.7219999999999997E-2</v>
      </c>
      <c r="AE75" s="544">
        <f t="shared" si="138"/>
        <v>0.24354000000000001</v>
      </c>
      <c r="AF75" s="544">
        <f t="shared" si="138"/>
        <v>3.0187079999999993</v>
      </c>
      <c r="AG75" s="544">
        <f t="shared" si="138"/>
        <v>0.127413</v>
      </c>
      <c r="AH75" s="544">
        <f t="shared" si="138"/>
        <v>0.40184100000000006</v>
      </c>
      <c r="AI75" s="538">
        <f>ROUNDUP(SUM(H74:H80)/Cooling!AA10,3)</f>
        <v>310.28399999999999</v>
      </c>
      <c r="AJ75" s="538">
        <f>ROUNDUP(SUM(I74:I80)/Cooling!AB10,3)</f>
        <v>515.55999999999995</v>
      </c>
      <c r="AK75" s="538">
        <f>ROUNDUP(SUM(J74:J80)/Cooling!AC10,3)</f>
        <v>513.50599999999997</v>
      </c>
      <c r="AL75" s="538">
        <f>ROUNDUP(SUM(K74:K80)/Cooling!AA14,3)</f>
        <v>240.30799999999999</v>
      </c>
      <c r="AM75" s="538">
        <f>ROUNDUP(SUM(L74:L80)/Cooling!AB14,3)</f>
        <v>402.55699999999996</v>
      </c>
      <c r="AN75" s="538">
        <f>ROUNDUP(SUM(M74:M80)/Cooling!AC14,3)</f>
        <v>390.47499999999997</v>
      </c>
      <c r="AO75" s="538">
        <f>ROUNDUP(SUM(N74:N80)/Cooling!AA18,3)</f>
        <v>293.39099999999996</v>
      </c>
      <c r="AP75" s="538">
        <f>ROUNDUP(SUM(O74:O80)/Cooling!AB18,3)</f>
        <v>476.983</v>
      </c>
      <c r="AQ75" s="538">
        <f>ROUNDUP(SUM(P74:P80)/Cooling!AC18,3)</f>
        <v>484.18599999999998</v>
      </c>
      <c r="AR75" s="538">
        <f>AO75</f>
        <v>293.39099999999996</v>
      </c>
      <c r="AS75" s="538">
        <f>AP75</f>
        <v>476.983</v>
      </c>
      <c r="AT75" s="538">
        <f>AQ75</f>
        <v>484.18599999999998</v>
      </c>
      <c r="AU75" s="163">
        <v>1</v>
      </c>
      <c r="AV75" s="162">
        <v>1</v>
      </c>
      <c r="AW75" s="160"/>
      <c r="AX75" s="162"/>
      <c r="AY75" s="162"/>
      <c r="AZ75" s="199"/>
      <c r="BA75" s="202">
        <f t="shared" si="70"/>
        <v>3.0799999999999996</v>
      </c>
      <c r="BB75" s="202">
        <f t="shared" si="71"/>
        <v>0.13</v>
      </c>
      <c r="BC75" s="202">
        <f t="shared" si="72"/>
        <v>0.41000000000000003</v>
      </c>
      <c r="BD75" s="203">
        <f t="shared" si="140"/>
        <v>9.9263900168877536E-3</v>
      </c>
      <c r="BE75" s="203">
        <f t="shared" si="140"/>
        <v>2.5215299868104591E-4</v>
      </c>
      <c r="BF75" s="203">
        <f t="shared" si="140"/>
        <v>7.9843273496317481E-4</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Commodities!$C$54&amp;","&amp;Commodities!C78</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44">
        <f t="shared" si="130"/>
        <v>0</v>
      </c>
      <c r="R76" s="544">
        <f t="shared" si="130"/>
        <v>0</v>
      </c>
      <c r="S76" s="544">
        <f t="shared" si="130"/>
        <v>0</v>
      </c>
      <c r="T76" s="544">
        <f t="shared" si="131"/>
        <v>0</v>
      </c>
      <c r="U76" s="544">
        <f t="shared" si="131"/>
        <v>0</v>
      </c>
      <c r="V76" s="544">
        <f t="shared" si="131"/>
        <v>0</v>
      </c>
      <c r="W76" s="544">
        <f t="shared" si="132"/>
        <v>0</v>
      </c>
      <c r="X76" s="544">
        <f t="shared" si="133"/>
        <v>0</v>
      </c>
      <c r="Y76" s="544">
        <f t="shared" si="134"/>
        <v>0</v>
      </c>
      <c r="Z76" s="544">
        <f t="shared" si="135"/>
        <v>0</v>
      </c>
      <c r="AA76" s="544">
        <f t="shared" si="136"/>
        <v>0</v>
      </c>
      <c r="AB76" s="544">
        <f t="shared" si="137"/>
        <v>0</v>
      </c>
      <c r="AC76" s="544">
        <f t="shared" si="138"/>
        <v>0</v>
      </c>
      <c r="AD76" s="544">
        <f t="shared" si="138"/>
        <v>0</v>
      </c>
      <c r="AE76" s="544">
        <f t="shared" si="138"/>
        <v>0</v>
      </c>
      <c r="AF76" s="544">
        <f t="shared" si="138"/>
        <v>0</v>
      </c>
      <c r="AG76" s="544">
        <f t="shared" si="138"/>
        <v>0</v>
      </c>
      <c r="AH76" s="544">
        <f t="shared" si="138"/>
        <v>0</v>
      </c>
      <c r="AI76" s="538">
        <f t="shared" ref="AI76:AQ76" si="141">AI75/2+AI77/2</f>
        <v>348.45385714285715</v>
      </c>
      <c r="AJ76" s="538">
        <f t="shared" si="141"/>
        <v>451.09185714285718</v>
      </c>
      <c r="AK76" s="538">
        <f t="shared" si="141"/>
        <v>450.06485714285714</v>
      </c>
      <c r="AL76" s="538">
        <f t="shared" si="141"/>
        <v>313.4658571428572</v>
      </c>
      <c r="AM76" s="538">
        <f t="shared" si="141"/>
        <v>394.59035714285716</v>
      </c>
      <c r="AN76" s="538">
        <f t="shared" si="141"/>
        <v>388.54935714285716</v>
      </c>
      <c r="AO76" s="538">
        <f t="shared" si="141"/>
        <v>340.00735714285713</v>
      </c>
      <c r="AP76" s="538">
        <f t="shared" si="141"/>
        <v>431.80335714285718</v>
      </c>
      <c r="AQ76" s="538">
        <f t="shared" si="141"/>
        <v>435.40485714285717</v>
      </c>
      <c r="AR76" s="538">
        <f t="shared" ref="AR76:AT76" si="142">AR75/2+AR77/2</f>
        <v>340.00735714285713</v>
      </c>
      <c r="AS76" s="538">
        <f t="shared" si="142"/>
        <v>431.80335714285718</v>
      </c>
      <c r="AT76" s="538">
        <f t="shared" si="142"/>
        <v>435.40485714285717</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Commodities!$C$54</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9">
        <f t="shared" ref="AI77:AQ77" si="143">$AI$75*AI33/$AI$31</f>
        <v>386.62371428571436</v>
      </c>
      <c r="AJ77" s="539">
        <f t="shared" si="143"/>
        <v>386.62371428571436</v>
      </c>
      <c r="AK77" s="539">
        <f t="shared" si="143"/>
        <v>386.62371428571436</v>
      </c>
      <c r="AL77" s="539">
        <f t="shared" si="143"/>
        <v>386.62371428571436</v>
      </c>
      <c r="AM77" s="539">
        <f t="shared" si="143"/>
        <v>386.62371428571436</v>
      </c>
      <c r="AN77" s="539">
        <f t="shared" si="143"/>
        <v>386.62371428571436</v>
      </c>
      <c r="AO77" s="539">
        <f t="shared" si="143"/>
        <v>386.62371428571436</v>
      </c>
      <c r="AP77" s="539">
        <f t="shared" si="143"/>
        <v>386.62371428571436</v>
      </c>
      <c r="AQ77" s="539">
        <f t="shared" si="143"/>
        <v>386.62371428571436</v>
      </c>
      <c r="AR77" s="539">
        <f t="shared" ref="AR77:AT77" si="144">$AI$75*AR33/$AI$31</f>
        <v>386.62371428571436</v>
      </c>
      <c r="AS77" s="539">
        <f t="shared" si="144"/>
        <v>386.62371428571436</v>
      </c>
      <c r="AT77" s="539">
        <f t="shared" si="144"/>
        <v>386.62371428571436</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68"/>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9">
        <f t="shared" ref="AI78:AQ78" si="145">$AI$75*AI34/$AI$31</f>
        <v>454.34442857142864</v>
      </c>
      <c r="AJ78" s="539">
        <f t="shared" si="145"/>
        <v>454.34442857142864</v>
      </c>
      <c r="AK78" s="539">
        <f t="shared" si="145"/>
        <v>454.34442857142864</v>
      </c>
      <c r="AL78" s="539">
        <f t="shared" si="145"/>
        <v>454.34442857142864</v>
      </c>
      <c r="AM78" s="539">
        <f t="shared" si="145"/>
        <v>454.34442857142864</v>
      </c>
      <c r="AN78" s="539">
        <f t="shared" si="145"/>
        <v>454.34442857142864</v>
      </c>
      <c r="AO78" s="539">
        <f t="shared" si="145"/>
        <v>454.34442857142864</v>
      </c>
      <c r="AP78" s="539">
        <f t="shared" si="145"/>
        <v>454.34442857142864</v>
      </c>
      <c r="AQ78" s="539">
        <f t="shared" si="145"/>
        <v>454.34442857142864</v>
      </c>
      <c r="AR78" s="539">
        <f t="shared" ref="AR78:AT78" si="146">$AI$75*AR34/$AI$31</f>
        <v>454.34442857142864</v>
      </c>
      <c r="AS78" s="539">
        <f t="shared" si="146"/>
        <v>454.34442857142864</v>
      </c>
      <c r="AT78" s="539">
        <f t="shared" si="146"/>
        <v>454.34442857142864</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68"/>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9">
        <f t="shared" ref="AI79:AQ79" si="147">$AI$75*AI35/$AI$31</f>
        <v>748.62171428571446</v>
      </c>
      <c r="AJ79" s="539">
        <f t="shared" si="147"/>
        <v>748.62171428571446</v>
      </c>
      <c r="AK79" s="539">
        <f t="shared" si="147"/>
        <v>748.62171428571446</v>
      </c>
      <c r="AL79" s="539">
        <f t="shared" si="147"/>
        <v>748.62171428571446</v>
      </c>
      <c r="AM79" s="539">
        <f t="shared" si="147"/>
        <v>748.62171428571446</v>
      </c>
      <c r="AN79" s="539">
        <f t="shared" si="147"/>
        <v>748.62171428571446</v>
      </c>
      <c r="AO79" s="539">
        <f t="shared" si="147"/>
        <v>748.62171428571446</v>
      </c>
      <c r="AP79" s="539">
        <f t="shared" si="147"/>
        <v>748.62171428571446</v>
      </c>
      <c r="AQ79" s="539">
        <f t="shared" si="147"/>
        <v>748.62171428571446</v>
      </c>
      <c r="AR79" s="539">
        <f t="shared" ref="AR79:AT79" si="148">$AI$75*AR35/$AI$31</f>
        <v>748.62171428571446</v>
      </c>
      <c r="AS79" s="539">
        <f t="shared" si="148"/>
        <v>748.62171428571446</v>
      </c>
      <c r="AT79" s="539">
        <f t="shared" si="148"/>
        <v>748.62171428571446</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9"/>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9">
        <f t="shared" ref="AI80:AQ80" si="149">$AI$75*AI36/$AI$31</f>
        <v>854.51228571428589</v>
      </c>
      <c r="AJ80" s="539">
        <f t="shared" si="149"/>
        <v>854.51228571428589</v>
      </c>
      <c r="AK80" s="539">
        <f t="shared" si="149"/>
        <v>854.51228571428589</v>
      </c>
      <c r="AL80" s="539">
        <f t="shared" si="149"/>
        <v>854.51228571428589</v>
      </c>
      <c r="AM80" s="539">
        <f t="shared" si="149"/>
        <v>854.51228571428589</v>
      </c>
      <c r="AN80" s="539">
        <f t="shared" si="149"/>
        <v>854.51228571428589</v>
      </c>
      <c r="AO80" s="539">
        <f t="shared" si="149"/>
        <v>854.51228571428589</v>
      </c>
      <c r="AP80" s="539">
        <f t="shared" si="149"/>
        <v>854.51228571428589</v>
      </c>
      <c r="AQ80" s="539">
        <f t="shared" si="149"/>
        <v>854.51228571428589</v>
      </c>
      <c r="AR80" s="539">
        <f t="shared" ref="AR80:AT80" si="150">$AI$75*AR36/$AI$31</f>
        <v>854.51228571428589</v>
      </c>
      <c r="AS80" s="539">
        <f t="shared" si="150"/>
        <v>854.51228571428589</v>
      </c>
      <c r="AT80" s="539">
        <f t="shared" si="150"/>
        <v>854.51228571428589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68"/>
      <c r="E81" s="191"/>
      <c r="F81" s="191"/>
      <c r="G81" s="191"/>
      <c r="AC81" s="156"/>
      <c r="AD81" s="156"/>
      <c r="AE81" s="156"/>
      <c r="AF81" s="190"/>
      <c r="AG81" s="190"/>
      <c r="AH81" s="190"/>
      <c r="AI81" s="190"/>
      <c r="AJ81" s="190"/>
      <c r="AK81" s="190"/>
      <c r="AL81" s="190"/>
      <c r="AM81" s="190"/>
      <c r="AN81" s="190"/>
      <c r="AZ81" s="288" t="s">
        <v>196</v>
      </c>
      <c r="BD81" s="290">
        <f>SUM(Cooling!AA7:AA8)</f>
        <v>0.35586214881342265</v>
      </c>
      <c r="BE81" s="290">
        <f>SUM(Cooling!AB7:AB8)</f>
        <v>9.0396875094265507E-3</v>
      </c>
      <c r="BF81" s="290">
        <f>SUM(Cooling!AC7:AC8)</f>
        <v>2.8623851094369355E-2</v>
      </c>
      <c r="BG81" s="288"/>
      <c r="BH81" s="201"/>
      <c r="BI81" s="201"/>
      <c r="BJ81" s="201"/>
      <c r="BK81" s="201"/>
      <c r="BL81" s="201"/>
      <c r="BM81" s="201"/>
      <c r="BN81" s="201"/>
      <c r="BO81" s="201"/>
      <c r="BP81" s="201"/>
      <c r="BQ81" s="201"/>
      <c r="BR81" s="201"/>
    </row>
    <row r="82" spans="2:72">
      <c r="B82" s="162"/>
      <c r="C82" s="162"/>
      <c r="D82" s="568"/>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90">
        <f>SUM(Cooling!X9:X10)</f>
        <v>0.14095516075733894</v>
      </c>
      <c r="BE82" s="290">
        <f>SUM(Cooling!Y9:Y10)</f>
        <v>3.5805735741661652E-3</v>
      </c>
      <c r="BF82" s="290">
        <f>SUM(Cooling!Z9:Z10)</f>
        <v>1.1337759708229983E-2</v>
      </c>
      <c r="BG82" s="289"/>
      <c r="BH82" s="201"/>
      <c r="BI82" s="201"/>
      <c r="BJ82" s="201"/>
      <c r="BK82" s="201"/>
      <c r="BL82" s="201"/>
      <c r="BM82" s="201"/>
      <c r="BN82" s="201"/>
      <c r="BO82" s="201"/>
      <c r="BP82" s="201"/>
      <c r="BQ82" s="201"/>
      <c r="BR82" s="201"/>
    </row>
    <row r="83" spans="2:72">
      <c r="B83" s="162"/>
      <c r="C83" s="162"/>
      <c r="D83" s="568"/>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3" t="s">
        <v>195</v>
      </c>
      <c r="BA83"/>
      <c r="BB83"/>
      <c r="BC83"/>
      <c r="BD83" s="284">
        <f>SUM(BD53:BD66)</f>
        <v>0.35586130501512453</v>
      </c>
      <c r="BE83" s="284">
        <f>SUM(BE53:BE66)</f>
        <v>9.0396690463946747E-3</v>
      </c>
      <c r="BF83" s="284">
        <f>SUM(BF53:BF66)</f>
        <v>2.8623774072217549E-2</v>
      </c>
      <c r="BG83" s="284"/>
      <c r="BH83" s="286"/>
      <c r="BI83" s="201"/>
      <c r="BJ83" s="201"/>
      <c r="BK83" s="201"/>
      <c r="BL83" s="201"/>
      <c r="BM83" s="201"/>
      <c r="BN83" s="201"/>
      <c r="BO83" s="201"/>
      <c r="BP83" s="201"/>
      <c r="BQ83" s="201"/>
      <c r="BR83" s="201"/>
      <c r="BS83" s="201"/>
    </row>
    <row r="84" spans="2:72">
      <c r="B84" s="162"/>
      <c r="C84" s="162"/>
      <c r="D84" s="568"/>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4">
        <f>SUM(BD67:BD80)</f>
        <v>0.14095508863927261</v>
      </c>
      <c r="BE84" s="284">
        <f>SUM(BE67:BE80)</f>
        <v>3.5805676747708241E-3</v>
      </c>
      <c r="BF84" s="284">
        <f>SUM(BF67:BF80)</f>
        <v>1.1337710960814361E-2</v>
      </c>
      <c r="BG84" s="285"/>
      <c r="BH84" s="284"/>
      <c r="BI84" s="287"/>
      <c r="BJ84" s="201"/>
      <c r="BK84" s="201"/>
      <c r="BL84" s="201"/>
      <c r="BM84" s="201"/>
      <c r="BN84" s="201"/>
      <c r="BO84" s="201"/>
      <c r="BP84" s="201"/>
      <c r="BQ84" s="201"/>
      <c r="BR84" s="201"/>
      <c r="BS84" s="201"/>
      <c r="BT84" s="201"/>
    </row>
    <row r="85" spans="2:72">
      <c r="B85" s="162"/>
      <c r="C85" s="162"/>
      <c r="D85" s="568"/>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8.4379829812242235E-7</v>
      </c>
      <c r="BE85" s="221">
        <f>BE81-BE83</f>
        <v>1.8463031875928793E-8</v>
      </c>
      <c r="BF85" s="221">
        <f>BF81-BF83</f>
        <v>7.7022151805800076E-8</v>
      </c>
      <c r="BG85" s="221"/>
      <c r="BH85" s="221"/>
      <c r="BJ85" s="201"/>
      <c r="BK85" s="201"/>
      <c r="BL85" s="201"/>
      <c r="BM85" s="201"/>
      <c r="BN85" s="201"/>
      <c r="BO85" s="201"/>
      <c r="BP85" s="201"/>
      <c r="BQ85" s="201"/>
      <c r="BR85" s="201"/>
      <c r="BS85" s="201"/>
      <c r="BT85" s="201"/>
    </row>
    <row r="86" spans="2:72">
      <c r="B86" s="162"/>
      <c r="C86" s="162"/>
      <c r="D86" s="568"/>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68"/>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68"/>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68"/>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68"/>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68"/>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68"/>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68"/>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68"/>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68"/>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68"/>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68"/>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68"/>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68"/>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68"/>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68"/>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68"/>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68"/>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68"/>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68"/>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68"/>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68"/>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68"/>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68"/>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68"/>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68"/>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68"/>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68"/>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68"/>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68"/>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68"/>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68"/>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68"/>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68"/>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68"/>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68"/>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68"/>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68"/>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68"/>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68"/>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68"/>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68"/>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68"/>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68"/>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68"/>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68"/>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68"/>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68"/>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68"/>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68"/>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68"/>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68"/>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68"/>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68"/>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68"/>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68"/>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68"/>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68"/>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68"/>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68"/>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68"/>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68"/>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68"/>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68"/>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68"/>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68"/>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68"/>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68"/>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68"/>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68"/>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68"/>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68"/>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68"/>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68"/>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68"/>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68"/>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68"/>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68"/>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68"/>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68"/>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68"/>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68"/>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68"/>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68"/>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68"/>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68"/>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68"/>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68"/>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68"/>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68"/>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68"/>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68"/>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68"/>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68"/>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68"/>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68"/>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68"/>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68"/>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68"/>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68"/>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68"/>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68"/>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K20" sqref="K20"/>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136</v>
      </c>
      <c r="D4" s="103" t="s">
        <v>27</v>
      </c>
      <c r="E4" s="419" t="s">
        <v>108</v>
      </c>
      <c r="F4" s="197" t="s">
        <v>868</v>
      </c>
      <c r="G4" s="197" t="s">
        <v>869</v>
      </c>
      <c r="H4" s="197" t="s">
        <v>870</v>
      </c>
      <c r="I4"/>
      <c r="J4"/>
      <c r="AH4"/>
      <c r="AI4"/>
      <c r="AJ4"/>
      <c r="AK4"/>
      <c r="AL4"/>
      <c r="AM4"/>
      <c r="AN4"/>
      <c r="AO4"/>
      <c r="AP4"/>
      <c r="AQ4"/>
    </row>
    <row r="5" spans="2:43" ht="14">
      <c r="B5" s="7" t="str">
        <f>Commodities!C7</f>
        <v>RHUDB</v>
      </c>
      <c r="C5" s="470" t="str">
        <f>Commodities!D7</f>
        <v>Residential Heating Urban Detached Building  Demand</v>
      </c>
      <c r="D5" s="470" t="str">
        <f>Commodities!E7</f>
        <v>Mm2</v>
      </c>
      <c r="E5" s="471">
        <v>2010</v>
      </c>
      <c r="F5" s="9">
        <f>F41</f>
        <v>36.786671600750424</v>
      </c>
      <c r="G5" s="9">
        <f t="shared" ref="G5:H5" si="1">G41</f>
        <v>0.48714288417250162</v>
      </c>
      <c r="H5" s="9">
        <f t="shared" si="1"/>
        <v>1.5409321397819462</v>
      </c>
    </row>
    <row r="6" spans="2:43" ht="14">
      <c r="B6" s="7" t="str">
        <f>Commodities!C8</f>
        <v>RHRDB</v>
      </c>
      <c r="C6" s="470" t="str">
        <f>Commodities!D8</f>
        <v>Residential Heating Rural Detached Building  Demand</v>
      </c>
      <c r="D6" s="470" t="str">
        <f>Commodities!E8</f>
        <v>Mm2</v>
      </c>
      <c r="E6" s="471">
        <v>2010</v>
      </c>
      <c r="F6" s="9">
        <f t="shared" ref="F6:H6" si="2">F42</f>
        <v>59.681432441901173</v>
      </c>
      <c r="G6" s="9">
        <f t="shared" si="2"/>
        <v>2.4634826603910627</v>
      </c>
      <c r="H6" s="9">
        <f t="shared" si="2"/>
        <v>7.8038954988339899</v>
      </c>
    </row>
    <row r="7" spans="2:43" ht="14">
      <c r="B7" s="7" t="str">
        <f>Commodities!C9</f>
        <v>RHUMB</v>
      </c>
      <c r="C7" s="470" t="str">
        <f>Commodities!D9</f>
        <v>Residential Heating Urban Multi Building  Demand</v>
      </c>
      <c r="D7" s="470" t="str">
        <f>Commodities!E9</f>
        <v>Mm2</v>
      </c>
      <c r="E7" s="471">
        <v>2010</v>
      </c>
      <c r="F7" s="9">
        <f t="shared" ref="F7:H7" si="3">F43</f>
        <v>45.143554681544501</v>
      </c>
      <c r="G7" s="9">
        <f t="shared" si="3"/>
        <v>0.59780786008696751</v>
      </c>
      <c r="H7" s="9">
        <f t="shared" si="3"/>
        <v>1.8909879933627001</v>
      </c>
      <c r="AJ7" s="9"/>
    </row>
    <row r="8" spans="2:43" ht="14">
      <c r="B8" s="7" t="str">
        <f>Commodities!C10</f>
        <v>RHRMB</v>
      </c>
      <c r="C8" s="470" t="str">
        <f>Commodities!D10</f>
        <v>Residential Heating Rural Multi Building  Demand</v>
      </c>
      <c r="D8" s="470" t="str">
        <f>Commodities!E10</f>
        <v>Mm2</v>
      </c>
      <c r="E8" s="471">
        <v>2010</v>
      </c>
      <c r="F8" s="9">
        <f t="shared" ref="F8:H8" si="4">F44</f>
        <v>3.0750685485311853</v>
      </c>
      <c r="G8" s="9">
        <f t="shared" si="4"/>
        <v>0.12693023171310416</v>
      </c>
      <c r="H8" s="9">
        <f t="shared" si="4"/>
        <v>0.40209345893045789</v>
      </c>
    </row>
    <row r="9" spans="2:43" ht="14">
      <c r="B9" s="7" t="str">
        <f t="shared" ref="B9:C12" si="5">B5</f>
        <v>RHUDB</v>
      </c>
      <c r="C9" s="470" t="str">
        <f t="shared" si="5"/>
        <v>Residential Heating Urban Detached Building  Demand</v>
      </c>
      <c r="D9" s="470" t="str">
        <f>Commodities!E11</f>
        <v>Mm2</v>
      </c>
      <c r="E9" s="471">
        <v>2015</v>
      </c>
      <c r="F9" s="9">
        <f>F45</f>
        <v>39.31575527330201</v>
      </c>
      <c r="G9" s="9">
        <f t="shared" ref="G9:H9" si="6">G45</f>
        <v>0.52063395745936103</v>
      </c>
      <c r="H9" s="9">
        <f t="shared" si="6"/>
        <v>1.646871224391955</v>
      </c>
    </row>
    <row r="10" spans="2:43" ht="14">
      <c r="B10" s="7" t="str">
        <f t="shared" si="5"/>
        <v>RHRDB</v>
      </c>
      <c r="C10" s="470" t="str">
        <f t="shared" si="5"/>
        <v>Residential Heating Rural Detached Building  Demand</v>
      </c>
      <c r="D10" s="470" t="str">
        <f>Commodities!E12</f>
        <v>Mm2</v>
      </c>
      <c r="E10" s="471">
        <v>2015</v>
      </c>
      <c r="F10" s="9">
        <f t="shared" ref="F10:H10" si="7">F46</f>
        <v>63.784530922281881</v>
      </c>
      <c r="G10" s="9">
        <f t="shared" si="7"/>
        <v>2.6328470932929484</v>
      </c>
      <c r="H10" s="9">
        <f t="shared" si="7"/>
        <v>8.3404133143788268</v>
      </c>
    </row>
    <row r="11" spans="2:43" ht="14">
      <c r="B11" s="7" t="str">
        <f t="shared" si="5"/>
        <v>RHUMB</v>
      </c>
      <c r="C11" s="470" t="str">
        <f t="shared" si="5"/>
        <v>Residential Heating Urban Multi Building  Demand</v>
      </c>
      <c r="D11" s="470" t="str">
        <f>Commodities!E13</f>
        <v>Mm2</v>
      </c>
      <c r="E11" s="471">
        <v>2015</v>
      </c>
      <c r="F11" s="9">
        <f t="shared" ref="F11:H11" si="8">F47</f>
        <v>48.247174065900687</v>
      </c>
      <c r="G11" s="9">
        <f t="shared" si="8"/>
        <v>0.63890715046794644</v>
      </c>
      <c r="H11" s="9">
        <f t="shared" si="8"/>
        <v>2.0209934179063858</v>
      </c>
    </row>
    <row r="12" spans="2:43" ht="14">
      <c r="B12" s="7" t="str">
        <f t="shared" si="5"/>
        <v>RHRMB</v>
      </c>
      <c r="C12" s="470" t="str">
        <f t="shared" si="5"/>
        <v>Residential Heating Rural Multi Building  Demand</v>
      </c>
      <c r="D12" s="470" t="str">
        <f>Commodities!E14</f>
        <v>Mm2</v>
      </c>
      <c r="E12" s="471">
        <v>2015</v>
      </c>
      <c r="F12" s="9">
        <f t="shared" ref="F12:H12" si="9">F48</f>
        <v>3.2864795112427041</v>
      </c>
      <c r="G12" s="9">
        <f t="shared" si="9"/>
        <v>0.13565668514338008</v>
      </c>
      <c r="H12" s="9">
        <f t="shared" si="9"/>
        <v>0.42973738423192687</v>
      </c>
    </row>
    <row r="13" spans="2:43" ht="14">
      <c r="B13" s="7" t="str">
        <f t="shared" ref="B13:D16" si="10">B5</f>
        <v>RHUDB</v>
      </c>
      <c r="C13" s="470" t="str">
        <f t="shared" si="10"/>
        <v>Residential Heating Urban Detached Building  Demand</v>
      </c>
      <c r="D13" s="470" t="str">
        <f t="shared" si="10"/>
        <v>Mm2</v>
      </c>
      <c r="E13" s="471">
        <v>2017</v>
      </c>
      <c r="F13" s="9">
        <f>F49</f>
        <v>40.46533876082546</v>
      </c>
      <c r="G13" s="9">
        <f t="shared" ref="G13:H13" si="11">G49</f>
        <v>0.53585717258975174</v>
      </c>
      <c r="H13" s="9">
        <f t="shared" si="11"/>
        <v>1.6950253537601407</v>
      </c>
      <c r="L13" s="588"/>
      <c r="M13" s="588"/>
      <c r="N13" s="588"/>
    </row>
    <row r="14" spans="2:43" ht="14">
      <c r="B14" s="7" t="str">
        <f t="shared" si="10"/>
        <v>RHRDB</v>
      </c>
      <c r="C14" s="470" t="str">
        <f t="shared" si="10"/>
        <v>Residential Heating Rural Detached Building  Demand</v>
      </c>
      <c r="D14" s="470" t="str">
        <f t="shared" si="10"/>
        <v>Mm2</v>
      </c>
      <c r="E14" s="471">
        <v>2017</v>
      </c>
      <c r="F14" s="9">
        <f t="shared" ref="F14:H14" si="12">F50</f>
        <v>65.649575686091296</v>
      </c>
      <c r="G14" s="9">
        <f t="shared" si="12"/>
        <v>2.7098309264301692</v>
      </c>
      <c r="H14" s="9">
        <f t="shared" si="12"/>
        <v>8.5842850487173887</v>
      </c>
      <c r="L14" s="588"/>
      <c r="M14" s="588"/>
      <c r="N14" s="588"/>
    </row>
    <row r="15" spans="2:43" ht="14">
      <c r="B15" s="7" t="str">
        <f t="shared" si="10"/>
        <v>RHUMB</v>
      </c>
      <c r="C15" s="470" t="str">
        <f t="shared" si="10"/>
        <v>Residential Heating Urban Multi Building  Demand</v>
      </c>
      <c r="D15" s="470" t="str">
        <f t="shared" si="10"/>
        <v>Mm2</v>
      </c>
      <c r="E15" s="471">
        <v>2017</v>
      </c>
      <c r="F15" s="9">
        <f t="shared" ref="F15:H15" si="13">F51</f>
        <v>49.657910149698957</v>
      </c>
      <c r="G15" s="9">
        <f t="shared" si="13"/>
        <v>0.65758864609566425</v>
      </c>
      <c r="H15" s="9">
        <f t="shared" si="13"/>
        <v>2.0800867926989701</v>
      </c>
      <c r="L15" s="588"/>
      <c r="M15" s="588"/>
      <c r="N15" s="588"/>
    </row>
    <row r="16" spans="2:43" ht="14">
      <c r="B16" s="7" t="str">
        <f t="shared" si="10"/>
        <v>RHRMB</v>
      </c>
      <c r="C16" s="470" t="str">
        <f t="shared" si="10"/>
        <v>Residential Heating Rural Multi Building  Demand</v>
      </c>
      <c r="D16" s="470" t="str">
        <f t="shared" si="10"/>
        <v>Mm2</v>
      </c>
      <c r="E16" s="471">
        <v>2017</v>
      </c>
      <c r="F16" s="9">
        <f t="shared" ref="F16:H16" si="14">F52</f>
        <v>3.3825754033843038</v>
      </c>
      <c r="G16" s="9">
        <f t="shared" si="14"/>
        <v>0.13962325488441457</v>
      </c>
      <c r="H16" s="9">
        <f t="shared" si="14"/>
        <v>0.4423028048235037</v>
      </c>
      <c r="L16" s="588"/>
      <c r="M16" s="588"/>
      <c r="N16" s="588"/>
    </row>
    <row r="17" spans="2:8" ht="14">
      <c r="B17" s="7" t="str">
        <f>Commodities!C11</f>
        <v>RCUDB</v>
      </c>
      <c r="C17" s="104" t="str">
        <f>Commodities!D11</f>
        <v>Residential Cooling Urban Detached Building  Demand</v>
      </c>
      <c r="D17" s="104" t="str">
        <f>Commodities!E11</f>
        <v>Mm2</v>
      </c>
      <c r="E17" s="420">
        <v>2010</v>
      </c>
      <c r="F17" s="9">
        <f t="shared" ref="F17:H17" si="15">F53</f>
        <v>36.786671600750424</v>
      </c>
      <c r="G17" s="9">
        <f t="shared" si="15"/>
        <v>0.48714288417250162</v>
      </c>
      <c r="H17" s="9">
        <f t="shared" si="15"/>
        <v>1.5409321397819462</v>
      </c>
    </row>
    <row r="18" spans="2:8" ht="14">
      <c r="B18" s="7" t="str">
        <f>Commodities!C12</f>
        <v>RCRDB</v>
      </c>
      <c r="C18" s="104" t="str">
        <f>Commodities!D12</f>
        <v>Residential Cooling Rural Detached Building  Demand</v>
      </c>
      <c r="D18" s="104" t="str">
        <f>Commodities!E12</f>
        <v>Mm2</v>
      </c>
      <c r="E18" s="420">
        <v>2010</v>
      </c>
      <c r="F18" s="9">
        <f t="shared" ref="F18:H18" si="16">F54</f>
        <v>59.681432441901173</v>
      </c>
      <c r="G18" s="9">
        <f t="shared" si="16"/>
        <v>2.4634826603910627</v>
      </c>
      <c r="H18" s="9">
        <f t="shared" si="16"/>
        <v>7.8038954988339899</v>
      </c>
    </row>
    <row r="19" spans="2:8" ht="14">
      <c r="B19" s="7" t="str">
        <f>Commodities!C13</f>
        <v>RCUMB</v>
      </c>
      <c r="C19" s="104" t="str">
        <f>Commodities!D13</f>
        <v>Residential Cooling Urban Multi Building  Demand</v>
      </c>
      <c r="D19" s="104" t="str">
        <f>Commodities!E13</f>
        <v>Mm2</v>
      </c>
      <c r="E19" s="420">
        <v>2010</v>
      </c>
      <c r="F19" s="9">
        <f t="shared" ref="F19:H19" si="17">F55</f>
        <v>45.143554681544501</v>
      </c>
      <c r="G19" s="9">
        <f t="shared" si="17"/>
        <v>0.59780786008696751</v>
      </c>
      <c r="H19" s="9">
        <f t="shared" si="17"/>
        <v>1.8909879933627001</v>
      </c>
    </row>
    <row r="20" spans="2:8" ht="14">
      <c r="B20" s="7" t="str">
        <f>Commodities!C14</f>
        <v>RCRMB</v>
      </c>
      <c r="C20" s="104" t="str">
        <f>Commodities!D14</f>
        <v>Residential Cooling Rural Multi Building  Demand</v>
      </c>
      <c r="D20" s="104" t="str">
        <f>Commodities!E14</f>
        <v>Mm2</v>
      </c>
      <c r="E20" s="420">
        <v>2010</v>
      </c>
      <c r="F20" s="9">
        <f t="shared" ref="F20:H20" si="18">F56</f>
        <v>3.0750685485311853</v>
      </c>
      <c r="G20" s="9">
        <f t="shared" si="18"/>
        <v>0.12693023171310416</v>
      </c>
      <c r="H20" s="9">
        <f t="shared" si="18"/>
        <v>0.40209345893045789</v>
      </c>
    </row>
    <row r="21" spans="2:8" ht="14">
      <c r="B21" s="7" t="str">
        <f t="shared" ref="B21:D24" si="19">B17</f>
        <v>RCUDB</v>
      </c>
      <c r="C21" s="104" t="str">
        <f t="shared" si="19"/>
        <v>Residential Cooling Urban Detached Building  Demand</v>
      </c>
      <c r="D21" s="104" t="str">
        <f t="shared" si="19"/>
        <v>Mm2</v>
      </c>
      <c r="E21" s="420">
        <v>2015</v>
      </c>
      <c r="F21" s="9">
        <f t="shared" ref="F21:H21" si="20">F57</f>
        <v>39.31575527330201</v>
      </c>
      <c r="G21" s="9">
        <f t="shared" si="20"/>
        <v>0.52063395745936103</v>
      </c>
      <c r="H21" s="9">
        <f t="shared" si="20"/>
        <v>1.646871224391955</v>
      </c>
    </row>
    <row r="22" spans="2:8" ht="14">
      <c r="B22" s="7" t="str">
        <f t="shared" si="19"/>
        <v>RCRDB</v>
      </c>
      <c r="C22" s="104" t="str">
        <f t="shared" si="19"/>
        <v>Residential Cooling Rural Detached Building  Demand</v>
      </c>
      <c r="D22" s="104" t="str">
        <f t="shared" si="19"/>
        <v>Mm2</v>
      </c>
      <c r="E22" s="420">
        <v>2015</v>
      </c>
      <c r="F22" s="9">
        <f t="shared" ref="F22:H22" si="21">F58</f>
        <v>63.784530922281881</v>
      </c>
      <c r="G22" s="9">
        <f t="shared" si="21"/>
        <v>2.6328470932929484</v>
      </c>
      <c r="H22" s="9">
        <f t="shared" si="21"/>
        <v>8.3404133143788268</v>
      </c>
    </row>
    <row r="23" spans="2:8" ht="14">
      <c r="B23" s="7" t="str">
        <f t="shared" si="19"/>
        <v>RCUMB</v>
      </c>
      <c r="C23" s="104" t="str">
        <f t="shared" si="19"/>
        <v>Residential Cooling Urban Multi Building  Demand</v>
      </c>
      <c r="D23" s="104" t="str">
        <f t="shared" si="19"/>
        <v>Mm2</v>
      </c>
      <c r="E23" s="420">
        <v>2015</v>
      </c>
      <c r="F23" s="9">
        <f t="shared" ref="F23:H23" si="22">F59</f>
        <v>48.247174065900687</v>
      </c>
      <c r="G23" s="9">
        <f t="shared" si="22"/>
        <v>0.63890715046794644</v>
      </c>
      <c r="H23" s="9">
        <f t="shared" si="22"/>
        <v>2.0209934179063858</v>
      </c>
    </row>
    <row r="24" spans="2:8" ht="14">
      <c r="B24" s="7" t="str">
        <f t="shared" si="19"/>
        <v>RCRMB</v>
      </c>
      <c r="C24" s="104" t="str">
        <f t="shared" si="19"/>
        <v>Residential Cooling Rural Multi Building  Demand</v>
      </c>
      <c r="D24" s="104" t="str">
        <f t="shared" si="19"/>
        <v>Mm2</v>
      </c>
      <c r="E24" s="420">
        <v>2015</v>
      </c>
      <c r="F24" s="9">
        <f t="shared" ref="F24:H24" si="23">F60</f>
        <v>3.2864795112427041</v>
      </c>
      <c r="G24" s="9">
        <f t="shared" si="23"/>
        <v>0.13565668514338008</v>
      </c>
      <c r="H24" s="9">
        <f t="shared" si="23"/>
        <v>0.42973738423192687</v>
      </c>
    </row>
    <row r="25" spans="2:8" ht="14">
      <c r="B25" s="7" t="str">
        <f t="shared" ref="B25:D28" si="24">B17</f>
        <v>RCUDB</v>
      </c>
      <c r="C25" s="104" t="str">
        <f t="shared" si="24"/>
        <v>Residential Cooling Urban Detached Building  Demand</v>
      </c>
      <c r="D25" s="104" t="str">
        <f t="shared" si="24"/>
        <v>Mm2</v>
      </c>
      <c r="E25" s="420">
        <v>2017</v>
      </c>
      <c r="F25" s="9">
        <f t="shared" ref="F25:H25" si="25">F61</f>
        <v>40.46533876082546</v>
      </c>
      <c r="G25" s="9">
        <f t="shared" si="25"/>
        <v>0.53585717258975174</v>
      </c>
      <c r="H25" s="9">
        <f t="shared" si="25"/>
        <v>1.6950253537601407</v>
      </c>
    </row>
    <row r="26" spans="2:8" ht="14">
      <c r="B26" s="7" t="str">
        <f t="shared" si="24"/>
        <v>RCRDB</v>
      </c>
      <c r="C26" s="104" t="str">
        <f t="shared" si="24"/>
        <v>Residential Cooling Rural Detached Building  Demand</v>
      </c>
      <c r="D26" s="104" t="str">
        <f t="shared" si="24"/>
        <v>Mm2</v>
      </c>
      <c r="E26" s="420">
        <v>2017</v>
      </c>
      <c r="F26" s="9">
        <f t="shared" ref="F26:H26" si="26">F62</f>
        <v>65.649575686091296</v>
      </c>
      <c r="G26" s="9">
        <f t="shared" si="26"/>
        <v>2.7098309264301692</v>
      </c>
      <c r="H26" s="9">
        <f t="shared" si="26"/>
        <v>8.5842850487173887</v>
      </c>
    </row>
    <row r="27" spans="2:8" ht="14">
      <c r="B27" s="7" t="str">
        <f t="shared" si="24"/>
        <v>RCUMB</v>
      </c>
      <c r="C27" s="104" t="str">
        <f t="shared" si="24"/>
        <v>Residential Cooling Urban Multi Building  Demand</v>
      </c>
      <c r="D27" s="104" t="str">
        <f t="shared" si="24"/>
        <v>Mm2</v>
      </c>
      <c r="E27" s="420">
        <v>2017</v>
      </c>
      <c r="F27" s="9">
        <f t="shared" ref="F27:H27" si="27">F63</f>
        <v>49.657910149698957</v>
      </c>
      <c r="G27" s="9">
        <f t="shared" si="27"/>
        <v>0.65758864609566425</v>
      </c>
      <c r="H27" s="9">
        <f t="shared" si="27"/>
        <v>2.0800867926989701</v>
      </c>
    </row>
    <row r="28" spans="2:8" ht="14">
      <c r="B28" s="7" t="str">
        <f t="shared" si="24"/>
        <v>RCRMB</v>
      </c>
      <c r="C28" s="104" t="str">
        <f t="shared" si="24"/>
        <v>Residential Cooling Rural Multi Building  Demand</v>
      </c>
      <c r="D28" s="104" t="str">
        <f t="shared" si="24"/>
        <v>Mm2</v>
      </c>
      <c r="E28" s="420">
        <v>2017</v>
      </c>
      <c r="F28" s="9">
        <f t="shared" ref="F28:H28" si="28">F64</f>
        <v>3.3825754033843038</v>
      </c>
      <c r="G28" s="9">
        <f t="shared" si="28"/>
        <v>0.13962325488441457</v>
      </c>
      <c r="H28" s="9">
        <f t="shared" si="28"/>
        <v>0.4423028048235037</v>
      </c>
    </row>
    <row r="29" spans="2:8">
      <c r="B29" s="3" t="str">
        <f>Commodities!$C$15</f>
        <v>RWDEM</v>
      </c>
      <c r="C29" s="507" t="s">
        <v>199</v>
      </c>
      <c r="D29" s="513" t="s">
        <v>44</v>
      </c>
      <c r="E29" s="508">
        <v>2010</v>
      </c>
      <c r="F29" s="9">
        <f>F65</f>
        <v>20.980039931823345</v>
      </c>
      <c r="G29" s="9">
        <f t="shared" ref="G29:H30" si="29">G65</f>
        <v>0.53293952602530992</v>
      </c>
      <c r="H29" s="9">
        <f t="shared" si="29"/>
        <v>1.6875341785149791</v>
      </c>
    </row>
    <row r="30" spans="2:8">
      <c r="B30" s="3" t="str">
        <f>Commodities!$C$15</f>
        <v>RWDEM</v>
      </c>
      <c r="C30" s="507" t="s">
        <v>199</v>
      </c>
      <c r="D30" s="513" t="s">
        <v>44</v>
      </c>
      <c r="E30" s="508">
        <v>2015</v>
      </c>
      <c r="F30" s="9">
        <f>F66</f>
        <v>19.766014543045038</v>
      </c>
      <c r="G30" s="9">
        <f t="shared" si="29"/>
        <v>0.50210058971342975</v>
      </c>
      <c r="H30" s="9">
        <f t="shared" si="29"/>
        <v>1.5898837763324378</v>
      </c>
    </row>
    <row r="31" spans="2:8">
      <c r="B31" s="3" t="str">
        <f>B29</f>
        <v>RWDEM</v>
      </c>
      <c r="C31" s="507" t="s">
        <v>199</v>
      </c>
      <c r="D31" s="513" t="s">
        <v>44</v>
      </c>
      <c r="E31" s="508">
        <v>2018</v>
      </c>
      <c r="F31" s="9">
        <f t="shared" ref="F31:H31" si="30">F67</f>
        <v>21.829041917451445</v>
      </c>
      <c r="G31" s="9">
        <f t="shared" si="30"/>
        <v>0.55450605865754121</v>
      </c>
      <c r="H31" s="9">
        <f t="shared" si="30"/>
        <v>1.7558238420728303</v>
      </c>
    </row>
    <row r="32" spans="2:8">
      <c r="B32" s="3" t="str">
        <f>Commodities!$C$16</f>
        <v>RADEM</v>
      </c>
      <c r="C32" s="509" t="s">
        <v>200</v>
      </c>
      <c r="D32" s="514" t="s">
        <v>44</v>
      </c>
      <c r="E32" s="510">
        <v>2010</v>
      </c>
      <c r="F32" s="9">
        <f t="shared" ref="F32:H33" si="31">F68</f>
        <v>18.246822679588274</v>
      </c>
      <c r="G32" s="9">
        <f t="shared" si="31"/>
        <v>0.4635097484050647</v>
      </c>
      <c r="H32" s="9">
        <f t="shared" si="31"/>
        <v>1.4676872408808321</v>
      </c>
    </row>
    <row r="33" spans="2:28">
      <c r="B33" s="3" t="str">
        <f>Commodities!$C$16</f>
        <v>RADEM</v>
      </c>
      <c r="C33" s="509" t="s">
        <v>200</v>
      </c>
      <c r="D33" s="514" t="s">
        <v>44</v>
      </c>
      <c r="E33" s="510">
        <v>2015</v>
      </c>
      <c r="F33" s="9">
        <f t="shared" si="31"/>
        <v>25.159217151340794</v>
      </c>
      <c r="G33" s="9">
        <f t="shared" si="31"/>
        <v>0.63909989243943777</v>
      </c>
      <c r="H33" s="9">
        <f t="shared" si="31"/>
        <v>2.0236872277429447</v>
      </c>
    </row>
    <row r="34" spans="2:28">
      <c r="B34" s="3" t="str">
        <f>B32</f>
        <v>RADEM</v>
      </c>
      <c r="C34" s="509" t="s">
        <v>200</v>
      </c>
      <c r="D34" s="514" t="s">
        <v>44</v>
      </c>
      <c r="E34" s="510">
        <v>2018</v>
      </c>
      <c r="F34" s="9">
        <f t="shared" ref="F34:H34" si="32">F70</f>
        <v>21.235047748892946</v>
      </c>
      <c r="G34" s="9">
        <f t="shared" si="32"/>
        <v>0.53941728991915638</v>
      </c>
      <c r="H34" s="9">
        <f t="shared" si="32"/>
        <v>1.7080457890024645</v>
      </c>
    </row>
    <row r="35" spans="2:28">
      <c r="B35" s="3" t="str">
        <f>Commodities!$C$17</f>
        <v>RFDEM</v>
      </c>
      <c r="C35" s="511" t="s">
        <v>198</v>
      </c>
      <c r="D35" s="515" t="s">
        <v>44</v>
      </c>
      <c r="E35" s="512">
        <v>2010</v>
      </c>
      <c r="F35" s="9">
        <f t="shared" ref="F35:H36" si="33">F71</f>
        <v>4.5511466423941123</v>
      </c>
      <c r="G35" s="9">
        <f t="shared" si="33"/>
        <v>0.11560921439382614</v>
      </c>
      <c r="H35" s="9">
        <f t="shared" si="33"/>
        <v>0.36607249249435903</v>
      </c>
    </row>
    <row r="36" spans="2:28">
      <c r="B36" s="3" t="str">
        <f>Commodities!$C$17</f>
        <v>RFDEM</v>
      </c>
      <c r="C36" s="511" t="s">
        <v>198</v>
      </c>
      <c r="D36" s="515" t="s">
        <v>44</v>
      </c>
      <c r="E36" s="512">
        <v>2015</v>
      </c>
      <c r="F36" s="9">
        <f t="shared" si="33"/>
        <v>4.2877912059948349</v>
      </c>
      <c r="G36" s="9">
        <f t="shared" si="33"/>
        <v>0.10891940246272838</v>
      </c>
      <c r="H36" s="9">
        <f t="shared" si="33"/>
        <v>0.34488943938932692</v>
      </c>
    </row>
    <row r="37" spans="2:28">
      <c r="B37" s="3" t="str">
        <f>B35</f>
        <v>RFDEM</v>
      </c>
      <c r="C37" s="511" t="s">
        <v>198</v>
      </c>
      <c r="D37" s="515" t="s">
        <v>44</v>
      </c>
      <c r="E37" s="512">
        <v>2018</v>
      </c>
      <c r="F37" s="9">
        <f t="shared" ref="F37:H37" si="34">F73</f>
        <v>4.7353184813817153</v>
      </c>
      <c r="G37" s="9">
        <f t="shared" si="34"/>
        <v>0.12028758740437422</v>
      </c>
      <c r="H37" s="9">
        <f t="shared" si="34"/>
        <v>0.38088639532874352</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761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36.786671600750424</v>
      </c>
      <c r="G41" s="23">
        <f>SUMIFS('Data manipulation'!$W$5:$AF$5,Sources!$D$13:$M$13,Dem!$E5)*'Data manipulation'!Y21</f>
        <v>0.48714288417250162</v>
      </c>
      <c r="H41" s="23">
        <f>SUMIFS('Data manipulation'!$W$5:$AF$5,Sources!$D$13:$M$13,Dem!$E5)*'Data manipulation'!Z21</f>
        <v>1.5409321397819462</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59.681432441901173</v>
      </c>
      <c r="G42" s="23">
        <f>SUMIFS('Data manipulation'!$W$5:$AF$5,Sources!$D$13:$M$13,Dem!$E6)*'Data manipulation'!Y22</f>
        <v>2.4634826603910627</v>
      </c>
      <c r="H42" s="23">
        <f>SUMIFS('Data manipulation'!$W$5:$AF$5,Sources!$D$13:$M$13,Dem!$E6)*'Data manipulation'!Z22</f>
        <v>7.8038954988339899</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45.143554681544501</v>
      </c>
      <c r="G43" s="23">
        <f>SUMIFS('Data manipulation'!$W$5:$AF$5,Sources!$D$13:$M$13,Dem!$E7)*'Data manipulation'!Y23</f>
        <v>0.59780786008696751</v>
      </c>
      <c r="H43" s="23">
        <f>SUMIFS('Data manipulation'!$W$5:$AF$5,Sources!$D$13:$M$13,Dem!$E7)*'Data manipulation'!Z23</f>
        <v>1.8909879933627001</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3.0750685485311853</v>
      </c>
      <c r="G44" s="23">
        <f>SUMIFS('Data manipulation'!$W$5:$AF$5,Sources!$D$13:$M$13,Dem!$E8)*'Data manipulation'!Y24</f>
        <v>0.12693023171310416</v>
      </c>
      <c r="H44" s="23">
        <f>SUMIFS('Data manipulation'!$W$5:$AF$5,Sources!$D$13:$M$13,Dem!$E8)*'Data manipulation'!Z24</f>
        <v>0.40209345893045789</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39.31575527330201</v>
      </c>
      <c r="G45" s="23">
        <f>SUMIFS('Data manipulation'!$W$5:$AF$5,Sources!$D$13:$M$13,Dem!$E9)*'Data manipulation'!Y21</f>
        <v>0.52063395745936103</v>
      </c>
      <c r="H45" s="23">
        <f>SUMIFS('Data manipulation'!$W$5:$AF$5,Sources!$D$13:$M$13,Dem!$E9)*'Data manipulation'!Z21</f>
        <v>1.646871224391955</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63.784530922281881</v>
      </c>
      <c r="G46" s="23">
        <f>SUMIFS('Data manipulation'!$W$5:$AF$5,Sources!$D$13:$M$13,Dem!$E10)*'Data manipulation'!Y22</f>
        <v>2.6328470932929484</v>
      </c>
      <c r="H46" s="23">
        <f>SUMIFS('Data manipulation'!$W$5:$AF$5,Sources!$D$13:$M$13,Dem!$E10)*'Data manipulation'!Z22</f>
        <v>8.3404133143788268</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48.247174065900687</v>
      </c>
      <c r="G47" s="23">
        <f>SUMIFS('Data manipulation'!$W$5:$AF$5,Sources!$D$13:$M$13,Dem!$E11)*'Data manipulation'!Y23</f>
        <v>0.63890715046794644</v>
      </c>
      <c r="H47" s="23">
        <f>SUMIFS('Data manipulation'!$W$5:$AF$5,Sources!$D$13:$M$13,Dem!$E11)*'Data manipulation'!Z23</f>
        <v>2.0209934179063858</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3.2864795112427041</v>
      </c>
      <c r="G48" s="23">
        <f>SUMIFS('Data manipulation'!$W$5:$AF$5,Sources!$D$13:$M$13,Dem!$E12)*'Data manipulation'!Y24</f>
        <v>0.13565668514338008</v>
      </c>
      <c r="H48" s="23">
        <f>SUMIFS('Data manipulation'!$W$5:$AF$5,Sources!$D$13:$M$13,Dem!$E12)*'Data manipulation'!Z24</f>
        <v>0.42973738423192687</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40.46533876082546</v>
      </c>
      <c r="G49" s="23">
        <f>SUMIFS('Data manipulation'!$W$5:$AF$5,Sources!$D$13:$M$13,Dem!$E13)*'Data manipulation'!Y21</f>
        <v>0.53585717258975174</v>
      </c>
      <c r="H49" s="23">
        <f>SUMIFS('Data manipulation'!$W$5:$AF$5,Sources!$D$13:$M$13,Dem!$E13)*'Data manipulation'!Z21</f>
        <v>1.6950253537601407</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65.649575686091296</v>
      </c>
      <c r="G50" s="23">
        <f>SUMIFS('Data manipulation'!$W$5:$AF$5,Sources!$D$13:$M$13,Dem!$E14)*'Data manipulation'!Y22</f>
        <v>2.7098309264301692</v>
      </c>
      <c r="H50" s="23">
        <f>SUMIFS('Data manipulation'!$W$5:$AF$5,Sources!$D$13:$M$13,Dem!$E14)*'Data manipulation'!Z22</f>
        <v>8.5842850487173887</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49.657910149698957</v>
      </c>
      <c r="G51" s="23">
        <f>SUMIFS('Data manipulation'!$W$5:$AF$5,Sources!$D$13:$M$13,Dem!$E15)*'Data manipulation'!Y23</f>
        <v>0.65758864609566425</v>
      </c>
      <c r="H51" s="23">
        <f>SUMIFS('Data manipulation'!$W$5:$AF$5,Sources!$D$13:$M$13,Dem!$E15)*'Data manipulation'!Z23</f>
        <v>2.0800867926989701</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3.3825754033843038</v>
      </c>
      <c r="G52" s="23">
        <f>SUMIFS('Data manipulation'!$W$5:$AF$5,Sources!$D$13:$M$13,Dem!$E16)*'Data manipulation'!Y24</f>
        <v>0.13962325488441457</v>
      </c>
      <c r="H52" s="23">
        <f>SUMIFS('Data manipulation'!$W$5:$AF$5,Sources!$D$13:$M$13,Dem!$E16)*'Data manipulation'!Z24</f>
        <v>0.4423028048235037</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36.786671600750424</v>
      </c>
      <c r="G53" s="23">
        <f>SUMIFS('Data manipulation'!$W$5:$AF$5,Sources!$D$13:$M$13,Dem!$E17)*'Data manipulation'!Y21</f>
        <v>0.48714288417250162</v>
      </c>
      <c r="H53" s="23">
        <f>SUMIFS('Data manipulation'!$W$5:$AF$5,Sources!$D$13:$M$13,Dem!$E17)*'Data manipulation'!Z21</f>
        <v>1.5409321397819462</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59.681432441901173</v>
      </c>
      <c r="G54" s="23">
        <f>SUMIFS('Data manipulation'!$W$5:$AF$5,Sources!$D$13:$M$13,Dem!$E18)*'Data manipulation'!Y22</f>
        <v>2.4634826603910627</v>
      </c>
      <c r="H54" s="23">
        <f>SUMIFS('Data manipulation'!$W$5:$AF$5,Sources!$D$13:$M$13,Dem!$E18)*'Data manipulation'!Z22</f>
        <v>7.8038954988339899</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45.143554681544501</v>
      </c>
      <c r="G55" s="23">
        <f>SUMIFS('Data manipulation'!$W$5:$AF$5,Sources!$D$13:$M$13,Dem!$E19)*'Data manipulation'!Y23</f>
        <v>0.59780786008696751</v>
      </c>
      <c r="H55" s="23">
        <f>SUMIFS('Data manipulation'!$W$5:$AF$5,Sources!$D$13:$M$13,Dem!$E19)*'Data manipulation'!Z23</f>
        <v>1.8909879933627001</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3.0750685485311853</v>
      </c>
      <c r="G56" s="23">
        <f>SUMIFS('Data manipulation'!$W$5:$AF$5,Sources!$D$13:$M$13,Dem!$E20)*'Data manipulation'!Y24</f>
        <v>0.12693023171310416</v>
      </c>
      <c r="H56" s="23">
        <f>SUMIFS('Data manipulation'!$W$5:$AF$5,Sources!$D$13:$M$13,Dem!$E20)*'Data manipulation'!Z24</f>
        <v>0.40209345893045789</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39.31575527330201</v>
      </c>
      <c r="G57" s="23">
        <f>SUMIFS('Data manipulation'!$W$5:$AF$5,Sources!$D$13:$M$13,Dem!$E21)*'Data manipulation'!Y21</f>
        <v>0.52063395745936103</v>
      </c>
      <c r="H57" s="23">
        <f>SUMIFS('Data manipulation'!$W$5:$AF$5,Sources!$D$13:$M$13,Dem!$E21)*'Data manipulation'!Z21</f>
        <v>1.646871224391955</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63.784530922281881</v>
      </c>
      <c r="G58" s="23">
        <f>SUMIFS('Data manipulation'!$W$5:$AF$5,Sources!$D$13:$M$13,Dem!$E22)*'Data manipulation'!Y22</f>
        <v>2.6328470932929484</v>
      </c>
      <c r="H58" s="23">
        <f>SUMIFS('Data manipulation'!$W$5:$AF$5,Sources!$D$13:$M$13,Dem!$E22)*'Data manipulation'!Z22</f>
        <v>8.3404133143788268</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48.247174065900687</v>
      </c>
      <c r="G59" s="23">
        <f>SUMIFS('Data manipulation'!$W$5:$AF$5,Sources!$D$13:$M$13,Dem!$E23)*'Data manipulation'!Y23</f>
        <v>0.63890715046794644</v>
      </c>
      <c r="H59" s="23">
        <f>SUMIFS('Data manipulation'!$W$5:$AF$5,Sources!$D$13:$M$13,Dem!$E23)*'Data manipulation'!Z23</f>
        <v>2.0209934179063858</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3.2864795112427041</v>
      </c>
      <c r="G60" s="23">
        <f>SUMIFS('Data manipulation'!$W$5:$AF$5,Sources!$D$13:$M$13,Dem!$E24)*'Data manipulation'!Y24</f>
        <v>0.13565668514338008</v>
      </c>
      <c r="H60" s="23">
        <f>SUMIFS('Data manipulation'!$W$5:$AF$5,Sources!$D$13:$M$13,Dem!$E24)*'Data manipulation'!Z24</f>
        <v>0.42973738423192687</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40.46533876082546</v>
      </c>
      <c r="G61" s="23">
        <f>SUMIFS('Data manipulation'!$W$5:$AF$5,Sources!$D$13:$M$13,Dem!$E25)*'Data manipulation'!Y21</f>
        <v>0.53585717258975174</v>
      </c>
      <c r="H61" s="23">
        <f>SUMIFS('Data manipulation'!$W$5:$AF$5,Sources!$D$13:$M$13,Dem!$E25)*'Data manipulation'!Z21</f>
        <v>1.6950253537601407</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65.649575686091296</v>
      </c>
      <c r="G62" s="23">
        <f>SUMIFS('Data manipulation'!$W$5:$AF$5,Sources!$D$13:$M$13,Dem!$E26)*'Data manipulation'!Y22</f>
        <v>2.7098309264301692</v>
      </c>
      <c r="H62" s="23">
        <f>SUMIFS('Data manipulation'!$W$5:$AF$5,Sources!$D$13:$M$13,Dem!$E26)*'Data manipulation'!Z22</f>
        <v>8.5842850487173887</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49.657910149698957</v>
      </c>
      <c r="G63" s="23">
        <f>SUMIFS('Data manipulation'!$W$5:$AF$5,Sources!$D$13:$M$13,Dem!$E27)*'Data manipulation'!Y23</f>
        <v>0.65758864609566425</v>
      </c>
      <c r="H63" s="23">
        <f>SUMIFS('Data manipulation'!$W$5:$AF$5,Sources!$D$13:$M$13,Dem!$E27)*'Data manipulation'!Z23</f>
        <v>2.0800867926989701</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3.3825754033843038</v>
      </c>
      <c r="G64" s="23">
        <f>SUMIFS('Data manipulation'!$W$5:$AF$5,Sources!$D$13:$M$13,Dem!$E28)*'Data manipulation'!Y24</f>
        <v>0.13962325488441457</v>
      </c>
      <c r="H64" s="23">
        <f>SUMIFS('Data manipulation'!$W$5:$AF$5,Sources!$D$13:$M$13,Dem!$E28)*'Data manipulation'!Z24</f>
        <v>0.4423028048235037</v>
      </c>
    </row>
    <row r="65" spans="4:8">
      <c r="D65"/>
      <c r="F65" s="23">
        <f>SUM('Appliances&amp;Cooking'!Y37:Y38)</f>
        <v>20.980039931823345</v>
      </c>
      <c r="G65" s="23">
        <f>SUM('Appliances&amp;Cooking'!Z37:Z38)</f>
        <v>0.53293952602530992</v>
      </c>
      <c r="H65" s="23">
        <f>SUM('Appliances&amp;Cooking'!AA37:AA38)</f>
        <v>1.6875341785149791</v>
      </c>
    </row>
    <row r="66" spans="4:8">
      <c r="F66" s="23">
        <f>SUM('Appliances&amp;Cooking'!Y39:Y40)</f>
        <v>19.766014543045038</v>
      </c>
      <c r="G66" s="23">
        <f>SUM('Appliances&amp;Cooking'!Z39:Z40)</f>
        <v>0.50210058971342975</v>
      </c>
      <c r="H66" s="23">
        <f>SUM('Appliances&amp;Cooking'!AA39:AA40)</f>
        <v>1.5898837763324378</v>
      </c>
    </row>
    <row r="67" spans="4:8">
      <c r="F67" s="23">
        <f>SUM('Appliances&amp;Cooking'!Y41:Y42)</f>
        <v>21.829041917451445</v>
      </c>
      <c r="G67" s="23">
        <f>SUM('Appliances&amp;Cooking'!Z41:Z42)</f>
        <v>0.55450605865754121</v>
      </c>
      <c r="H67" s="23">
        <f>SUM('Appliances&amp;Cooking'!AA41:AA42)</f>
        <v>1.7558238420728303</v>
      </c>
    </row>
    <row r="68" spans="4:8">
      <c r="F68" s="23">
        <f>SUM('Appliances&amp;Cooking'!Y22:Y23)</f>
        <v>18.246822679588274</v>
      </c>
      <c r="G68" s="23">
        <f>SUM('Appliances&amp;Cooking'!Z22:Z23)</f>
        <v>0.4635097484050647</v>
      </c>
      <c r="H68" s="23">
        <f>SUM('Appliances&amp;Cooking'!AA22:AA23)</f>
        <v>1.4676872408808321</v>
      </c>
    </row>
    <row r="69" spans="4:8">
      <c r="F69" s="23">
        <f>SUM('Appliances&amp;Cooking'!Y24:Y25)</f>
        <v>25.159217151340794</v>
      </c>
      <c r="G69" s="23">
        <f>SUM('Appliances&amp;Cooking'!Z24:Z25)</f>
        <v>0.63909989243943777</v>
      </c>
      <c r="H69" s="23">
        <f>SUM('Appliances&amp;Cooking'!AA24:AA25)</f>
        <v>2.0236872277429447</v>
      </c>
    </row>
    <row r="70" spans="4:8">
      <c r="F70" s="23">
        <f>SUM('Appliances&amp;Cooking'!Y26:Y27)</f>
        <v>21.235047748892946</v>
      </c>
      <c r="G70" s="23">
        <f>SUM('Appliances&amp;Cooking'!Z26:Z27)</f>
        <v>0.53941728991915638</v>
      </c>
      <c r="H70" s="23">
        <f>SUM('Appliances&amp;Cooking'!AA26:AA27)</f>
        <v>1.7080457890024645</v>
      </c>
    </row>
    <row r="71" spans="4:8">
      <c r="F71" s="23">
        <f>SUM('Appliances&amp;Cooking'!Y7:Y8)</f>
        <v>4.5511466423941123</v>
      </c>
      <c r="G71" s="23">
        <f>SUM('Appliances&amp;Cooking'!Z7:Z8)</f>
        <v>0.11560921439382614</v>
      </c>
      <c r="H71" s="23">
        <f>SUM('Appliances&amp;Cooking'!AA7:AA8)</f>
        <v>0.36607249249435903</v>
      </c>
    </row>
    <row r="72" spans="4:8">
      <c r="F72" s="23">
        <f>SUM('Appliances&amp;Cooking'!Y9:Y10)</f>
        <v>4.2877912059948349</v>
      </c>
      <c r="G72" s="23">
        <f>SUM('Appliances&amp;Cooking'!Z9:Z10)</f>
        <v>0.10891940246272838</v>
      </c>
      <c r="H72" s="23">
        <f>SUM('Appliances&amp;Cooking'!AA9:AA10)</f>
        <v>0.34488943938932692</v>
      </c>
    </row>
    <row r="73" spans="4:8">
      <c r="F73" s="23">
        <f>SUM('Appliances&amp;Cooking'!Y11:Y12)</f>
        <v>4.7353184813817153</v>
      </c>
      <c r="G73" s="23">
        <f>SUM('Appliances&amp;Cooking'!Z11:Z12)</f>
        <v>0.12028758740437422</v>
      </c>
      <c r="H73" s="23">
        <f>SUM('Appliances&amp;Cooking'!AA11:AA12)</f>
        <v>0.38088639532874352</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3"/>
  <sheetViews>
    <sheetView topLeftCell="D17" zoomScaleNormal="100" workbookViewId="0">
      <selection activeCell="I23" sqref="I23"/>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107</v>
      </c>
      <c r="H4" s="16"/>
      <c r="I4" s="16"/>
    </row>
    <row r="5" spans="2:9" ht="14" thickBot="1">
      <c r="B5" s="17" t="s">
        <v>45</v>
      </c>
      <c r="C5" s="18"/>
      <c r="D5" s="18"/>
      <c r="E5" s="19"/>
      <c r="F5" s="20"/>
      <c r="G5" s="20"/>
      <c r="H5" s="20"/>
      <c r="I5" s="20"/>
    </row>
    <row r="6" spans="2:9" ht="14" thickBot="1">
      <c r="B6" s="193" t="str">
        <f>Processes!D89</f>
        <v>FT-RESNGA</v>
      </c>
      <c r="C6" s="193" t="str">
        <f>Processes!E89</f>
        <v>Fuel Technology Residential      Natural Gas</v>
      </c>
      <c r="D6" s="193" t="s">
        <v>822</v>
      </c>
      <c r="E6" s="193" t="str">
        <f>Commodities!C18</f>
        <v>RESNGA</v>
      </c>
      <c r="F6" s="194">
        <v>1</v>
      </c>
      <c r="G6" s="193">
        <v>50</v>
      </c>
      <c r="H6" s="280"/>
      <c r="I6" s="280"/>
    </row>
    <row r="7" spans="2:9">
      <c r="B7" s="193" t="str">
        <f>Processes!D90</f>
        <v>FT-RESLPG</v>
      </c>
      <c r="C7" s="193" t="str">
        <f>Processes!E90</f>
        <v>Fuel Technology Residential      LPG</v>
      </c>
      <c r="D7" s="193" t="str">
        <f>RIGHT(Commodities!C19,3)</f>
        <v>LPG</v>
      </c>
      <c r="E7" s="193" t="str">
        <f>Commodities!C19</f>
        <v>RESLPG</v>
      </c>
      <c r="F7" s="194">
        <v>1</v>
      </c>
      <c r="G7" s="193">
        <v>50</v>
      </c>
      <c r="H7" s="280"/>
      <c r="I7" s="280"/>
    </row>
    <row r="8" spans="2:9">
      <c r="B8" s="1" t="str">
        <f>Processes!D91</f>
        <v>FT-RESDSL</v>
      </c>
      <c r="C8" s="1" t="str">
        <f>Processes!E91</f>
        <v>Fuel Technology Residential      Diesel</v>
      </c>
      <c r="D8" s="1" t="str">
        <f>RIGHT(Commodities!C20,3)</f>
        <v>DSL</v>
      </c>
      <c r="E8" s="1" t="str">
        <f>Commodities!C20</f>
        <v>RESDSL</v>
      </c>
      <c r="F8" s="21">
        <v>1</v>
      </c>
      <c r="G8" s="1">
        <v>50</v>
      </c>
      <c r="H8" s="281"/>
      <c r="I8" s="281"/>
    </row>
    <row r="9" spans="2:9">
      <c r="B9" s="1" t="str">
        <f>Processes!D92</f>
        <v>FT-RESGSL</v>
      </c>
      <c r="C9" s="1" t="str">
        <f>Processes!E92</f>
        <v>Fuel Technology Residential      Gasoline</v>
      </c>
      <c r="D9" s="1" t="str">
        <f>RIGHT(Commodities!C21,3)</f>
        <v>GSL</v>
      </c>
      <c r="E9" s="1" t="str">
        <f>Commodities!C21</f>
        <v>RESGSL</v>
      </c>
      <c r="F9" s="21">
        <v>1</v>
      </c>
      <c r="G9" s="1">
        <v>50</v>
      </c>
      <c r="H9" s="281"/>
      <c r="I9" s="281"/>
    </row>
    <row r="10" spans="2:9">
      <c r="B10" s="1" t="str">
        <f>Processes!D93</f>
        <v>FT-RESWPE</v>
      </c>
      <c r="C10" s="1" t="str">
        <f>Processes!E93</f>
        <v>Fuel Technology Residential      Wood pellets</v>
      </c>
      <c r="D10" s="1" t="str">
        <f>RIGHT(Commodities!C22,3)</f>
        <v>WPE</v>
      </c>
      <c r="E10" s="1" t="str">
        <f>Commodities!C22</f>
        <v>RESWPE</v>
      </c>
      <c r="F10" s="21">
        <v>1</v>
      </c>
      <c r="G10" s="1">
        <v>50</v>
      </c>
      <c r="H10" s="281"/>
      <c r="I10" s="281"/>
    </row>
    <row r="11" spans="2:9">
      <c r="B11" s="1" t="str">
        <f>Processes!D94</f>
        <v>FT-RESFIW</v>
      </c>
      <c r="C11" s="1" t="str">
        <f>Processes!E94</f>
        <v>Fuel Technology Residential      Fire wood</v>
      </c>
      <c r="D11" s="1" t="str">
        <f>RIGHT(Commodities!C23,3)</f>
        <v>FIW</v>
      </c>
      <c r="E11" s="1" t="str">
        <f>Commodities!C23</f>
        <v>RESFIW</v>
      </c>
      <c r="F11" s="21">
        <v>1</v>
      </c>
      <c r="G11" s="1">
        <v>50</v>
      </c>
      <c r="H11" s="281"/>
      <c r="I11" s="281"/>
    </row>
    <row r="12" spans="2:9">
      <c r="B12" s="1" t="str">
        <f>Processes!D95</f>
        <v>FT-RESSTR</v>
      </c>
      <c r="C12" s="1" t="str">
        <f>Processes!E95</f>
        <v>Fuel Technology Residential      Straw</v>
      </c>
      <c r="D12" s="1" t="str">
        <f>RIGHT(Commodities!C24,3)</f>
        <v>STR</v>
      </c>
      <c r="E12" s="1" t="str">
        <f>Commodities!C24</f>
        <v>RESSTR</v>
      </c>
      <c r="F12" s="21">
        <v>1</v>
      </c>
      <c r="G12" s="1">
        <v>50</v>
      </c>
      <c r="H12" s="281"/>
      <c r="I12" s="281"/>
    </row>
    <row r="13" spans="2:9">
      <c r="B13" s="1" t="str">
        <f>Processes!D96</f>
        <v>FT-RESSH2</v>
      </c>
      <c r="C13" s="1" t="str">
        <f>Processes!E96</f>
        <v>Fuel Technology Residential      Hydrogen</v>
      </c>
      <c r="D13" s="1" t="s">
        <v>186</v>
      </c>
      <c r="E13" s="1" t="str">
        <f>Commodities!C25</f>
        <v>RESH2</v>
      </c>
      <c r="F13" s="21">
        <v>1</v>
      </c>
      <c r="G13" s="1">
        <v>50</v>
      </c>
      <c r="H13" s="281"/>
      <c r="I13" s="281"/>
    </row>
    <row r="14" spans="2:9">
      <c r="B14" s="1" t="str">
        <f>Processes!D97</f>
        <v>FT-RESSOL</v>
      </c>
      <c r="C14" s="1" t="str">
        <f>Processes!E97</f>
        <v>Fuel Technology Residential      Solar</v>
      </c>
      <c r="D14" s="1" t="str">
        <f>RIGHT(Commodities!C26,3)</f>
        <v>SOL</v>
      </c>
      <c r="E14" s="1" t="str">
        <f>Commodities!C26</f>
        <v>RESSOL</v>
      </c>
      <c r="F14" s="21">
        <v>1</v>
      </c>
      <c r="G14" s="1">
        <v>50</v>
      </c>
      <c r="H14" s="281"/>
      <c r="I14" s="281"/>
    </row>
    <row r="15" spans="2:9">
      <c r="B15" s="1" t="str">
        <f>Processes!D98</f>
        <v>FT-RESLCH</v>
      </c>
      <c r="C15" s="1" t="str">
        <f>Processes!E98</f>
        <v>Fuel Technology for Residential      Electricity Heating</v>
      </c>
      <c r="D15" s="1" t="s">
        <v>821</v>
      </c>
      <c r="E15" s="1" t="str">
        <f>Commodities!C27</f>
        <v>RESELCH</v>
      </c>
      <c r="F15" s="21">
        <v>1</v>
      </c>
      <c r="G15" s="1">
        <v>50</v>
      </c>
      <c r="H15" s="281"/>
      <c r="I15" s="281"/>
    </row>
    <row r="16" spans="2:9">
      <c r="B16" s="1" t="str">
        <f>Processes!D99</f>
        <v>FT-RESLCC</v>
      </c>
      <c r="C16" s="1" t="str">
        <f>Processes!E99</f>
        <v>Fuel Technology for Residential      Electricity Cooling</v>
      </c>
      <c r="D16" s="1" t="s">
        <v>821</v>
      </c>
      <c r="E16" s="1" t="str">
        <f>Commodities!C28</f>
        <v>RESELCC</v>
      </c>
      <c r="F16" s="21">
        <v>1</v>
      </c>
      <c r="G16" s="1">
        <v>50</v>
      </c>
      <c r="H16" s="281"/>
      <c r="I16" s="281"/>
    </row>
    <row r="17" spans="2:9">
      <c r="B17" s="1" t="str">
        <f>Processes!D100</f>
        <v>FT-RESLCA</v>
      </c>
      <c r="C17" s="1" t="str">
        <f>Processes!E100</f>
        <v>Fuel Technology for Residential      Electricity Appliances</v>
      </c>
      <c r="D17" s="1" t="s">
        <v>821</v>
      </c>
      <c r="E17" s="1" t="str">
        <f>Commodities!C29</f>
        <v>RESELCA</v>
      </c>
      <c r="F17" s="21">
        <v>1</v>
      </c>
      <c r="G17" s="1">
        <v>50</v>
      </c>
      <c r="H17" s="281"/>
      <c r="I17" s="281"/>
    </row>
    <row r="18" spans="2:9">
      <c r="B18" s="1" t="str">
        <f>Processes!D101</f>
        <v>FT-RESHCE</v>
      </c>
      <c r="C18" s="1" t="str">
        <f>Processes!E101</f>
        <v>Fuel Technology Residential      District heating Central</v>
      </c>
      <c r="D18" s="477" t="s">
        <v>819</v>
      </c>
      <c r="E18" s="3" t="str">
        <f>Commodities!C30</f>
        <v>RESHCE</v>
      </c>
      <c r="F18" s="530">
        <v>1</v>
      </c>
      <c r="G18" s="1">
        <v>50</v>
      </c>
      <c r="H18" s="281"/>
      <c r="I18" s="281"/>
    </row>
    <row r="19" spans="2:9">
      <c r="B19" s="187" t="str">
        <f>Processes!D102</f>
        <v>FT-RESHDE</v>
      </c>
      <c r="C19" s="187" t="str">
        <f>Processes!E102</f>
        <v>Fuel Technology Residential      District heating Decentral</v>
      </c>
      <c r="D19" s="478" t="s">
        <v>820</v>
      </c>
      <c r="E19" s="195" t="str">
        <f>Commodities!C32</f>
        <v>RESHDE</v>
      </c>
      <c r="F19" s="531">
        <v>1</v>
      </c>
      <c r="G19" s="187">
        <v>50</v>
      </c>
      <c r="H19" s="282"/>
      <c r="I19" s="282"/>
    </row>
    <row r="20" spans="2:9">
      <c r="B20" s="1" t="str">
        <f>Processes!D103</f>
        <v>FT-RESSNG</v>
      </c>
      <c r="C20" s="1" t="str">
        <f>Processes!E103</f>
        <v>Fuel Technology Residential      Synthetic Natural Gas</v>
      </c>
      <c r="D20" t="str">
        <f>RIGHT(Commodities!C33,3)&amp;"1"</f>
        <v>SNG1</v>
      </c>
      <c r="E20" t="str">
        <f>Commodities!C33</f>
        <v>RESSNG</v>
      </c>
      <c r="F20" s="21">
        <v>1</v>
      </c>
      <c r="G20">
        <v>50</v>
      </c>
    </row>
    <row r="21" spans="2:9">
      <c r="B21" s="1"/>
      <c r="C21" s="1"/>
      <c r="D21" t="str">
        <f>RIGHT(Commodities!C33,3)&amp;"2"</f>
        <v>SNG2</v>
      </c>
      <c r="F21" s="21"/>
    </row>
    <row r="22" spans="2:9">
      <c r="B22" s="1"/>
      <c r="C22" s="1"/>
      <c r="D22" t="s">
        <v>740</v>
      </c>
      <c r="F22" s="21"/>
    </row>
    <row r="23" spans="2:9">
      <c r="B23" s="1" t="str">
        <f>Processes!D104</f>
        <v>FT-RESDSB</v>
      </c>
      <c r="C23" s="1" t="str">
        <f>Processes!E104</f>
        <v>Fuel Technology Residential      Renewable Diesel</v>
      </c>
      <c r="D23" t="str">
        <f>RIGHT(Commodities!C34,3)&amp;"1"</f>
        <v>DSB1</v>
      </c>
      <c r="E23" t="str">
        <f>Commodities!C34</f>
        <v>RESDSB</v>
      </c>
      <c r="F23" s="21">
        <v>1</v>
      </c>
      <c r="G23">
        <v>50</v>
      </c>
      <c r="H23" s="1"/>
      <c r="I23" s="3"/>
    </row>
    <row r="24" spans="2:9">
      <c r="D24" t="str">
        <f>RIGHT(Commodities!C34,3)&amp;"2"</f>
        <v>DSB2</v>
      </c>
      <c r="F24" s="21"/>
    </row>
    <row r="25" spans="2:9">
      <c r="B25" s="6"/>
      <c r="D25" s="4" t="s">
        <v>741</v>
      </c>
      <c r="E25" s="34"/>
      <c r="F25" s="30"/>
    </row>
    <row r="26" spans="2:9">
      <c r="B26" s="6"/>
      <c r="D26" s="4"/>
      <c r="E26" s="34"/>
      <c r="F26" s="30"/>
    </row>
    <row r="27" spans="2:9">
      <c r="H27" s="132"/>
      <c r="I27" s="291"/>
    </row>
    <row r="28" spans="2:9" ht="15">
      <c r="I28" s="134"/>
    </row>
    <row r="33" spans="9:9">
      <c r="I33" s="106"/>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F11"/>
  <sheetViews>
    <sheetView zoomScaleNormal="100" workbookViewId="0">
      <selection activeCell="H30" sqref="H30:H31"/>
    </sheetView>
  </sheetViews>
  <sheetFormatPr baseColWidth="10" defaultColWidth="8.83203125" defaultRowHeight="13"/>
  <cols>
    <col min="2" max="2" width="30.6640625" bestFit="1" customWidth="1"/>
    <col min="3" max="3" width="7.6640625" bestFit="1" customWidth="1"/>
    <col min="4" max="4" width="6.5" bestFit="1" customWidth="1"/>
  </cols>
  <sheetData>
    <row r="2" spans="2:6" ht="14">
      <c r="B2" s="51" t="s">
        <v>122</v>
      </c>
      <c r="C2" s="50"/>
      <c r="D2" s="51"/>
    </row>
    <row r="4" spans="2:6" ht="14">
      <c r="B4" s="52" t="s">
        <v>123</v>
      </c>
      <c r="C4" s="54"/>
      <c r="D4" s="56"/>
    </row>
    <row r="5" spans="2:6" ht="14">
      <c r="B5" s="51" t="s">
        <v>124</v>
      </c>
      <c r="C5" s="50"/>
      <c r="D5" s="51"/>
    </row>
    <row r="6" spans="2:6" ht="14">
      <c r="B6" s="50"/>
      <c r="C6" s="55" t="s">
        <v>126</v>
      </c>
      <c r="D6" s="55" t="s">
        <v>125</v>
      </c>
    </row>
    <row r="7" spans="2:6" ht="14">
      <c r="B7" s="50"/>
    </row>
    <row r="8" spans="2:6" ht="14">
      <c r="B8" s="53" t="s">
        <v>127</v>
      </c>
      <c r="C8" s="50"/>
      <c r="D8" s="50"/>
    </row>
    <row r="9" spans="2:6" ht="15">
      <c r="B9" s="57" t="s">
        <v>4</v>
      </c>
      <c r="C9" s="58" t="str">
        <f>Commodities!$C$18</f>
        <v>RESNGA</v>
      </c>
      <c r="D9" s="58" t="str">
        <f>Commodities!$C$19</f>
        <v>RESLPG</v>
      </c>
      <c r="E9" s="58" t="str">
        <f>Commodities!$C$20</f>
        <v>RESDSL</v>
      </c>
      <c r="F9" s="58" t="str">
        <f>Commodities!$C$21</f>
        <v>RESGSL</v>
      </c>
    </row>
    <row r="10" spans="2:6" ht="16" thickBot="1">
      <c r="B10" s="59" t="s">
        <v>128</v>
      </c>
      <c r="C10" s="60" t="s">
        <v>129</v>
      </c>
      <c r="D10" s="60"/>
      <c r="E10" s="60" t="s">
        <v>129</v>
      </c>
      <c r="F10" s="60"/>
    </row>
    <row r="11" spans="2:6" ht="14">
      <c r="B11" s="61" t="str">
        <f>Commodities!$C$79</f>
        <v>RESCO2</v>
      </c>
      <c r="C11" s="62">
        <v>56.97</v>
      </c>
      <c r="D11" s="62">
        <v>63.1</v>
      </c>
      <c r="E11" s="62">
        <v>74</v>
      </c>
      <c r="F11" s="62">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O47" sqref="O47"/>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715</v>
      </c>
    </row>
    <row r="3" spans="2:9">
      <c r="C3" t="s">
        <v>201</v>
      </c>
      <c r="D3" t="s">
        <v>193</v>
      </c>
      <c r="E3" t="s">
        <v>289</v>
      </c>
      <c r="F3" t="s">
        <v>716</v>
      </c>
      <c r="G3" t="s">
        <v>291</v>
      </c>
      <c r="H3" t="s">
        <v>290</v>
      </c>
      <c r="I3" t="s">
        <v>282</v>
      </c>
    </row>
    <row r="4" spans="2:9">
      <c r="B4" t="s">
        <v>829</v>
      </c>
      <c r="C4" s="527">
        <f>Sources!$C$22/SUM(Sources!$C$22:$C$24)</f>
        <v>0.90429204545454545</v>
      </c>
      <c r="D4" s="527">
        <f>'Data manipulation'!AD11/SUM('Data manipulation'!$AD$11:$AD$13)</f>
        <v>0.86026148374492806</v>
      </c>
      <c r="E4" s="528">
        <f>D4</f>
        <v>0.86026148374492806</v>
      </c>
      <c r="F4" s="528">
        <f t="shared" ref="F4:G6" si="0">C4</f>
        <v>0.90429204545454545</v>
      </c>
      <c r="G4" s="528">
        <f t="shared" si="0"/>
        <v>0.86026148374492806</v>
      </c>
      <c r="H4" s="528">
        <f>D4</f>
        <v>0.86026148374492806</v>
      </c>
      <c r="I4" s="529">
        <f>D4</f>
        <v>0.86026148374492806</v>
      </c>
    </row>
    <row r="5" spans="2:9">
      <c r="B5" t="s">
        <v>830</v>
      </c>
      <c r="C5" s="527">
        <f>Sources!$C$23/SUM(Sources!$C$22:$C$24)</f>
        <v>2.2971022727272729E-2</v>
      </c>
      <c r="D5" s="527">
        <f>'Data manipulation'!AD12/SUM('Data manipulation'!$AD$11:$AD$13)</f>
        <v>9.4043981365526233E-2</v>
      </c>
      <c r="E5" s="528">
        <f>D5</f>
        <v>9.4043981365526233E-2</v>
      </c>
      <c r="F5" s="528">
        <f t="shared" si="0"/>
        <v>2.2971022727272729E-2</v>
      </c>
      <c r="G5" s="528">
        <f t="shared" si="0"/>
        <v>9.4043981365526233E-2</v>
      </c>
      <c r="H5" s="528">
        <f>D5</f>
        <v>9.4043981365526233E-2</v>
      </c>
      <c r="I5" s="529">
        <f>D5</f>
        <v>9.4043981365526233E-2</v>
      </c>
    </row>
    <row r="6" spans="2:9">
      <c r="B6" t="s">
        <v>831</v>
      </c>
      <c r="C6" s="527">
        <f>Sources!$C$24/SUM(Sources!$C$22:$C$24)</f>
        <v>7.2736931818181819E-2</v>
      </c>
      <c r="D6" s="527">
        <f>'Data manipulation'!AD13/SUM('Data manipulation'!$AD$11:$AD$13)</f>
        <v>4.5694534889545647E-2</v>
      </c>
      <c r="E6" s="528">
        <f>D6</f>
        <v>4.5694534889545647E-2</v>
      </c>
      <c r="F6" s="528">
        <f t="shared" si="0"/>
        <v>7.2736931818181819E-2</v>
      </c>
      <c r="G6" s="528">
        <f t="shared" si="0"/>
        <v>4.5694534889545647E-2</v>
      </c>
      <c r="H6" s="528">
        <f>D6</f>
        <v>4.5694534889545647E-2</v>
      </c>
      <c r="I6" s="529">
        <f>D6</f>
        <v>4.5694534889545647E-2</v>
      </c>
    </row>
    <row r="1048576" spans="8:8">
      <c r="H1048576" s="33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29"/>
  <sheetViews>
    <sheetView topLeftCell="A73" workbookViewId="0">
      <selection activeCell="O104" sqref="O104"/>
    </sheetView>
  </sheetViews>
  <sheetFormatPr baseColWidth="10" defaultColWidth="8.83203125" defaultRowHeight="13"/>
  <cols>
    <col min="2" max="2" width="30.5" bestFit="1" customWidth="1"/>
    <col min="3" max="3" width="9.1640625" bestFit="1" customWidth="1"/>
    <col min="5" max="5" width="9.1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2" ht="16">
      <c r="B2" s="361" t="s">
        <v>294</v>
      </c>
      <c r="C2" s="301"/>
      <c r="D2" s="301"/>
      <c r="E2" s="301"/>
      <c r="F2" s="301"/>
      <c r="G2" s="301"/>
      <c r="H2" s="301"/>
      <c r="I2" s="301"/>
      <c r="J2" s="301"/>
      <c r="K2" s="301"/>
      <c r="V2" s="361" t="s">
        <v>295</v>
      </c>
    </row>
    <row r="3" spans="2:32" ht="14">
      <c r="B3" s="301"/>
      <c r="C3" s="301"/>
      <c r="D3" s="301"/>
      <c r="E3" s="301"/>
      <c r="F3" s="301"/>
      <c r="G3" s="301"/>
      <c r="H3" s="301"/>
      <c r="I3" s="301"/>
    </row>
    <row r="4" spans="2:32" ht="14">
      <c r="B4" s="301"/>
      <c r="C4" s="301" t="s">
        <v>106</v>
      </c>
      <c r="D4" s="301" t="s">
        <v>288</v>
      </c>
      <c r="E4" s="301" t="s">
        <v>282</v>
      </c>
      <c r="F4" s="301" t="s">
        <v>289</v>
      </c>
      <c r="G4" s="301" t="s">
        <v>290</v>
      </c>
      <c r="H4" s="301" t="s">
        <v>291</v>
      </c>
      <c r="V4" s="132" t="s">
        <v>871</v>
      </c>
    </row>
    <row r="5" spans="2:32" ht="14">
      <c r="B5" s="301" t="s">
        <v>286</v>
      </c>
      <c r="C5" s="359">
        <f>'Energy balance'!N20</f>
        <v>24117.5</v>
      </c>
      <c r="D5" s="359">
        <f t="shared" ref="D5:H9" si="0">$C5*D10</f>
        <v>0</v>
      </c>
      <c r="E5" s="359">
        <f t="shared" si="0"/>
        <v>0</v>
      </c>
      <c r="F5" s="359">
        <f t="shared" si="0"/>
        <v>0</v>
      </c>
      <c r="G5" s="359">
        <f>$C5*G10</f>
        <v>23478.625827814569</v>
      </c>
      <c r="H5" s="359">
        <f t="shared" si="0"/>
        <v>638.87417218543044</v>
      </c>
      <c r="V5" s="106" t="s">
        <v>233</v>
      </c>
      <c r="W5" s="480">
        <f>Sources!D15</f>
        <v>157</v>
      </c>
      <c r="X5" s="480">
        <f>Sources!E15</f>
        <v>160</v>
      </c>
      <c r="Y5" s="480">
        <f>Sources!F15</f>
        <v>160</v>
      </c>
      <c r="Z5" s="480">
        <f>Sources!G15</f>
        <v>162</v>
      </c>
      <c r="AA5" s="480">
        <f>Sources!H15</f>
        <v>164</v>
      </c>
      <c r="AB5" s="480">
        <f>Sources!I15</f>
        <v>166</v>
      </c>
      <c r="AC5" s="480">
        <f>Sources!J15</f>
        <v>169</v>
      </c>
      <c r="AD5" s="480">
        <f>Sources!K15</f>
        <v>171</v>
      </c>
      <c r="AE5" s="480">
        <f>Sources!L15</f>
        <v>174</v>
      </c>
      <c r="AF5" s="480">
        <f>Sources!M15</f>
        <v>176</v>
      </c>
    </row>
    <row r="6" spans="2:32" ht="14">
      <c r="B6" s="301" t="s">
        <v>80</v>
      </c>
      <c r="C6" s="359">
        <f>'Energy balance'!N18+'Energy balance'!N8</f>
        <v>119609.5</v>
      </c>
      <c r="D6" s="359">
        <f>$C6*D11</f>
        <v>83726.649999999994</v>
      </c>
      <c r="E6" s="359">
        <f t="shared" si="0"/>
        <v>10472.984928229665</v>
      </c>
      <c r="F6" s="359">
        <f t="shared" si="0"/>
        <v>25409.865071770331</v>
      </c>
      <c r="G6" s="359">
        <f t="shared" si="0"/>
        <v>0</v>
      </c>
      <c r="H6" s="359">
        <f t="shared" si="0"/>
        <v>0</v>
      </c>
    </row>
    <row r="7" spans="2:32" ht="14">
      <c r="B7" s="301" t="s">
        <v>221</v>
      </c>
      <c r="C7" s="359">
        <f>'Energy balance'!N21</f>
        <v>470.8</v>
      </c>
      <c r="D7" s="359">
        <f t="shared" si="0"/>
        <v>470.8</v>
      </c>
      <c r="E7" s="359">
        <f t="shared" si="0"/>
        <v>0</v>
      </c>
      <c r="F7" s="359">
        <f t="shared" si="0"/>
        <v>0</v>
      </c>
      <c r="G7" s="359">
        <f t="shared" si="0"/>
        <v>0</v>
      </c>
      <c r="H7" s="359">
        <f t="shared" si="0"/>
        <v>0</v>
      </c>
    </row>
    <row r="8" spans="2:32" ht="14">
      <c r="B8" s="301" t="s">
        <v>287</v>
      </c>
      <c r="C8" s="359">
        <f>'Energy balance'!N12+'Energy balance'!N11+'Energy balance'!N9</f>
        <v>371.4</v>
      </c>
      <c r="D8" s="359">
        <f>$C8*D13</f>
        <v>371.4</v>
      </c>
      <c r="E8" s="359">
        <f t="shared" si="0"/>
        <v>0</v>
      </c>
      <c r="F8" s="359">
        <f t="shared" si="0"/>
        <v>0</v>
      </c>
      <c r="G8" s="359">
        <f t="shared" si="0"/>
        <v>0</v>
      </c>
      <c r="H8" s="359">
        <f t="shared" si="0"/>
        <v>0</v>
      </c>
    </row>
    <row r="9" spans="2:32" ht="14">
      <c r="B9" s="301" t="s">
        <v>220</v>
      </c>
      <c r="C9" s="359">
        <f>'Energy balance'!N19</f>
        <v>5051.2</v>
      </c>
      <c r="D9" s="359">
        <f t="shared" si="0"/>
        <v>5051.2</v>
      </c>
      <c r="E9" s="359">
        <f t="shared" si="0"/>
        <v>0</v>
      </c>
      <c r="F9" s="359">
        <f t="shared" si="0"/>
        <v>0</v>
      </c>
      <c r="G9" s="359">
        <f t="shared" si="0"/>
        <v>0</v>
      </c>
      <c r="H9" s="359">
        <f t="shared" si="0"/>
        <v>0</v>
      </c>
      <c r="V9" s="422" t="s">
        <v>718</v>
      </c>
      <c r="W9" s="422"/>
      <c r="X9" s="422"/>
    </row>
    <row r="10" spans="2:32" ht="14">
      <c r="B10" s="301"/>
      <c r="C10" s="359"/>
      <c r="D10" s="360">
        <v>0</v>
      </c>
      <c r="E10" s="360">
        <v>0</v>
      </c>
      <c r="F10" s="360">
        <v>0</v>
      </c>
      <c r="G10" s="360">
        <f>1-H10-SUM(D10:F10)</f>
        <v>0.97350993377483441</v>
      </c>
      <c r="H10" s="360">
        <f>Sources!B95/SUM(Sources!B91:B92)</f>
        <v>2.6490066225165563E-2</v>
      </c>
      <c r="V10" s="207" t="s">
        <v>721</v>
      </c>
      <c r="W10" s="301" t="s">
        <v>713</v>
      </c>
      <c r="X10" s="301" t="s">
        <v>714</v>
      </c>
      <c r="AD10" s="106" t="s">
        <v>717</v>
      </c>
      <c r="AE10" s="106" t="s">
        <v>713</v>
      </c>
      <c r="AF10" s="106" t="s">
        <v>714</v>
      </c>
    </row>
    <row r="11" spans="2:32" ht="14">
      <c r="B11" s="301"/>
      <c r="C11" s="359"/>
      <c r="D11" s="360">
        <v>0.7</v>
      </c>
      <c r="E11" s="360">
        <f>0.3*Sources!B93/SUM(Sources!B93:B94)</f>
        <v>8.7559808612440199E-2</v>
      </c>
      <c r="F11" s="360">
        <f>0.3*Sources!B94/SUM(Sources!B93:B94)</f>
        <v>0.21244019138755979</v>
      </c>
      <c r="G11" s="360">
        <v>0</v>
      </c>
      <c r="H11" s="360">
        <v>0</v>
      </c>
      <c r="V11" t="s">
        <v>719</v>
      </c>
      <c r="W11" s="421">
        <f>SUM(Sources!D65:D66)/100</f>
        <v>0.44900000000000001</v>
      </c>
      <c r="X11" s="421">
        <f>SUM(Sources!E65:E66)/100</f>
        <v>0.95100000000000007</v>
      </c>
      <c r="AC11" s="106" t="s">
        <v>829</v>
      </c>
      <c r="AD11">
        <f>SUMIFS(Sources!C$134:C$653,Sources!$A$134:$A$653,$AC11)</f>
        <v>8586.6999999999989</v>
      </c>
      <c r="AE11">
        <f>SUMIFS(Sources!F$134:F$653,Sources!$A$134:$A$653,'Data manipulation'!$AC11)</f>
        <v>4862.3</v>
      </c>
      <c r="AF11">
        <f>SUMIFS(Sources!I$134:I$653,Sources!$A$134:$A$653,'Data manipulation'!$AC11)</f>
        <v>3724.4</v>
      </c>
    </row>
    <row r="12" spans="2:32" ht="14">
      <c r="B12" s="301"/>
      <c r="C12" s="359"/>
      <c r="D12" s="360">
        <v>1</v>
      </c>
      <c r="E12" s="360">
        <v>0</v>
      </c>
      <c r="F12" s="360">
        <v>0</v>
      </c>
      <c r="G12" s="360">
        <v>0</v>
      </c>
      <c r="H12" s="360">
        <v>0</v>
      </c>
      <c r="V12" t="s">
        <v>720</v>
      </c>
      <c r="W12" s="421">
        <f>SUM(Sources!D67:D69)/100</f>
        <v>0.55100000000000005</v>
      </c>
      <c r="X12" s="421">
        <f>SUM(Sources!E67:E69)/100</f>
        <v>4.8999999999999995E-2</v>
      </c>
      <c r="AC12" s="106" t="s">
        <v>830</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1"/>
      <c r="C13" s="359"/>
      <c r="D13" s="360">
        <v>1</v>
      </c>
      <c r="E13" s="360">
        <v>0</v>
      </c>
      <c r="F13" s="360">
        <v>0</v>
      </c>
      <c r="G13" s="360">
        <v>0</v>
      </c>
      <c r="H13" s="360">
        <v>0</v>
      </c>
      <c r="AC13" s="106" t="s">
        <v>831</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1"/>
      <c r="C14" s="359"/>
      <c r="D14" s="360">
        <v>1</v>
      </c>
      <c r="E14" s="360">
        <v>0</v>
      </c>
      <c r="F14" s="360">
        <v>0</v>
      </c>
      <c r="G14" s="360">
        <v>0</v>
      </c>
      <c r="H14" s="360">
        <v>0</v>
      </c>
      <c r="V14" s="132" t="s">
        <v>722</v>
      </c>
      <c r="W14" t="s">
        <v>713</v>
      </c>
      <c r="X14" t="s">
        <v>714</v>
      </c>
    </row>
    <row r="15" spans="2:32" ht="14">
      <c r="B15" s="301" t="s">
        <v>292</v>
      </c>
      <c r="C15" s="301"/>
      <c r="D15" s="301">
        <f>SUM(D5:D9)/SUM($C$5:$C$9)</f>
        <v>0.59898282587133833</v>
      </c>
      <c r="E15" s="301">
        <f>SUM(E5:E9)/SUM($C$5:$C$9)</f>
        <v>6.999703869411969E-2</v>
      </c>
      <c r="F15" s="301">
        <f>SUM(F5:F9)/SUM($C$5:$C$9)</f>
        <v>0.16982888076606087</v>
      </c>
      <c r="G15" s="301">
        <f>SUM(G5:G9)/SUM($C$5:$C$9)</f>
        <v>0.15692128765739544</v>
      </c>
      <c r="H15" s="301">
        <f>SUM(H5:H9)/SUM($C$5:$C$9)</f>
        <v>4.2699670110855903E-3</v>
      </c>
      <c r="V15" t="s">
        <v>829</v>
      </c>
      <c r="W15" s="9">
        <f>'Regional split'!C4*AE11/AD11</f>
        <v>0.51206391426434328</v>
      </c>
      <c r="X15" s="9">
        <f>'Regional split'!C4*AF11/AD11</f>
        <v>0.39222813119020222</v>
      </c>
    </row>
    <row r="16" spans="2:32">
      <c r="V16" t="s">
        <v>830</v>
      </c>
      <c r="W16" s="9">
        <f>'Regional split'!C5*AE12/AD12</f>
        <v>6.7809421516216812E-3</v>
      </c>
      <c r="X16" s="9">
        <f>'Regional split'!C5*AF12/AD12</f>
        <v>1.6190080575651043E-2</v>
      </c>
    </row>
    <row r="17" spans="1:36">
      <c r="V17" t="s">
        <v>831</v>
      </c>
      <c r="W17" s="9">
        <f>'Regional split'!C6*AE13/AD13</f>
        <v>2.1449500832154036E-2</v>
      </c>
      <c r="X17" s="9">
        <f>'Regional split'!C6*AF13/AD13</f>
        <v>5.1287430986027796E-2</v>
      </c>
    </row>
    <row r="19" spans="1:36">
      <c r="V19" s="106" t="s">
        <v>723</v>
      </c>
      <c r="Y19" s="127"/>
      <c r="Z19" s="127"/>
    </row>
    <row r="20" spans="1:36">
      <c r="X20" t="s">
        <v>829</v>
      </c>
      <c r="Y20" t="s">
        <v>830</v>
      </c>
      <c r="Z20" t="s">
        <v>831</v>
      </c>
    </row>
    <row r="21" spans="1:36" ht="17" thickBot="1">
      <c r="B21" s="358" t="s">
        <v>274</v>
      </c>
      <c r="V21" s="106" t="s">
        <v>713</v>
      </c>
      <c r="W21" s="106" t="s">
        <v>719</v>
      </c>
      <c r="X21" s="480">
        <f>INDEX($W$15:$X$17,MATCH(X$20,$V$15:$V$17,0),MATCH($V21,$W$14:$X$14,0))*INDEX($W$11:$X$12,MATCH($W21,$V$11:$V$12,0),MATCH($V21,$W$10:$X$10,0))</f>
        <v>0.22991669750469013</v>
      </c>
      <c r="Y21" s="480">
        <f>INDEX($W$15:$X$17,MATCH(Y$20,$V$15:$V$17,0),MATCH($V21,$W$14:$X$14,0))*INDEX($W$11:$X$12,MATCH($W21,$V$11:$V$12,0),MATCH($V21,$W$10:$X$10,0))</f>
        <v>3.044643026078135E-3</v>
      </c>
      <c r="Z21" s="480">
        <f>INDEX($W$15:$X$17,MATCH(Z$20,$V$15:$V$17,0),MATCH($V21,$W$14:$X$14,0))*INDEX($W$11:$X$12,MATCH($W21,$V$11:$V$12,0),MATCH($V21,$W$10:$X$10,0))</f>
        <v>9.6308258736371635E-3</v>
      </c>
      <c r="AC21" s="106"/>
      <c r="AD21" s="106"/>
    </row>
    <row r="22" spans="1:36" ht="15" thickBot="1">
      <c r="B22" s="304"/>
      <c r="C22" s="305">
        <v>2007</v>
      </c>
      <c r="D22" s="306">
        <v>2008</v>
      </c>
      <c r="E22" s="306">
        <v>2009</v>
      </c>
      <c r="F22" s="306">
        <v>2010</v>
      </c>
      <c r="G22" s="306">
        <v>2011</v>
      </c>
      <c r="H22" s="306">
        <v>2012</v>
      </c>
      <c r="I22" s="306">
        <v>2013</v>
      </c>
      <c r="J22" s="306">
        <v>2014</v>
      </c>
      <c r="K22" s="306">
        <v>2015</v>
      </c>
      <c r="L22" s="306">
        <v>2016</v>
      </c>
      <c r="M22" s="307">
        <v>2017</v>
      </c>
      <c r="N22" s="308">
        <v>2018</v>
      </c>
      <c r="O22" s="308">
        <v>2019</v>
      </c>
      <c r="V22" s="127" t="s">
        <v>714</v>
      </c>
      <c r="W22" s="106" t="s">
        <v>719</v>
      </c>
      <c r="X22" s="480">
        <f t="shared" ref="X22:X24" si="1">INDEX($W$15:$X$17,MATCH(X$20,$V$15:$V$17,0),MATCH($V22,$W$14:$X$14,0))*INDEX($W$11:$X$12,MATCH($W22,$V$11:$V$12,0),MATCH($V22,$W$10:$X$10,0))</f>
        <v>0.37300895276188234</v>
      </c>
      <c r="Y22" s="480">
        <f t="shared" ref="Y22:Z24" si="2">INDEX($W$15:$X$17,MATCH(Y$20,$V$15:$V$17,0),MATCH($V22,$W$14:$X$14,0))*INDEX($W$11:$X$12,MATCH($W22,$V$11:$V$12,0),MATCH($V22,$W$10:$X$10,0))</f>
        <v>1.5396766627444143E-2</v>
      </c>
      <c r="Z22" s="480">
        <f t="shared" si="2"/>
        <v>4.877434686771244E-2</v>
      </c>
      <c r="AC22" s="106"/>
      <c r="AD22" s="106"/>
    </row>
    <row r="23" spans="1:36" ht="14">
      <c r="A23" s="106" t="s">
        <v>738</v>
      </c>
      <c r="B23" s="310" t="s">
        <v>206</v>
      </c>
      <c r="C23" s="481">
        <f>IFERROR('Energy balance'!C5*'Data manipulation'!$Q23,0)</f>
        <v>0</v>
      </c>
      <c r="D23" s="481">
        <f>IFERROR('Energy balance'!D5*'Data manipulation'!$Q23,0)</f>
        <v>0</v>
      </c>
      <c r="E23" s="481">
        <f>IFERROR('Energy balance'!E5*'Data manipulation'!$Q23,0)</f>
        <v>0</v>
      </c>
      <c r="F23" s="481">
        <f>IFERROR('Energy balance'!F5*'Data manipulation'!$Q23,0)</f>
        <v>0</v>
      </c>
      <c r="G23" s="481">
        <f>IFERROR('Energy balance'!G5*'Data manipulation'!$Q23,0)</f>
        <v>0</v>
      </c>
      <c r="H23" s="482">
        <f>IFERROR('Energy balance'!H5*'Data manipulation'!$Q23,0)</f>
        <v>0</v>
      </c>
      <c r="I23" s="482">
        <f>IFERROR('Energy balance'!I5*'Data manipulation'!$Q23,0)</f>
        <v>0</v>
      </c>
      <c r="J23" s="482">
        <f>IFERROR('Energy balance'!J5*'Data manipulation'!$Q23,0)</f>
        <v>0</v>
      </c>
      <c r="K23" s="482">
        <f>IFERROR('Energy balance'!K5*'Data manipulation'!$Q23,0)</f>
        <v>0</v>
      </c>
      <c r="L23" s="482">
        <f>IFERROR('Energy balance'!L5*'Data manipulation'!$Q23,0)</f>
        <v>0</v>
      </c>
      <c r="M23" s="483">
        <f>IFERROR('Energy balance'!M5*'Data manipulation'!$Q23,0)</f>
        <v>0</v>
      </c>
      <c r="N23" s="484">
        <f>IFERROR('Energy balance'!N5*'Data manipulation'!$Q23,0)</f>
        <v>0</v>
      </c>
      <c r="O23" s="484">
        <f>IFERROR('Energy balance'!O5*'Data manipulation'!$Q23,0)</f>
        <v>0</v>
      </c>
      <c r="Q23">
        <v>0</v>
      </c>
      <c r="V23" s="106" t="s">
        <v>713</v>
      </c>
      <c r="W23" s="106" t="s">
        <v>720</v>
      </c>
      <c r="X23" s="480">
        <f t="shared" si="1"/>
        <v>0.28214721675965315</v>
      </c>
      <c r="Y23" s="480">
        <f t="shared" si="2"/>
        <v>3.7362991255435467E-3</v>
      </c>
      <c r="Z23" s="480">
        <f t="shared" si="2"/>
        <v>1.1818674958516875E-2</v>
      </c>
    </row>
    <row r="24" spans="1:36" ht="14">
      <c r="A24" s="106" t="s">
        <v>738</v>
      </c>
      <c r="B24" s="315" t="s">
        <v>208</v>
      </c>
      <c r="C24" s="485">
        <f>IFERROR('Energy balance'!C6*'Data manipulation'!$Q24,0)</f>
        <v>0</v>
      </c>
      <c r="D24" s="485">
        <f>IFERROR('Energy balance'!D6*'Data manipulation'!$Q24,0)</f>
        <v>0</v>
      </c>
      <c r="E24" s="485">
        <f>IFERROR('Energy balance'!E6*'Data manipulation'!$Q24,0)</f>
        <v>0</v>
      </c>
      <c r="F24" s="485">
        <f>IFERROR('Energy balance'!F6*'Data manipulation'!$Q24,0)</f>
        <v>0</v>
      </c>
      <c r="G24" s="485">
        <f>IFERROR('Energy balance'!G6*'Data manipulation'!$Q24,0)</f>
        <v>0</v>
      </c>
      <c r="H24" s="486">
        <f>IFERROR('Energy balance'!H6*'Data manipulation'!$Q24,0)</f>
        <v>0</v>
      </c>
      <c r="I24" s="486">
        <f>IFERROR('Energy balance'!I6*'Data manipulation'!$Q24,0)</f>
        <v>0</v>
      </c>
      <c r="J24" s="486">
        <f>IFERROR('Energy balance'!J6*'Data manipulation'!$Q24,0)</f>
        <v>0</v>
      </c>
      <c r="K24" s="486">
        <f>IFERROR('Energy balance'!K6*'Data manipulation'!$Q24,0)</f>
        <v>0</v>
      </c>
      <c r="L24" s="486">
        <f>IFERROR('Energy balance'!L6*'Data manipulation'!$Q24,0)</f>
        <v>0</v>
      </c>
      <c r="M24" s="483">
        <f>IFERROR('Energy balance'!M6*'Data manipulation'!$Q24,0)</f>
        <v>0</v>
      </c>
      <c r="N24" s="484">
        <f>IFERROR('Energy balance'!N6*'Data manipulation'!$Q24,0)</f>
        <v>0</v>
      </c>
      <c r="O24" s="484">
        <f>IFERROR('Energy balance'!O6*'Data manipulation'!$Q24,0)</f>
        <v>0</v>
      </c>
      <c r="Q24">
        <v>0</v>
      </c>
      <c r="V24" s="127" t="s">
        <v>714</v>
      </c>
      <c r="W24" s="106" t="s">
        <v>720</v>
      </c>
      <c r="X24" s="480">
        <f t="shared" si="1"/>
        <v>1.9219178428319907E-2</v>
      </c>
      <c r="Y24" s="480">
        <f t="shared" si="2"/>
        <v>7.9331394820690104E-4</v>
      </c>
      <c r="Z24" s="480">
        <f t="shared" si="2"/>
        <v>2.5130841183153619E-3</v>
      </c>
    </row>
    <row r="25" spans="1:36" ht="14">
      <c r="A25" s="106" t="s">
        <v>738</v>
      </c>
      <c r="B25" s="315" t="s">
        <v>209</v>
      </c>
      <c r="C25" s="485">
        <f>IFERROR('Energy balance'!C7*'Data manipulation'!$Q25,0)</f>
        <v>0</v>
      </c>
      <c r="D25" s="485">
        <f>IFERROR('Energy balance'!D7*'Data manipulation'!$Q25,0)</f>
        <v>0</v>
      </c>
      <c r="E25" s="485">
        <f>IFERROR('Energy balance'!E7*'Data manipulation'!$Q25,0)</f>
        <v>0</v>
      </c>
      <c r="F25" s="485">
        <f>IFERROR('Energy balance'!F7*'Data manipulation'!$Q25,0)</f>
        <v>0</v>
      </c>
      <c r="G25" s="485">
        <f>IFERROR('Energy balance'!G7*'Data manipulation'!$Q25,0)</f>
        <v>0</v>
      </c>
      <c r="H25" s="486">
        <f>IFERROR('Energy balance'!H7*'Data manipulation'!$Q25,0)</f>
        <v>0</v>
      </c>
      <c r="I25" s="486">
        <f>IFERROR('Energy balance'!I7*'Data manipulation'!$Q25,0)</f>
        <v>0</v>
      </c>
      <c r="J25" s="486">
        <f>IFERROR('Energy balance'!J7*'Data manipulation'!$Q25,0)</f>
        <v>0</v>
      </c>
      <c r="K25" s="486">
        <f>IFERROR('Energy balance'!K7*'Data manipulation'!$Q25,0)</f>
        <v>0</v>
      </c>
      <c r="L25" s="486">
        <f>IFERROR('Energy balance'!L7*'Data manipulation'!$Q25,0)</f>
        <v>0</v>
      </c>
      <c r="M25" s="483">
        <f>IFERROR('Energy balance'!M7*'Data manipulation'!$Q25,0)</f>
        <v>0</v>
      </c>
      <c r="N25" s="484">
        <f>IFERROR('Energy balance'!N7*'Data manipulation'!$Q25,0)</f>
        <v>0</v>
      </c>
      <c r="O25" s="484">
        <f>IFERROR('Energy balance'!O7*'Data manipulation'!$Q25,0)</f>
        <v>0</v>
      </c>
      <c r="Q25">
        <v>0</v>
      </c>
    </row>
    <row r="26" spans="1:36" ht="14">
      <c r="A26" s="106" t="s">
        <v>738</v>
      </c>
      <c r="B26" s="315" t="s">
        <v>210</v>
      </c>
      <c r="C26" s="487">
        <f>IFERROR('Energy balance'!C8*'Data manipulation'!$Q26,0)</f>
        <v>2652.5099999999998</v>
      </c>
      <c r="D26" s="487">
        <f>IFERROR('Energy balance'!D8*'Data manipulation'!$Q26,0)</f>
        <v>2772</v>
      </c>
      <c r="E26" s="487">
        <f>IFERROR('Energy balance'!E8*'Data manipulation'!$Q26,0)</f>
        <v>1905.5399999999997</v>
      </c>
      <c r="F26" s="487">
        <f>IFERROR('Energy balance'!F8*'Data manipulation'!$Q26,0)</f>
        <v>1782.6899999999998</v>
      </c>
      <c r="G26" s="487">
        <f>IFERROR('Energy balance'!G8*'Data manipulation'!$Q26,0)</f>
        <v>1410.9199999999998</v>
      </c>
      <c r="H26" s="487">
        <f>IFERROR('Energy balance'!H8*'Data manipulation'!$Q26,0)</f>
        <v>1241.5899999999999</v>
      </c>
      <c r="I26" s="487">
        <f>IFERROR('Energy balance'!I8*'Data manipulation'!$Q26,0)</f>
        <v>1062.32</v>
      </c>
      <c r="J26" s="487">
        <f>IFERROR('Energy balance'!J8*'Data manipulation'!$Q26,0)</f>
        <v>866.45999999999992</v>
      </c>
      <c r="K26" s="487">
        <f>IFERROR('Energy balance'!K8*'Data manipulation'!$Q26,0)</f>
        <v>604.16999999999996</v>
      </c>
      <c r="L26" s="487">
        <f>IFERROR('Energy balance'!L8*'Data manipulation'!$Q26,0)</f>
        <v>331.94</v>
      </c>
      <c r="M26" s="487">
        <f>IFERROR('Energy balance'!M8*'Data manipulation'!$Q26,0)</f>
        <v>189.21</v>
      </c>
      <c r="N26" s="487">
        <f>IFERROR('Energy balance'!N8*'Data manipulation'!$Q26,0)</f>
        <v>185.92000000000002</v>
      </c>
      <c r="O26" s="487">
        <f>IFERROR('Energy balance'!O8*'Data manipulation'!$Q26,0)</f>
        <v>92.960000000000008</v>
      </c>
      <c r="Q26" s="106">
        <v>0.7</v>
      </c>
      <c r="V26" s="187"/>
      <c r="W26" s="187"/>
      <c r="X26" s="187"/>
      <c r="Y26" s="187"/>
      <c r="Z26" s="187"/>
      <c r="AA26" s="187"/>
      <c r="AB26" s="187"/>
      <c r="AC26" s="187"/>
      <c r="AD26" s="187"/>
      <c r="AE26" s="187"/>
      <c r="AF26" s="187"/>
      <c r="AG26" s="187"/>
      <c r="AH26" s="187"/>
      <c r="AI26" s="187"/>
      <c r="AJ26" s="187"/>
    </row>
    <row r="27" spans="1:36" ht="14">
      <c r="A27" s="106" t="s">
        <v>738</v>
      </c>
      <c r="B27" s="315" t="s">
        <v>211</v>
      </c>
      <c r="C27" s="487">
        <f>IFERROR('Energy balance'!C9*'Data manipulation'!$Q27,0)</f>
        <v>0</v>
      </c>
      <c r="D27" s="487">
        <f>IFERROR('Energy balance'!D9*'Data manipulation'!$Q27,0)</f>
        <v>0</v>
      </c>
      <c r="E27" s="487">
        <f>IFERROR('Energy balance'!E9*'Data manipulation'!$Q27,0)</f>
        <v>0</v>
      </c>
      <c r="F27" s="487">
        <f>IFERROR('Energy balance'!F9*'Data manipulation'!$Q27,0)</f>
        <v>0</v>
      </c>
      <c r="G27" s="487">
        <f>IFERROR('Energy balance'!G9*'Data manipulation'!$Q27,0)</f>
        <v>0</v>
      </c>
      <c r="H27" s="487">
        <f>IFERROR('Energy balance'!H9*'Data manipulation'!$Q27,0)</f>
        <v>0</v>
      </c>
      <c r="I27" s="488">
        <f>IFERROR('Energy balance'!I9*'Data manipulation'!$Q27,0)</f>
        <v>0</v>
      </c>
      <c r="J27" s="488">
        <f>IFERROR('Energy balance'!J9*'Data manipulation'!$Q27,0)</f>
        <v>0</v>
      </c>
      <c r="K27" s="488">
        <f>IFERROR('Energy balance'!K9*'Data manipulation'!$Q27,0)</f>
        <v>0</v>
      </c>
      <c r="L27" s="488">
        <f>IFERROR('Energy balance'!L9*'Data manipulation'!$Q27,0)</f>
        <v>0</v>
      </c>
      <c r="M27" s="489">
        <f>IFERROR('Energy balance'!M9*'Data manipulation'!$Q27,0)</f>
        <v>0</v>
      </c>
      <c r="N27" s="490">
        <f>IFERROR('Energy balance'!N9*'Data manipulation'!$Q27,0)</f>
        <v>0</v>
      </c>
      <c r="O27" s="490">
        <f>IFERROR('Energy balance'!O9*'Data manipulation'!$Q27,0)</f>
        <v>0</v>
      </c>
      <c r="Q27" s="106">
        <v>0</v>
      </c>
      <c r="V27" s="106" t="s">
        <v>732</v>
      </c>
    </row>
    <row r="28" spans="1:36" ht="14">
      <c r="A28" s="106" t="s">
        <v>738</v>
      </c>
      <c r="B28" s="315" t="s">
        <v>212</v>
      </c>
      <c r="C28" s="487">
        <f>IFERROR('Energy balance'!C10*'Data manipulation'!$Q28,0)</f>
        <v>0</v>
      </c>
      <c r="D28" s="487">
        <f>IFERROR('Energy balance'!D10*'Data manipulation'!$Q28,0)</f>
        <v>0</v>
      </c>
      <c r="E28" s="487">
        <f>IFERROR('Energy balance'!E10*'Data manipulation'!$Q28,0)</f>
        <v>0</v>
      </c>
      <c r="F28" s="487">
        <f>IFERROR('Energy balance'!F10*'Data manipulation'!$Q28,0)</f>
        <v>0</v>
      </c>
      <c r="G28" s="487">
        <f>IFERROR('Energy balance'!G10*'Data manipulation'!$Q28,0)</f>
        <v>0</v>
      </c>
      <c r="H28" s="487">
        <f>IFERROR('Energy balance'!H10*'Data manipulation'!$Q28,0)</f>
        <v>0</v>
      </c>
      <c r="I28" s="485">
        <f>IFERROR('Energy balance'!I10*'Data manipulation'!$Q28,0)</f>
        <v>0</v>
      </c>
      <c r="J28" s="485">
        <f>IFERROR('Energy balance'!J10*'Data manipulation'!$Q28,0)</f>
        <v>0</v>
      </c>
      <c r="K28" s="485">
        <f>IFERROR('Energy balance'!K10*'Data manipulation'!$Q28,0)</f>
        <v>0</v>
      </c>
      <c r="L28" s="485">
        <f>IFERROR('Energy balance'!L10*'Data manipulation'!$Q28,0)</f>
        <v>0</v>
      </c>
      <c r="M28" s="483">
        <f>IFERROR('Energy balance'!M10*'Data manipulation'!$Q28,0)</f>
        <v>0</v>
      </c>
      <c r="N28" s="484">
        <f>IFERROR('Energy balance'!N10*'Data manipulation'!$Q28,0)</f>
        <v>0</v>
      </c>
      <c r="O28" s="484">
        <f>IFERROR('Energy balance'!O10*'Data manipulation'!$Q28,0)</f>
        <v>0</v>
      </c>
      <c r="Q28" s="106">
        <v>1</v>
      </c>
    </row>
    <row r="29" spans="1:36" ht="14">
      <c r="A29" s="106" t="s">
        <v>738</v>
      </c>
      <c r="B29" s="315" t="s">
        <v>213</v>
      </c>
      <c r="C29" s="487">
        <f>IFERROR('Energy balance'!C11*'Data manipulation'!$Q29,0)</f>
        <v>262.60000000000002</v>
      </c>
      <c r="D29" s="487">
        <f>IFERROR('Energy balance'!D11*'Data manipulation'!$Q29,0)</f>
        <v>331.5</v>
      </c>
      <c r="E29" s="487">
        <f>IFERROR('Energy balance'!E11*'Data manipulation'!$Q29,0)</f>
        <v>120.6</v>
      </c>
      <c r="F29" s="487">
        <f>IFERROR('Energy balance'!F11*'Data manipulation'!$Q29,0)</f>
        <v>64.599999999999994</v>
      </c>
      <c r="G29" s="487">
        <f>IFERROR('Energy balance'!G11*'Data manipulation'!$Q29,0)</f>
        <v>21.5</v>
      </c>
      <c r="H29" s="487">
        <f>IFERROR('Energy balance'!H11*'Data manipulation'!$Q29,0)</f>
        <v>21.5</v>
      </c>
      <c r="I29" s="488">
        <f>IFERROR('Energy balance'!I11*'Data manipulation'!$Q29,0)</f>
        <v>25.8</v>
      </c>
      <c r="J29" s="488">
        <f>IFERROR('Energy balance'!J11*'Data manipulation'!$Q29,0)</f>
        <v>17.2</v>
      </c>
      <c r="K29" s="488">
        <f>IFERROR('Energy balance'!K11*'Data manipulation'!$Q29,0)</f>
        <v>12.9</v>
      </c>
      <c r="L29" s="488">
        <f>IFERROR('Energy balance'!L11*'Data manipulation'!$Q29,0)</f>
        <v>4.3</v>
      </c>
      <c r="M29" s="489">
        <f>IFERROR('Energy balance'!M11*'Data manipulation'!$Q29,0)</f>
        <v>4.3</v>
      </c>
      <c r="N29" s="490">
        <f>IFERROR('Energy balance'!N11*'Data manipulation'!$Q29,0)</f>
        <v>4.3</v>
      </c>
      <c r="O29" s="490">
        <f>IFERROR('Energy balance'!O11*'Data manipulation'!$Q29,0)</f>
        <v>4.3</v>
      </c>
      <c r="Q29" s="106">
        <v>1</v>
      </c>
      <c r="V29" s="106" t="s">
        <v>733</v>
      </c>
    </row>
    <row r="30" spans="1:36" ht="15">
      <c r="A30" s="106" t="s">
        <v>738</v>
      </c>
      <c r="B30" s="324" t="s">
        <v>214</v>
      </c>
      <c r="C30" s="487">
        <f>IFERROR('Energy balance'!C12*'Data manipulation'!$Q30,0)</f>
        <v>703.8</v>
      </c>
      <c r="D30" s="487">
        <f>IFERROR('Energy balance'!D12*'Data manipulation'!$Q30,0)</f>
        <v>661.2</v>
      </c>
      <c r="E30" s="487">
        <f>IFERROR('Energy balance'!E12*'Data manipulation'!$Q30,0)</f>
        <v>524.6</v>
      </c>
      <c r="F30" s="487">
        <f>IFERROR('Energy balance'!F12*'Data manipulation'!$Q30,0)</f>
        <v>528.9</v>
      </c>
      <c r="G30" s="487">
        <f>IFERROR('Energy balance'!G12*'Data manipulation'!$Q30,0)</f>
        <v>537.5</v>
      </c>
      <c r="H30" s="487">
        <f>IFERROR('Energy balance'!H12*'Data manipulation'!$Q30,0)</f>
        <v>546</v>
      </c>
      <c r="I30" s="488">
        <f>IFERROR('Energy balance'!I12*'Data manipulation'!$Q30,0)</f>
        <v>511.8</v>
      </c>
      <c r="J30" s="488">
        <f>IFERROR('Energy balance'!J12*'Data manipulation'!$Q30,0)</f>
        <v>447.9</v>
      </c>
      <c r="K30" s="488">
        <f>IFERROR('Energy balance'!K12*'Data manipulation'!$Q30,0)</f>
        <v>405.2</v>
      </c>
      <c r="L30" s="488">
        <f>IFERROR('Energy balance'!L12*'Data manipulation'!$Q30,0)</f>
        <v>383.9</v>
      </c>
      <c r="M30" s="489">
        <f>IFERROR('Energy balance'!M12*'Data manipulation'!$Q30,0)</f>
        <v>362.6</v>
      </c>
      <c r="N30" s="490">
        <f>IFERROR('Energy balance'!N12*'Data manipulation'!$Q30,0)</f>
        <v>341.2</v>
      </c>
      <c r="O30" s="490">
        <f>IFERROR('Energy balance'!O12*'Data manipulation'!$Q30,0)</f>
        <v>324.2</v>
      </c>
      <c r="Q30" s="106">
        <v>1</v>
      </c>
      <c r="U30" s="196"/>
      <c r="V30" s="169">
        <v>1.94169475643413</v>
      </c>
      <c r="W30" s="469" t="s">
        <v>730</v>
      </c>
    </row>
    <row r="31" spans="1:36" ht="15">
      <c r="A31" s="106" t="s">
        <v>738</v>
      </c>
      <c r="B31" s="324" t="s">
        <v>215</v>
      </c>
      <c r="C31" s="485">
        <f>IFERROR('Energy balance'!C13*'Data manipulation'!$Q31,0)</f>
        <v>0</v>
      </c>
      <c r="D31" s="485">
        <f>IFERROR('Energy balance'!D13*'Data manipulation'!$Q31,0)</f>
        <v>0</v>
      </c>
      <c r="E31" s="485">
        <f>IFERROR('Energy balance'!E13*'Data manipulation'!$Q31,0)</f>
        <v>0</v>
      </c>
      <c r="F31" s="485">
        <f>IFERROR('Energy balance'!F13*'Data manipulation'!$Q31,0)</f>
        <v>0</v>
      </c>
      <c r="G31" s="485">
        <f>IFERROR('Energy balance'!G13*'Data manipulation'!$Q31,0)</f>
        <v>0</v>
      </c>
      <c r="H31" s="485">
        <f>IFERROR('Energy balance'!H13*'Data manipulation'!$Q31,0)</f>
        <v>0</v>
      </c>
      <c r="I31" s="485">
        <f>IFERROR('Energy balance'!I13*'Data manipulation'!$Q31,0)</f>
        <v>0</v>
      </c>
      <c r="J31" s="485">
        <f>IFERROR('Energy balance'!J13*'Data manipulation'!$Q31,0)</f>
        <v>0</v>
      </c>
      <c r="K31" s="486">
        <f>IFERROR('Energy balance'!K13*'Data manipulation'!$Q31,0)</f>
        <v>0</v>
      </c>
      <c r="L31" s="485">
        <f>IFERROR('Energy balance'!L13*'Data manipulation'!$Q31,0)</f>
        <v>0</v>
      </c>
      <c r="M31" s="483">
        <f>IFERROR('Energy balance'!M13*'Data manipulation'!$Q31,0)</f>
        <v>0</v>
      </c>
      <c r="N31" s="484">
        <f>IFERROR('Energy balance'!N13*'Data manipulation'!$Q31,0)</f>
        <v>0</v>
      </c>
      <c r="O31" s="484">
        <f>IFERROR('Energy balance'!O13*'Data manipulation'!$Q31,0)</f>
        <v>0</v>
      </c>
      <c r="Q31" s="106">
        <v>0</v>
      </c>
      <c r="V31" s="169">
        <v>2.3104234107113255</v>
      </c>
      <c r="W31" s="191" t="s">
        <v>731</v>
      </c>
    </row>
    <row r="32" spans="1:36" ht="14">
      <c r="A32" s="106" t="s">
        <v>738</v>
      </c>
      <c r="B32" s="325" t="s">
        <v>216</v>
      </c>
      <c r="C32" s="485">
        <f>IFERROR('Energy balance'!C14*'Data manipulation'!$Q32,0)</f>
        <v>0</v>
      </c>
      <c r="D32" s="485">
        <f>IFERROR('Energy balance'!D14*'Data manipulation'!$Q32,0)</f>
        <v>0</v>
      </c>
      <c r="E32" s="485">
        <f>IFERROR('Energy balance'!E14*'Data manipulation'!$Q32,0)</f>
        <v>0</v>
      </c>
      <c r="F32" s="485">
        <f>IFERROR('Energy balance'!F14*'Data manipulation'!$Q32,0)</f>
        <v>0</v>
      </c>
      <c r="G32" s="485">
        <f>IFERROR('Energy balance'!G14*'Data manipulation'!$Q32,0)</f>
        <v>0</v>
      </c>
      <c r="H32" s="485">
        <f>IFERROR('Energy balance'!H14*'Data manipulation'!$Q32,0)</f>
        <v>0</v>
      </c>
      <c r="I32" s="485">
        <f>IFERROR('Energy balance'!I14*'Data manipulation'!$Q32,0)</f>
        <v>0</v>
      </c>
      <c r="J32" s="485">
        <f>IFERROR('Energy balance'!J14*'Data manipulation'!$Q32,0)</f>
        <v>0</v>
      </c>
      <c r="K32" s="486">
        <f>IFERROR('Energy balance'!K14*'Data manipulation'!$Q32,0)</f>
        <v>0</v>
      </c>
      <c r="L32" s="485">
        <f>IFERROR('Energy balance'!L14*'Data manipulation'!$Q32,0)</f>
        <v>0</v>
      </c>
      <c r="M32" s="483">
        <f>IFERROR('Energy balance'!M14*'Data manipulation'!$Q32,0)</f>
        <v>0</v>
      </c>
      <c r="N32" s="484">
        <f>IFERROR('Energy balance'!N14*'Data manipulation'!$Q32,0)</f>
        <v>0</v>
      </c>
      <c r="O32" s="484">
        <f>IFERROR('Energy balance'!O14*'Data manipulation'!$Q32,0)</f>
        <v>0</v>
      </c>
      <c r="Q32" s="106">
        <v>0</v>
      </c>
    </row>
    <row r="33" spans="1:25" ht="14">
      <c r="A33" s="106" t="s">
        <v>738</v>
      </c>
      <c r="B33" s="325" t="s">
        <v>217</v>
      </c>
      <c r="C33" s="485">
        <f>IFERROR('Energy balance'!C15*'Data manipulation'!$Q33,0)</f>
        <v>0</v>
      </c>
      <c r="D33" s="485">
        <f>IFERROR('Energy balance'!D15*'Data manipulation'!$Q33,0)</f>
        <v>0</v>
      </c>
      <c r="E33" s="485">
        <f>IFERROR('Energy balance'!E15*'Data manipulation'!$Q33,0)</f>
        <v>0</v>
      </c>
      <c r="F33" s="485">
        <f>IFERROR('Energy balance'!F15*'Data manipulation'!$Q33,0)</f>
        <v>0</v>
      </c>
      <c r="G33" s="485">
        <f>IFERROR('Energy balance'!G15*'Data manipulation'!$Q33,0)</f>
        <v>0</v>
      </c>
      <c r="H33" s="485">
        <f>IFERROR('Energy balance'!H15*'Data manipulation'!$Q33,0)</f>
        <v>0</v>
      </c>
      <c r="I33" s="485">
        <f>IFERROR('Energy balance'!I15*'Data manipulation'!$Q33,0)</f>
        <v>0</v>
      </c>
      <c r="J33" s="485">
        <f>IFERROR('Energy balance'!J15*'Data manipulation'!$Q33,0)</f>
        <v>0</v>
      </c>
      <c r="K33" s="486">
        <f>IFERROR('Energy balance'!K15*'Data manipulation'!$Q33,0)</f>
        <v>0</v>
      </c>
      <c r="L33" s="485">
        <f>IFERROR('Energy balance'!L15*'Data manipulation'!$Q33,0)</f>
        <v>0</v>
      </c>
      <c r="M33" s="483">
        <f>IFERROR('Energy balance'!M15*'Data manipulation'!$Q33,0)</f>
        <v>0</v>
      </c>
      <c r="N33" s="484">
        <f>IFERROR('Energy balance'!N15*'Data manipulation'!$Q33,0)</f>
        <v>0</v>
      </c>
      <c r="O33" s="484">
        <f>IFERROR('Energy balance'!O15*'Data manipulation'!$Q33,0)</f>
        <v>0</v>
      </c>
      <c r="Q33" s="106">
        <v>0</v>
      </c>
      <c r="V33" s="9">
        <f>SUM(Dem!F41:H44)</f>
        <v>160.00000000000003</v>
      </c>
      <c r="W33" s="106" t="s">
        <v>734</v>
      </c>
    </row>
    <row r="34" spans="1:25" ht="14">
      <c r="A34" s="106" t="s">
        <v>738</v>
      </c>
      <c r="B34" s="325" t="s">
        <v>218</v>
      </c>
      <c r="C34" s="485">
        <f>IFERROR('Energy balance'!C16*'Data manipulation'!$Q34,0)</f>
        <v>0</v>
      </c>
      <c r="D34" s="485">
        <f>IFERROR('Energy balance'!D16*'Data manipulation'!$Q34,0)</f>
        <v>0</v>
      </c>
      <c r="E34" s="485">
        <f>IFERROR('Energy balance'!E16*'Data manipulation'!$Q34,0)</f>
        <v>0</v>
      </c>
      <c r="F34" s="485">
        <f>IFERROR('Energy balance'!F16*'Data manipulation'!$Q34,0)</f>
        <v>0</v>
      </c>
      <c r="G34" s="485">
        <f>IFERROR('Energy balance'!G16*'Data manipulation'!$Q34,0)</f>
        <v>0</v>
      </c>
      <c r="H34" s="485">
        <f>IFERROR('Energy balance'!H16*'Data manipulation'!$Q34,0)</f>
        <v>0</v>
      </c>
      <c r="I34" s="485">
        <f>IFERROR('Energy balance'!I16*'Data manipulation'!$Q34,0)</f>
        <v>0</v>
      </c>
      <c r="J34" s="485">
        <f>IFERROR('Energy balance'!J16*'Data manipulation'!$Q34,0)</f>
        <v>0</v>
      </c>
      <c r="K34" s="486">
        <f>IFERROR('Energy balance'!K16*'Data manipulation'!$Q34,0)</f>
        <v>0</v>
      </c>
      <c r="L34" s="485">
        <f>IFERROR('Energy balance'!L16*'Data manipulation'!$Q34,0)</f>
        <v>0</v>
      </c>
      <c r="M34" s="483">
        <f>IFERROR('Energy balance'!M16*'Data manipulation'!$Q34,0)</f>
        <v>0</v>
      </c>
      <c r="N34" s="484">
        <f>IFERROR('Energy balance'!N16*'Data manipulation'!$Q34,0)</f>
        <v>0</v>
      </c>
      <c r="O34" s="484">
        <f>IFERROR('Energy balance'!O16*'Data manipulation'!$Q34,0)</f>
        <v>0</v>
      </c>
      <c r="Q34" s="106">
        <v>0</v>
      </c>
      <c r="V34" s="9">
        <f>SUM(Dem!F41:H41)</f>
        <v>38.814746624704867</v>
      </c>
      <c r="W34" s="106" t="s">
        <v>748</v>
      </c>
    </row>
    <row r="35" spans="1:25" ht="14">
      <c r="A35" s="106" t="s">
        <v>738</v>
      </c>
      <c r="B35" s="315" t="s">
        <v>219</v>
      </c>
      <c r="C35" s="485">
        <f>IFERROR('Energy balance'!C17*'Data manipulation'!$Q35,0)</f>
        <v>0</v>
      </c>
      <c r="D35" s="485">
        <f>IFERROR('Energy balance'!D17*'Data manipulation'!$Q35,0)</f>
        <v>0</v>
      </c>
      <c r="E35" s="485">
        <f>IFERROR('Energy balance'!E17*'Data manipulation'!$Q35,0)</f>
        <v>0</v>
      </c>
      <c r="F35" s="485">
        <f>IFERROR('Energy balance'!F17*'Data manipulation'!$Q35,0)</f>
        <v>0</v>
      </c>
      <c r="G35" s="485">
        <f>IFERROR('Energy balance'!G17*'Data manipulation'!$Q35,0)</f>
        <v>0</v>
      </c>
      <c r="H35" s="485">
        <f>IFERROR('Energy balance'!H17*'Data manipulation'!$Q35,0)</f>
        <v>0</v>
      </c>
      <c r="I35" s="485">
        <f>IFERROR('Energy balance'!I17*'Data manipulation'!$Q35,0)</f>
        <v>0</v>
      </c>
      <c r="J35" s="485">
        <f>IFERROR('Energy balance'!J17*'Data manipulation'!$Q35,0)</f>
        <v>0</v>
      </c>
      <c r="K35" s="486">
        <f>IFERROR('Energy balance'!K17*'Data manipulation'!$Q35,0)</f>
        <v>0</v>
      </c>
      <c r="L35" s="485">
        <f>IFERROR('Energy balance'!L17*'Data manipulation'!$Q35,0)</f>
        <v>0</v>
      </c>
      <c r="M35" s="483">
        <f>IFERROR('Energy balance'!M17*'Data manipulation'!$Q35,0)</f>
        <v>0</v>
      </c>
      <c r="N35" s="484">
        <f>IFERROR('Energy balance'!N17*'Data manipulation'!$Q35,0)</f>
        <v>0</v>
      </c>
      <c r="O35" s="484">
        <f>IFERROR('Energy balance'!O17*'Data manipulation'!$Q35,0)</f>
        <v>0</v>
      </c>
      <c r="Q35" s="106">
        <v>0</v>
      </c>
      <c r="V35" s="9">
        <f>SUM(Dem!F42:H42)</f>
        <v>69.948810601126226</v>
      </c>
      <c r="W35" s="106" t="s">
        <v>750</v>
      </c>
    </row>
    <row r="36" spans="1:25" ht="14">
      <c r="A36" s="106" t="s">
        <v>738</v>
      </c>
      <c r="B36" s="315" t="s">
        <v>80</v>
      </c>
      <c r="C36" s="485">
        <f>IFERROR('Energy balance'!C18*'Data manipulation'!$Q36,0)</f>
        <v>67653.599999999991</v>
      </c>
      <c r="D36" s="485">
        <f>IFERROR('Energy balance'!D18*'Data manipulation'!$Q36,0)</f>
        <v>84051.17</v>
      </c>
      <c r="E36" s="551">
        <f>IFERROR('Energy balance'!E18*'Data manipulation'!$Q36,0)</f>
        <v>76274.87</v>
      </c>
      <c r="F36" s="487">
        <f>IFERROR('Energy balance'!F18*'Data manipulation'!$Q36,0)</f>
        <v>78687.56</v>
      </c>
      <c r="G36" s="487">
        <f>IFERROR('Energy balance'!G18*'Data manipulation'!$Q36,0)</f>
        <v>79483.179999999993</v>
      </c>
      <c r="H36" s="487">
        <f>IFERROR('Energy balance'!H18*'Data manipulation'!$Q36,0)</f>
        <v>65325.539999999994</v>
      </c>
      <c r="I36" s="488">
        <f>IFERROR('Energy balance'!I18*'Data manipulation'!$Q36,0)</f>
        <v>63077.979999999989</v>
      </c>
      <c r="J36" s="488">
        <f>IFERROR('Energy balance'!J18*'Data manipulation'!$Q36,0)</f>
        <v>70433.02</v>
      </c>
      <c r="K36" s="488">
        <f>IFERROR('Energy balance'!K18*'Data manipulation'!$Q36,0)</f>
        <v>75209.61</v>
      </c>
      <c r="L36" s="488">
        <f>IFERROR('Energy balance'!L18*'Data manipulation'!$Q36,0)</f>
        <v>87136.209999999992</v>
      </c>
      <c r="M36" s="489">
        <f>IFERROR('Energy balance'!M18*'Data manipulation'!$Q36,0)</f>
        <v>77282.17</v>
      </c>
      <c r="N36" s="490">
        <f>IFERROR('Energy balance'!N18*'Data manipulation'!$Q36,0)</f>
        <v>83540.73</v>
      </c>
      <c r="O36" s="490">
        <f>IFERROR('Energy balance'!O18*'Data manipulation'!$Q36,0)</f>
        <v>90690.67</v>
      </c>
      <c r="Q36" s="106">
        <v>0.7</v>
      </c>
      <c r="V36" s="9">
        <f>SUM(Dem!F43:H43)</f>
        <v>47.632350534994167</v>
      </c>
      <c r="W36" s="106" t="s">
        <v>749</v>
      </c>
    </row>
    <row r="37" spans="1:25" ht="14">
      <c r="A37" s="106" t="s">
        <v>738</v>
      </c>
      <c r="B37" s="315" t="s">
        <v>220</v>
      </c>
      <c r="C37" s="485">
        <f>IFERROR('Energy balance'!C19*'Data manipulation'!$Q37,0)</f>
        <v>1078.5</v>
      </c>
      <c r="D37" s="485">
        <f>IFERROR('Energy balance'!D19*'Data manipulation'!$Q37,0)</f>
        <v>1219.7</v>
      </c>
      <c r="E37" s="485">
        <f>IFERROR('Energy balance'!E19*'Data manipulation'!$Q37,0)</f>
        <v>1296.7</v>
      </c>
      <c r="F37" s="485">
        <f>IFERROR('Energy balance'!F19*'Data manipulation'!$Q37,0)</f>
        <v>1371.2</v>
      </c>
      <c r="G37" s="485">
        <f>IFERROR('Energy balance'!G19*'Data manipulation'!$Q37,0)</f>
        <v>2034</v>
      </c>
      <c r="H37" s="485">
        <f>IFERROR('Energy balance'!H19*'Data manipulation'!$Q37,0)</f>
        <v>2436.4</v>
      </c>
      <c r="I37" s="488">
        <f>IFERROR('Energy balance'!I19*'Data manipulation'!$Q37,0)</f>
        <v>2927.6</v>
      </c>
      <c r="J37" s="488">
        <f>IFERROR('Energy balance'!J19*'Data manipulation'!$Q37,0)</f>
        <v>3928.7</v>
      </c>
      <c r="K37" s="488">
        <f>IFERROR('Energy balance'!K19*'Data manipulation'!$Q37,0)</f>
        <v>4264.8999999999996</v>
      </c>
      <c r="L37" s="488">
        <f>IFERROR('Energy balance'!L19*'Data manipulation'!$Q37,0)</f>
        <v>4821.7</v>
      </c>
      <c r="M37" s="491">
        <f>IFERROR('Energy balance'!M19*'Data manipulation'!$Q37,0)</f>
        <v>4732.6000000000004</v>
      </c>
      <c r="N37" s="492">
        <f>IFERROR('Energy balance'!N19*'Data manipulation'!$Q37,0)</f>
        <v>5051.2</v>
      </c>
      <c r="O37" s="492">
        <f>IFERROR('Energy balance'!O19*'Data manipulation'!$Q37,0)</f>
        <v>5062.1000000000004</v>
      </c>
      <c r="Q37" s="106">
        <v>1</v>
      </c>
      <c r="V37" s="9">
        <f>SUM(Dem!F44:H44)</f>
        <v>3.6040922391747472</v>
      </c>
      <c r="W37" s="106" t="s">
        <v>751</v>
      </c>
    </row>
    <row r="38" spans="1:25" ht="14">
      <c r="A38" s="106" t="s">
        <v>738</v>
      </c>
      <c r="B38" s="315" t="s">
        <v>79</v>
      </c>
      <c r="C38" s="493">
        <f>IFERROR('Energy balance'!C20*'Data manipulation'!$Q38,0)</f>
        <v>0</v>
      </c>
      <c r="D38" s="485">
        <f>IFERROR('Energy balance'!D20*'Data manipulation'!$Q38,0)</f>
        <v>0</v>
      </c>
      <c r="E38" s="485">
        <f>IFERROR('Energy balance'!E20*'Data manipulation'!$Q38,0)</f>
        <v>0</v>
      </c>
      <c r="F38" s="485">
        <f>IFERROR('Energy balance'!F20*'Data manipulation'!$Q38,0)</f>
        <v>0</v>
      </c>
      <c r="G38" s="488">
        <f>IFERROR('Energy balance'!G20*'Data manipulation'!$Q38,0)</f>
        <v>0</v>
      </c>
      <c r="H38" s="488">
        <f>IFERROR('Energy balance'!H20*'Data manipulation'!$Q38,0)</f>
        <v>0</v>
      </c>
      <c r="I38" s="488">
        <f>IFERROR('Energy balance'!I20*'Data manipulation'!$Q38,0)</f>
        <v>0</v>
      </c>
      <c r="J38" s="488">
        <f>IFERROR('Energy balance'!J20*'Data manipulation'!$Q38,0)</f>
        <v>0</v>
      </c>
      <c r="K38" s="488">
        <f>IFERROR('Energy balance'!K20*'Data manipulation'!$Q38,0)</f>
        <v>0</v>
      </c>
      <c r="L38" s="488">
        <f>IFERROR('Energy balance'!L20*'Data manipulation'!$Q38,0)</f>
        <v>0</v>
      </c>
      <c r="M38" s="489">
        <f>IFERROR('Energy balance'!M20*'Data manipulation'!$Q38,0)</f>
        <v>0</v>
      </c>
      <c r="N38" s="490">
        <f>IFERROR('Energy balance'!N20*'Data manipulation'!$Q38,0)</f>
        <v>0</v>
      </c>
      <c r="O38" s="490">
        <f>IFERROR('Energy balance'!O20*'Data manipulation'!$Q38,0)</f>
        <v>0</v>
      </c>
      <c r="Q38" s="106">
        <v>0</v>
      </c>
    </row>
    <row r="39" spans="1:25" ht="14">
      <c r="A39" s="106" t="s">
        <v>738</v>
      </c>
      <c r="B39" s="315" t="s">
        <v>221</v>
      </c>
      <c r="C39" s="485">
        <f>IFERROR('Energy balance'!C21*'Data manipulation'!$Q39,0)</f>
        <v>2925.6</v>
      </c>
      <c r="D39" s="485">
        <f>IFERROR('Energy balance'!D21*'Data manipulation'!$Q39,0)</f>
        <v>2749</v>
      </c>
      <c r="E39" s="487">
        <f>IFERROR('Energy balance'!E21*'Data manipulation'!$Q39,0)</f>
        <v>2236.1999999999998</v>
      </c>
      <c r="F39" s="487">
        <f>IFERROR('Energy balance'!F21*'Data manipulation'!$Q39,0)</f>
        <v>3045.4</v>
      </c>
      <c r="G39" s="487">
        <f>IFERROR('Energy balance'!G21*'Data manipulation'!$Q39,0)</f>
        <v>3207.2</v>
      </c>
      <c r="H39" s="487">
        <f>IFERROR('Energy balance'!H21*'Data manipulation'!$Q39,0)</f>
        <v>3259.8</v>
      </c>
      <c r="I39" s="488">
        <f>IFERROR('Energy balance'!I21*'Data manipulation'!$Q39,0)</f>
        <v>2872.6</v>
      </c>
      <c r="J39" s="488">
        <f>IFERROR('Energy balance'!J21*'Data manipulation'!$Q39,0)</f>
        <v>2314</v>
      </c>
      <c r="K39" s="488">
        <f>IFERROR('Energy balance'!K21*'Data manipulation'!$Q39,0)</f>
        <v>2066</v>
      </c>
      <c r="L39" s="488">
        <f>IFERROR('Energy balance'!L21*'Data manipulation'!$Q39,0)</f>
        <v>483.4</v>
      </c>
      <c r="M39" s="489">
        <f>IFERROR('Energy balance'!M21*'Data manipulation'!$Q39,0)</f>
        <v>554.79999999999995</v>
      </c>
      <c r="N39" s="490">
        <f>IFERROR('Energy balance'!N21*'Data manipulation'!$Q39,0)</f>
        <v>470.8</v>
      </c>
      <c r="O39" s="490">
        <f>IFERROR('Energy balance'!O21*'Data manipulation'!$Q39,0)</f>
        <v>414</v>
      </c>
      <c r="Q39" s="106">
        <v>1</v>
      </c>
      <c r="V39" s="9">
        <f>($V$34/V30+$V$35/$V$30+$V$36/V31+$V$37/$V$31)</f>
        <v>78.190969072359763</v>
      </c>
      <c r="W39" s="106" t="s">
        <v>735</v>
      </c>
    </row>
    <row r="40" spans="1:25" ht="15" thickBot="1">
      <c r="A40" s="106" t="s">
        <v>738</v>
      </c>
      <c r="B40" s="327" t="s">
        <v>222</v>
      </c>
      <c r="C40" s="494">
        <f>IFERROR('Energy balance'!C22*'Data manipulation'!$Q40,0)</f>
        <v>0</v>
      </c>
      <c r="D40" s="494">
        <f>IFERROR('Energy balance'!D22*'Data manipulation'!$Q40,0)</f>
        <v>0</v>
      </c>
      <c r="E40" s="494">
        <f>IFERROR('Energy balance'!E22*'Data manipulation'!$Q40,0)</f>
        <v>0</v>
      </c>
      <c r="F40" s="494">
        <f>IFERROR('Energy balance'!F22*'Data manipulation'!$Q40,0)</f>
        <v>0</v>
      </c>
      <c r="G40" s="494">
        <f>IFERROR('Energy balance'!G22*'Data manipulation'!$Q40,0)</f>
        <v>0</v>
      </c>
      <c r="H40" s="494">
        <f>IFERROR('Energy balance'!H22*'Data manipulation'!$Q40,0)</f>
        <v>0</v>
      </c>
      <c r="I40" s="494">
        <f>IFERROR('Energy balance'!I22*'Data manipulation'!$Q40,0)</f>
        <v>0</v>
      </c>
      <c r="J40" s="494">
        <f>IFERROR('Energy balance'!J22*'Data manipulation'!$Q40,0)</f>
        <v>0</v>
      </c>
      <c r="K40" s="494">
        <f>IFERROR('Energy balance'!K22*'Data manipulation'!$Q40,0)</f>
        <v>0</v>
      </c>
      <c r="L40" s="494">
        <f>IFERROR('Energy balance'!L22*'Data manipulation'!$Q40,0)</f>
        <v>0</v>
      </c>
      <c r="M40" s="495">
        <f>IFERROR('Energy balance'!M22*'Data manipulation'!$Q40,0)</f>
        <v>0</v>
      </c>
      <c r="N40" s="496">
        <f>IFERROR('Energy balance'!N22*'Data manipulation'!$Q40,0)</f>
        <v>8.4</v>
      </c>
      <c r="O40" s="496">
        <f>IFERROR('Energy balance'!O22*'Data manipulation'!$Q40,0)</f>
        <v>44.099999999999994</v>
      </c>
      <c r="Q40" s="106">
        <v>1</v>
      </c>
      <c r="V40" s="479">
        <f>ROUND((V34/V30)/V39,3)</f>
        <v>0.25600000000000001</v>
      </c>
      <c r="W40" s="106" t="s">
        <v>758</v>
      </c>
      <c r="X40" s="106" t="s">
        <v>116</v>
      </c>
      <c r="Y40" s="106" t="s">
        <v>713</v>
      </c>
    </row>
    <row r="41" spans="1:25" ht="14">
      <c r="A41" s="106" t="s">
        <v>738</v>
      </c>
      <c r="B41" s="364" t="s">
        <v>106</v>
      </c>
      <c r="C41" s="365">
        <f t="shared" ref="C41:N41" si="3">SUM(C23:C40)</f>
        <v>75276.61</v>
      </c>
      <c r="D41" s="365">
        <f t="shared" si="3"/>
        <v>91784.569999999992</v>
      </c>
      <c r="E41" s="365">
        <f t="shared" si="3"/>
        <v>82358.509999999995</v>
      </c>
      <c r="F41" s="365">
        <f t="shared" si="3"/>
        <v>85480.349999999991</v>
      </c>
      <c r="G41" s="365">
        <f t="shared" si="3"/>
        <v>86694.299999999988</v>
      </c>
      <c r="H41" s="365">
        <f t="shared" si="3"/>
        <v>72830.829999999987</v>
      </c>
      <c r="I41" s="365">
        <f t="shared" si="3"/>
        <v>70478.099999999991</v>
      </c>
      <c r="J41" s="365">
        <f t="shared" si="3"/>
        <v>78007.28</v>
      </c>
      <c r="K41" s="365">
        <f t="shared" si="3"/>
        <v>82562.78</v>
      </c>
      <c r="L41" s="365">
        <f t="shared" si="3"/>
        <v>93161.449999999983</v>
      </c>
      <c r="M41" s="365">
        <f t="shared" si="3"/>
        <v>83125.680000000008</v>
      </c>
      <c r="N41" s="365">
        <f t="shared" si="3"/>
        <v>89602.549999999988</v>
      </c>
      <c r="O41" s="365">
        <f t="shared" ref="O41" si="4">SUM(O23:O40)</f>
        <v>96632.330000000016</v>
      </c>
      <c r="V41" s="479">
        <f>ROUND((V35/V30)/V39,3)</f>
        <v>0.46100000000000002</v>
      </c>
      <c r="W41" s="106" t="s">
        <v>758</v>
      </c>
      <c r="X41" s="106" t="s">
        <v>116</v>
      </c>
      <c r="Y41" s="106" t="s">
        <v>714</v>
      </c>
    </row>
    <row r="42" spans="1:25">
      <c r="V42" s="479">
        <f>ROUND((V36/V31)/V39,3)</f>
        <v>0.26400000000000001</v>
      </c>
      <c r="W42" s="106" t="s">
        <v>758</v>
      </c>
      <c r="X42" s="106" t="s">
        <v>757</v>
      </c>
      <c r="Y42" s="106" t="s">
        <v>713</v>
      </c>
    </row>
    <row r="43" spans="1:25" ht="17" thickBot="1">
      <c r="B43" s="358" t="s">
        <v>275</v>
      </c>
      <c r="V43" s="479">
        <f>ROUND((V37/V31)/V39,3)</f>
        <v>0.02</v>
      </c>
      <c r="W43" s="106" t="s">
        <v>758</v>
      </c>
      <c r="X43" s="106" t="s">
        <v>757</v>
      </c>
      <c r="Y43" s="106" t="s">
        <v>714</v>
      </c>
    </row>
    <row r="44" spans="1:25" ht="15" thickBot="1">
      <c r="B44" s="304"/>
      <c r="C44" s="305">
        <v>2007</v>
      </c>
      <c r="D44" s="306">
        <v>2008</v>
      </c>
      <c r="E44" s="306">
        <v>2009</v>
      </c>
      <c r="F44" s="306">
        <v>2010</v>
      </c>
      <c r="G44" s="306">
        <v>2011</v>
      </c>
      <c r="H44" s="306">
        <v>2012</v>
      </c>
      <c r="I44" s="306">
        <v>2013</v>
      </c>
      <c r="J44" s="306">
        <v>2014</v>
      </c>
      <c r="K44" s="306">
        <v>2015</v>
      </c>
      <c r="L44" s="306">
        <v>2016</v>
      </c>
      <c r="M44" s="307">
        <v>2017</v>
      </c>
      <c r="N44" s="308">
        <v>2018</v>
      </c>
      <c r="O44" s="308">
        <v>2019</v>
      </c>
      <c r="V44" s="533"/>
    </row>
    <row r="45" spans="1:25" ht="14">
      <c r="A45" s="106" t="s">
        <v>289</v>
      </c>
      <c r="B45" s="310" t="s">
        <v>206</v>
      </c>
      <c r="C45" s="481">
        <f>IFERROR('Energy balance'!C5*$Q45,0)</f>
        <v>0</v>
      </c>
      <c r="D45" s="481">
        <f>IFERROR('Energy balance'!D5*$Q45,0)</f>
        <v>0</v>
      </c>
      <c r="E45" s="481">
        <f>IFERROR('Energy balance'!E5*$Q45,0)</f>
        <v>0</v>
      </c>
      <c r="F45" s="481">
        <f>IFERROR('Energy balance'!F5*$Q45,0)</f>
        <v>0</v>
      </c>
      <c r="G45" s="481">
        <f>IFERROR('Energy balance'!G5*$Q45,0)</f>
        <v>0</v>
      </c>
      <c r="H45" s="482">
        <f>IFERROR('Energy balance'!H5*$Q45,0)</f>
        <v>0</v>
      </c>
      <c r="I45" s="482">
        <f>IFERROR('Energy balance'!I5*$Q45,0)</f>
        <v>0</v>
      </c>
      <c r="J45" s="482">
        <f>IFERROR('Energy balance'!J5*$Q45,0)</f>
        <v>0</v>
      </c>
      <c r="K45" s="482">
        <f>IFERROR('Energy balance'!K5*$Q45,0)</f>
        <v>0</v>
      </c>
      <c r="L45" s="482">
        <f>IFERROR('Energy balance'!L5*$Q45,0)</f>
        <v>0</v>
      </c>
      <c r="M45" s="483">
        <f>IFERROR('Energy balance'!M5*$Q45,0)</f>
        <v>0</v>
      </c>
      <c r="N45" s="484">
        <f>IFERROR('Energy balance'!N5*$Q45,0)</f>
        <v>0</v>
      </c>
      <c r="O45" s="484">
        <f>IFERROR('Energy balance'!O5*$Q45,0)</f>
        <v>0</v>
      </c>
      <c r="Q45">
        <v>0</v>
      </c>
    </row>
    <row r="46" spans="1:25" ht="14">
      <c r="A46" s="106" t="s">
        <v>289</v>
      </c>
      <c r="B46" s="315" t="s">
        <v>208</v>
      </c>
      <c r="C46" s="485">
        <f>IFERROR('Energy balance'!C6*$Q46,0)</f>
        <v>0</v>
      </c>
      <c r="D46" s="485">
        <f>IFERROR('Energy balance'!D6*$Q46,0)</f>
        <v>0</v>
      </c>
      <c r="E46" s="485">
        <f>IFERROR('Energy balance'!E6*$Q46,0)</f>
        <v>0</v>
      </c>
      <c r="F46" s="485">
        <f>IFERROR('Energy balance'!F6*$Q46,0)</f>
        <v>0</v>
      </c>
      <c r="G46" s="485">
        <f>IFERROR('Energy balance'!G6*$Q46,0)</f>
        <v>0</v>
      </c>
      <c r="H46" s="486">
        <f>IFERROR('Energy balance'!H6*$Q46,0)</f>
        <v>0</v>
      </c>
      <c r="I46" s="486">
        <f>IFERROR('Energy balance'!I6*$Q46,0)</f>
        <v>0</v>
      </c>
      <c r="J46" s="486">
        <f>IFERROR('Energy balance'!J6*$Q46,0)</f>
        <v>0</v>
      </c>
      <c r="K46" s="486">
        <f>IFERROR('Energy balance'!K6*$Q46,0)</f>
        <v>0</v>
      </c>
      <c r="L46" s="486">
        <f>IFERROR('Energy balance'!L6*$Q46,0)</f>
        <v>0</v>
      </c>
      <c r="M46" s="483">
        <f>IFERROR('Energy balance'!M6*$Q46,0)</f>
        <v>0</v>
      </c>
      <c r="N46" s="484">
        <f>IFERROR('Energy balance'!N6*$Q46,0)</f>
        <v>0</v>
      </c>
      <c r="O46" s="484">
        <f>IFERROR('Energy balance'!O6*$Q46,0)</f>
        <v>0</v>
      </c>
      <c r="Q46">
        <v>0</v>
      </c>
      <c r="V46" s="526" t="s">
        <v>752</v>
      </c>
      <c r="W46" s="106" t="s">
        <v>753</v>
      </c>
    </row>
    <row r="47" spans="1:25" ht="14">
      <c r="A47" s="106" t="s">
        <v>289</v>
      </c>
      <c r="B47" s="315" t="s">
        <v>209</v>
      </c>
      <c r="C47" s="485">
        <f>IFERROR('Energy balance'!C7*$Q47,0)</f>
        <v>0</v>
      </c>
      <c r="D47" s="485">
        <f>IFERROR('Energy balance'!D7*$Q47,0)</f>
        <v>0</v>
      </c>
      <c r="E47" s="485">
        <f>IFERROR('Energy balance'!E7*$Q47,0)</f>
        <v>0</v>
      </c>
      <c r="F47" s="485">
        <f>IFERROR('Energy balance'!F7*$Q47,0)</f>
        <v>0</v>
      </c>
      <c r="G47" s="485">
        <f>IFERROR('Energy balance'!G7*$Q47,0)</f>
        <v>0</v>
      </c>
      <c r="H47" s="486">
        <f>IFERROR('Energy balance'!H7*$Q47,0)</f>
        <v>0</v>
      </c>
      <c r="I47" s="486">
        <f>IFERROR('Energy balance'!I7*$Q47,0)</f>
        <v>0</v>
      </c>
      <c r="J47" s="486">
        <f>IFERROR('Energy balance'!J7*$Q47,0)</f>
        <v>0</v>
      </c>
      <c r="K47" s="486">
        <f>IFERROR('Energy balance'!K7*$Q47,0)</f>
        <v>0</v>
      </c>
      <c r="L47" s="486">
        <f>IFERROR('Energy balance'!L7*$Q47,0)</f>
        <v>0</v>
      </c>
      <c r="M47" s="483">
        <f>IFERROR('Energy balance'!M7*$Q47,0)</f>
        <v>0</v>
      </c>
      <c r="N47" s="484">
        <f>IFERROR('Energy balance'!N7*$Q47,0)</f>
        <v>0</v>
      </c>
      <c r="O47" s="484">
        <f>IFERROR('Energy balance'!O7*$Q47,0)</f>
        <v>0</v>
      </c>
      <c r="Q47">
        <v>0</v>
      </c>
      <c r="V47" s="479">
        <f>V40</f>
        <v>0.25600000000000001</v>
      </c>
      <c r="W47" s="106" t="s">
        <v>759</v>
      </c>
      <c r="X47" s="106" t="s">
        <v>116</v>
      </c>
      <c r="Y47" s="106" t="s">
        <v>713</v>
      </c>
    </row>
    <row r="48" spans="1:25" ht="14">
      <c r="A48" s="106" t="s">
        <v>289</v>
      </c>
      <c r="B48" s="315" t="s">
        <v>210</v>
      </c>
      <c r="C48" s="487">
        <f>IFERROR('Energy balance'!C8*$Q48,0)</f>
        <v>804.99961722488035</v>
      </c>
      <c r="D48" s="487">
        <f>IFERROR('Energy balance'!D8*$Q48,0)</f>
        <v>841.26315789473676</v>
      </c>
      <c r="E48" s="487">
        <f>IFERROR('Energy balance'!E8*$Q48,0)</f>
        <v>578.3046889952152</v>
      </c>
      <c r="F48" s="487">
        <f>IFERROR('Energy balance'!F8*$Q48,0)</f>
        <v>541.02143540669852</v>
      </c>
      <c r="G48" s="487">
        <f>IFERROR('Energy balance'!G8*$Q48,0)</f>
        <v>428.19444976076551</v>
      </c>
      <c r="H48" s="487">
        <f>IFERROR('Energy balance'!H8*$Q48,0)</f>
        <v>376.80516746411479</v>
      </c>
      <c r="I48" s="487">
        <f>IFERROR('Energy balance'!I8*$Q48,0)</f>
        <v>322.39923444976074</v>
      </c>
      <c r="J48" s="487">
        <f>IFERROR('Energy balance'!J8*$Q48,0)</f>
        <v>262.95846889952151</v>
      </c>
      <c r="K48" s="487">
        <f>IFERROR('Energy balance'!K8*$Q48,0)</f>
        <v>183.35712918660286</v>
      </c>
      <c r="L48" s="487">
        <f>IFERROR('Energy balance'!L8*$Q48,0)</f>
        <v>100.73913875598085</v>
      </c>
      <c r="M48" s="487">
        <f>IFERROR('Energy balance'!M8*$Q48,0)</f>
        <v>57.422583732057412</v>
      </c>
      <c r="N48" s="487">
        <f>IFERROR('Energy balance'!N8*$Q48,0)</f>
        <v>56.424114832535885</v>
      </c>
      <c r="O48" s="487">
        <f>IFERROR('Energy balance'!O8*$Q48,0)</f>
        <v>28.212057416267943</v>
      </c>
      <c r="Q48" s="362">
        <f>F11</f>
        <v>0.21244019138755979</v>
      </c>
      <c r="V48" s="479">
        <f>V41</f>
        <v>0.46100000000000002</v>
      </c>
      <c r="W48" s="106" t="s">
        <v>759</v>
      </c>
      <c r="X48" s="106" t="s">
        <v>116</v>
      </c>
      <c r="Y48" s="106" t="s">
        <v>714</v>
      </c>
    </row>
    <row r="49" spans="1:25" ht="14">
      <c r="A49" s="106" t="s">
        <v>289</v>
      </c>
      <c r="B49" s="315" t="s">
        <v>211</v>
      </c>
      <c r="C49" s="487">
        <f>IFERROR('Energy balance'!C9*$Q49,0)</f>
        <v>0</v>
      </c>
      <c r="D49" s="487">
        <f>IFERROR('Energy balance'!D9*$Q49,0)</f>
        <v>0</v>
      </c>
      <c r="E49" s="487">
        <f>IFERROR('Energy balance'!E9*$Q49,0)</f>
        <v>0</v>
      </c>
      <c r="F49" s="487">
        <f>IFERROR('Energy balance'!F9*$Q49,0)</f>
        <v>0</v>
      </c>
      <c r="G49" s="487">
        <f>IFERROR('Energy balance'!G9*$Q49,0)</f>
        <v>0</v>
      </c>
      <c r="H49" s="487">
        <f>IFERROR('Energy balance'!H9*$Q49,0)</f>
        <v>0</v>
      </c>
      <c r="I49" s="488">
        <f>IFERROR('Energy balance'!I9*$Q49,0)</f>
        <v>0</v>
      </c>
      <c r="J49" s="488">
        <f>IFERROR('Energy balance'!J9*$Q49,0)</f>
        <v>0</v>
      </c>
      <c r="K49" s="488">
        <f>IFERROR('Energy balance'!K9*$Q49,0)</f>
        <v>0</v>
      </c>
      <c r="L49" s="488">
        <f>IFERROR('Energy balance'!L9*$Q49,0)</f>
        <v>0</v>
      </c>
      <c r="M49" s="489">
        <f>IFERROR('Energy balance'!M9*$Q49,0)</f>
        <v>0</v>
      </c>
      <c r="N49" s="490">
        <f>IFERROR('Energy balance'!N9*$Q49,0)</f>
        <v>0</v>
      </c>
      <c r="O49" s="490">
        <f>IFERROR('Energy balance'!O9*$Q49,0)</f>
        <v>0</v>
      </c>
      <c r="Q49" s="106">
        <v>0</v>
      </c>
      <c r="V49" s="479">
        <f>V42</f>
        <v>0.26400000000000001</v>
      </c>
      <c r="W49" s="106" t="s">
        <v>759</v>
      </c>
      <c r="X49" s="106" t="s">
        <v>757</v>
      </c>
      <c r="Y49" s="106" t="s">
        <v>713</v>
      </c>
    </row>
    <row r="50" spans="1:25" ht="14">
      <c r="A50" s="106" t="s">
        <v>289</v>
      </c>
      <c r="B50" s="315" t="s">
        <v>212</v>
      </c>
      <c r="C50" s="487">
        <f>IFERROR('Energy balance'!C10*$Q50,0)</f>
        <v>0</v>
      </c>
      <c r="D50" s="487">
        <f>IFERROR('Energy balance'!D10*$Q50,0)</f>
        <v>0</v>
      </c>
      <c r="E50" s="487">
        <f>IFERROR('Energy balance'!E10*$Q50,0)</f>
        <v>0</v>
      </c>
      <c r="F50" s="487">
        <f>IFERROR('Energy balance'!F10*$Q50,0)</f>
        <v>0</v>
      </c>
      <c r="G50" s="487">
        <f>IFERROR('Energy balance'!G10*$Q50,0)</f>
        <v>0</v>
      </c>
      <c r="H50" s="487">
        <f>IFERROR('Energy balance'!H10*$Q50,0)</f>
        <v>0</v>
      </c>
      <c r="I50" s="485">
        <f>IFERROR('Energy balance'!I10*$Q50,0)</f>
        <v>0</v>
      </c>
      <c r="J50" s="485">
        <f>IFERROR('Energy balance'!J10*$Q50,0)</f>
        <v>0</v>
      </c>
      <c r="K50" s="485">
        <f>IFERROR('Energy balance'!K10*$Q50,0)</f>
        <v>0</v>
      </c>
      <c r="L50" s="485">
        <f>IFERROR('Energy balance'!L10*$Q50,0)</f>
        <v>0</v>
      </c>
      <c r="M50" s="483">
        <f>IFERROR('Energy balance'!M10*$Q50,0)</f>
        <v>0</v>
      </c>
      <c r="N50" s="484">
        <f>IFERROR('Energy balance'!N10*$Q50,0)</f>
        <v>0</v>
      </c>
      <c r="O50" s="484">
        <f>IFERROR('Energy balance'!O10*$Q50,0)</f>
        <v>0</v>
      </c>
      <c r="Q50" s="106">
        <v>0</v>
      </c>
      <c r="V50" s="479">
        <f t="shared" ref="V50" si="5">V43</f>
        <v>0.02</v>
      </c>
      <c r="W50" s="106" t="s">
        <v>759</v>
      </c>
      <c r="X50" s="106" t="s">
        <v>757</v>
      </c>
      <c r="Y50" s="106" t="s">
        <v>714</v>
      </c>
    </row>
    <row r="51" spans="1:25" ht="14">
      <c r="A51" s="106" t="s">
        <v>289</v>
      </c>
      <c r="B51" s="315" t="s">
        <v>213</v>
      </c>
      <c r="C51" s="487">
        <f>IFERROR('Energy balance'!C11*$Q51,0)</f>
        <v>0</v>
      </c>
      <c r="D51" s="487">
        <f>IFERROR('Energy balance'!D11*$Q51,0)</f>
        <v>0</v>
      </c>
      <c r="E51" s="487">
        <f>IFERROR('Energy balance'!E11*$Q51,0)</f>
        <v>0</v>
      </c>
      <c r="F51" s="487">
        <f>IFERROR('Energy balance'!F11*$Q51,0)</f>
        <v>0</v>
      </c>
      <c r="G51" s="487">
        <f>IFERROR('Energy balance'!G11*$Q51,0)</f>
        <v>0</v>
      </c>
      <c r="H51" s="487">
        <f>IFERROR('Energy balance'!H11*$Q51,0)</f>
        <v>0</v>
      </c>
      <c r="I51" s="488">
        <f>IFERROR('Energy balance'!I11*$Q51,0)</f>
        <v>0</v>
      </c>
      <c r="J51" s="488">
        <f>IFERROR('Energy balance'!J11*$Q51,0)</f>
        <v>0</v>
      </c>
      <c r="K51" s="488">
        <f>IFERROR('Energy balance'!K11*$Q51,0)</f>
        <v>0</v>
      </c>
      <c r="L51" s="488">
        <f>IFERROR('Energy balance'!L11*$Q51,0)</f>
        <v>0</v>
      </c>
      <c r="M51" s="489">
        <f>IFERROR('Energy balance'!M11*$Q51,0)</f>
        <v>0</v>
      </c>
      <c r="N51" s="490">
        <f>IFERROR('Energy balance'!N11*$Q51,0)</f>
        <v>0</v>
      </c>
      <c r="O51" s="490">
        <f>IFERROR('Energy balance'!O11*$Q51,0)</f>
        <v>0</v>
      </c>
      <c r="Q51" s="106">
        <v>0</v>
      </c>
    </row>
    <row r="52" spans="1:25" ht="15">
      <c r="A52" s="106" t="s">
        <v>289</v>
      </c>
      <c r="B52" s="324" t="s">
        <v>214</v>
      </c>
      <c r="C52" s="487">
        <f>IFERROR('Energy balance'!C12*$Q52,0)</f>
        <v>0</v>
      </c>
      <c r="D52" s="487">
        <f>IFERROR('Energy balance'!D12*$Q52,0)</f>
        <v>0</v>
      </c>
      <c r="E52" s="487">
        <f>IFERROR('Energy balance'!E12*$Q52,0)</f>
        <v>0</v>
      </c>
      <c r="F52" s="487">
        <f>IFERROR('Energy balance'!F12*$Q52,0)</f>
        <v>0</v>
      </c>
      <c r="G52" s="487">
        <f>IFERROR('Energy balance'!G12*$Q52,0)</f>
        <v>0</v>
      </c>
      <c r="H52" s="487">
        <f>IFERROR('Energy balance'!H12*$Q52,0)</f>
        <v>0</v>
      </c>
      <c r="I52" s="488">
        <f>IFERROR('Energy balance'!I12*$Q52,0)</f>
        <v>0</v>
      </c>
      <c r="J52" s="488">
        <f>IFERROR('Energy balance'!J12*$Q52,0)</f>
        <v>0</v>
      </c>
      <c r="K52" s="488">
        <f>IFERROR('Energy balance'!K12*$Q52,0)</f>
        <v>0</v>
      </c>
      <c r="L52" s="488">
        <f>IFERROR('Energy balance'!L12*$Q52,0)</f>
        <v>0</v>
      </c>
      <c r="M52" s="489">
        <f>IFERROR('Energy balance'!M12*$Q52,0)</f>
        <v>0</v>
      </c>
      <c r="N52" s="490">
        <f>IFERROR('Energy balance'!N12*$Q52,0)</f>
        <v>0</v>
      </c>
      <c r="O52" s="490">
        <f>IFERROR('Energy balance'!O12*$Q52,0)</f>
        <v>0</v>
      </c>
      <c r="Q52" s="106">
        <v>0</v>
      </c>
    </row>
    <row r="53" spans="1:25" ht="15">
      <c r="A53" s="106" t="s">
        <v>289</v>
      </c>
      <c r="B53" s="324" t="s">
        <v>215</v>
      </c>
      <c r="C53" s="485">
        <f>IFERROR('Energy balance'!C13*$Q53,0)</f>
        <v>0</v>
      </c>
      <c r="D53" s="485">
        <f>IFERROR('Energy balance'!D13*$Q53,0)</f>
        <v>0</v>
      </c>
      <c r="E53" s="485">
        <f>IFERROR('Energy balance'!E13*$Q53,0)</f>
        <v>0</v>
      </c>
      <c r="F53" s="485">
        <f>IFERROR('Energy balance'!F13*$Q53,0)</f>
        <v>0</v>
      </c>
      <c r="G53" s="485">
        <f>IFERROR('Energy balance'!G13*$Q53,0)</f>
        <v>0</v>
      </c>
      <c r="H53" s="485">
        <f>IFERROR('Energy balance'!H13*$Q53,0)</f>
        <v>0</v>
      </c>
      <c r="I53" s="485">
        <f>IFERROR('Energy balance'!I13*$Q53,0)</f>
        <v>0</v>
      </c>
      <c r="J53" s="485">
        <f>IFERROR('Energy balance'!J13*$Q53,0)</f>
        <v>0</v>
      </c>
      <c r="K53" s="486">
        <f>IFERROR('Energy balance'!K13*$Q53,0)</f>
        <v>0</v>
      </c>
      <c r="L53" s="485">
        <f>IFERROR('Energy balance'!L13*$Q53,0)</f>
        <v>0</v>
      </c>
      <c r="M53" s="483">
        <f>IFERROR('Energy balance'!M13*$Q53,0)</f>
        <v>0</v>
      </c>
      <c r="N53" s="484">
        <f>IFERROR('Energy balance'!N13*$Q53,0)</f>
        <v>0</v>
      </c>
      <c r="O53" s="484">
        <f>IFERROR('Energy balance'!O13*$Q53,0)</f>
        <v>0</v>
      </c>
      <c r="Q53" s="106">
        <v>0</v>
      </c>
    </row>
    <row r="54" spans="1:25" ht="14">
      <c r="A54" s="106" t="s">
        <v>289</v>
      </c>
      <c r="B54" s="325" t="s">
        <v>216</v>
      </c>
      <c r="C54" s="485">
        <f>IFERROR('Energy balance'!C14*$Q54,0)</f>
        <v>0</v>
      </c>
      <c r="D54" s="485">
        <f>IFERROR('Energy balance'!D14*$Q54,0)</f>
        <v>0</v>
      </c>
      <c r="E54" s="485">
        <f>IFERROR('Energy balance'!E14*$Q54,0)</f>
        <v>0</v>
      </c>
      <c r="F54" s="485">
        <f>IFERROR('Energy balance'!F14*$Q54,0)</f>
        <v>0</v>
      </c>
      <c r="G54" s="485">
        <f>IFERROR('Energy balance'!G14*$Q54,0)</f>
        <v>0</v>
      </c>
      <c r="H54" s="485">
        <f>IFERROR('Energy balance'!H14*$Q54,0)</f>
        <v>0</v>
      </c>
      <c r="I54" s="485">
        <f>IFERROR('Energy balance'!I14*$Q54,0)</f>
        <v>0</v>
      </c>
      <c r="J54" s="485">
        <f>IFERROR('Energy balance'!J14*$Q54,0)</f>
        <v>0</v>
      </c>
      <c r="K54" s="486">
        <f>IFERROR('Energy balance'!K14*$Q54,0)</f>
        <v>0</v>
      </c>
      <c r="L54" s="485">
        <f>IFERROR('Energy balance'!L14*$Q54,0)</f>
        <v>0</v>
      </c>
      <c r="M54" s="483">
        <f>IFERROR('Energy balance'!M14*$Q54,0)</f>
        <v>0</v>
      </c>
      <c r="N54" s="484">
        <f>IFERROR('Energy balance'!N14*$Q54,0)</f>
        <v>0</v>
      </c>
      <c r="O54" s="484">
        <f>IFERROR('Energy balance'!O14*$Q54,0)</f>
        <v>0</v>
      </c>
      <c r="Q54" s="106">
        <v>0</v>
      </c>
    </row>
    <row r="55" spans="1:25" ht="14">
      <c r="A55" s="106" t="s">
        <v>289</v>
      </c>
      <c r="B55" s="325" t="s">
        <v>217</v>
      </c>
      <c r="C55" s="485">
        <f>IFERROR('Energy balance'!C15*$Q55,0)</f>
        <v>0</v>
      </c>
      <c r="D55" s="485">
        <f>IFERROR('Energy balance'!D15*$Q55,0)</f>
        <v>0</v>
      </c>
      <c r="E55" s="485">
        <f>IFERROR('Energy balance'!E15*$Q55,0)</f>
        <v>0</v>
      </c>
      <c r="F55" s="485">
        <f>IFERROR('Energy balance'!F15*$Q55,0)</f>
        <v>0</v>
      </c>
      <c r="G55" s="485">
        <f>IFERROR('Energy balance'!G15*$Q55,0)</f>
        <v>0</v>
      </c>
      <c r="H55" s="485">
        <f>IFERROR('Energy balance'!H15*$Q55,0)</f>
        <v>0</v>
      </c>
      <c r="I55" s="485">
        <f>IFERROR('Energy balance'!I15*$Q55,0)</f>
        <v>0</v>
      </c>
      <c r="J55" s="485">
        <f>IFERROR('Energy balance'!J15*$Q55,0)</f>
        <v>0</v>
      </c>
      <c r="K55" s="486">
        <f>IFERROR('Energy balance'!K15*$Q55,0)</f>
        <v>0</v>
      </c>
      <c r="L55" s="485">
        <f>IFERROR('Energy balance'!L15*$Q55,0)</f>
        <v>0</v>
      </c>
      <c r="M55" s="483">
        <f>IFERROR('Energy balance'!M15*$Q55,0)</f>
        <v>0</v>
      </c>
      <c r="N55" s="484">
        <f>IFERROR('Energy balance'!N15*$Q55,0)</f>
        <v>0</v>
      </c>
      <c r="O55" s="484">
        <f>IFERROR('Energy balance'!O15*$Q55,0)</f>
        <v>0</v>
      </c>
      <c r="Q55" s="106">
        <v>0</v>
      </c>
    </row>
    <row r="56" spans="1:25" ht="14">
      <c r="A56" s="106" t="s">
        <v>289</v>
      </c>
      <c r="B56" s="325" t="s">
        <v>218</v>
      </c>
      <c r="C56" s="485">
        <f>IFERROR('Energy balance'!C16*$Q56,0)</f>
        <v>0</v>
      </c>
      <c r="D56" s="485">
        <f>IFERROR('Energy balance'!D16*$Q56,0)</f>
        <v>0</v>
      </c>
      <c r="E56" s="485">
        <f>IFERROR('Energy balance'!E16*$Q56,0)</f>
        <v>0</v>
      </c>
      <c r="F56" s="485">
        <f>IFERROR('Energy balance'!F16*$Q56,0)</f>
        <v>0</v>
      </c>
      <c r="G56" s="485">
        <f>IFERROR('Energy balance'!G16*$Q56,0)</f>
        <v>0</v>
      </c>
      <c r="H56" s="485">
        <f>IFERROR('Energy balance'!H16*$Q56,0)</f>
        <v>0</v>
      </c>
      <c r="I56" s="485">
        <f>IFERROR('Energy balance'!I16*$Q56,0)</f>
        <v>0</v>
      </c>
      <c r="J56" s="485">
        <f>IFERROR('Energy balance'!J16*$Q56,0)</f>
        <v>0</v>
      </c>
      <c r="K56" s="486">
        <f>IFERROR('Energy balance'!K16*$Q56,0)</f>
        <v>0</v>
      </c>
      <c r="L56" s="485">
        <f>IFERROR('Energy balance'!L16*$Q56,0)</f>
        <v>0</v>
      </c>
      <c r="M56" s="483">
        <f>IFERROR('Energy balance'!M16*$Q56,0)</f>
        <v>0</v>
      </c>
      <c r="N56" s="484">
        <f>IFERROR('Energy balance'!N16*$Q56,0)</f>
        <v>0</v>
      </c>
      <c r="O56" s="484">
        <f>IFERROR('Energy balance'!O16*$Q56,0)</f>
        <v>0</v>
      </c>
      <c r="Q56" s="106">
        <v>0</v>
      </c>
    </row>
    <row r="57" spans="1:25" ht="14">
      <c r="A57" s="106" t="s">
        <v>289</v>
      </c>
      <c r="B57" s="315" t="s">
        <v>219</v>
      </c>
      <c r="C57" s="485">
        <f>IFERROR('Energy balance'!C17*$Q57,0)</f>
        <v>0</v>
      </c>
      <c r="D57" s="485">
        <f>IFERROR('Energy balance'!D17*$Q57,0)</f>
        <v>0</v>
      </c>
      <c r="E57" s="485">
        <f>IFERROR('Energy balance'!E17*$Q57,0)</f>
        <v>0</v>
      </c>
      <c r="F57" s="485">
        <f>IFERROR('Energy balance'!F17*$Q57,0)</f>
        <v>0</v>
      </c>
      <c r="G57" s="485">
        <f>IFERROR('Energy balance'!G17*$Q57,0)</f>
        <v>0</v>
      </c>
      <c r="H57" s="485">
        <f>IFERROR('Energy balance'!H17*$Q57,0)</f>
        <v>0</v>
      </c>
      <c r="I57" s="485">
        <f>IFERROR('Energy balance'!I17*$Q57,0)</f>
        <v>0</v>
      </c>
      <c r="J57" s="485">
        <f>IFERROR('Energy balance'!J17*$Q57,0)</f>
        <v>0</v>
      </c>
      <c r="K57" s="486">
        <f>IFERROR('Energy balance'!K17*$Q57,0)</f>
        <v>0</v>
      </c>
      <c r="L57" s="485">
        <f>IFERROR('Energy balance'!L17*$Q57,0)</f>
        <v>0</v>
      </c>
      <c r="M57" s="483">
        <f>IFERROR('Energy balance'!M17*$Q57,0)</f>
        <v>0</v>
      </c>
      <c r="N57" s="484">
        <f>IFERROR('Energy balance'!N17*$Q57,0)</f>
        <v>0</v>
      </c>
      <c r="O57" s="484">
        <f>IFERROR('Energy balance'!O17*$Q57,0)</f>
        <v>0</v>
      </c>
      <c r="Q57" s="106">
        <v>0</v>
      </c>
    </row>
    <row r="58" spans="1:25" ht="14">
      <c r="A58" s="106" t="s">
        <v>289</v>
      </c>
      <c r="B58" s="315" t="s">
        <v>80</v>
      </c>
      <c r="C58" s="485">
        <f>IFERROR('Energy balance'!C18*$Q58,0)</f>
        <v>20531.919617224878</v>
      </c>
      <c r="D58" s="485">
        <f>IFERROR('Energy balance'!D18*$Q58,0)</f>
        <v>25508.352344497605</v>
      </c>
      <c r="E58" s="487">
        <f>IFERROR('Energy balance'!E18*$Q58,0)</f>
        <v>23148.354258373205</v>
      </c>
      <c r="F58" s="487">
        <f>IFERROR('Energy balance'!F18*$Q58,0)</f>
        <v>23880.571866028706</v>
      </c>
      <c r="G58" s="487">
        <f>IFERROR('Energy balance'!G18*$Q58,0)</f>
        <v>24122.031387559804</v>
      </c>
      <c r="H58" s="487">
        <f>IFERROR('Energy balance'!H18*$Q58,0)</f>
        <v>19825.386028708133</v>
      </c>
      <c r="I58" s="488">
        <f>IFERROR('Energy balance'!I18*$Q58,0)</f>
        <v>19143.283062200953</v>
      </c>
      <c r="J58" s="488">
        <f>IFERROR('Energy balance'!J18*$Q58,0)</f>
        <v>21375.434641148324</v>
      </c>
      <c r="K58" s="488">
        <f>IFERROR('Energy balance'!K18*$Q58,0)</f>
        <v>22825.062775119615</v>
      </c>
      <c r="L58" s="488">
        <f>IFERROR('Energy balance'!L18*$Q58,0)</f>
        <v>26444.61875598086</v>
      </c>
      <c r="M58" s="489">
        <f>IFERROR('Energy balance'!M18*$Q58,0)</f>
        <v>23454.055693779905</v>
      </c>
      <c r="N58" s="490">
        <f>IFERROR('Energy balance'!N18*$Q58,0)</f>
        <v>25353.440956937797</v>
      </c>
      <c r="O58" s="490">
        <f>IFERROR('Energy balance'!O18*$Q58,0)</f>
        <v>27523.347559808612</v>
      </c>
      <c r="Q58" s="362">
        <f>F11</f>
        <v>0.21244019138755979</v>
      </c>
    </row>
    <row r="59" spans="1:25" ht="14">
      <c r="A59" s="106" t="s">
        <v>289</v>
      </c>
      <c r="B59" s="315" t="s">
        <v>220</v>
      </c>
      <c r="C59" s="485">
        <f>IFERROR('Energy balance'!C19*$Q59,0)</f>
        <v>0</v>
      </c>
      <c r="D59" s="485">
        <f>IFERROR('Energy balance'!D19*$Q59,0)</f>
        <v>0</v>
      </c>
      <c r="E59" s="485">
        <f>IFERROR('Energy balance'!E19*$Q59,0)</f>
        <v>0</v>
      </c>
      <c r="F59" s="485">
        <f>IFERROR('Energy balance'!F19*$Q59,0)</f>
        <v>0</v>
      </c>
      <c r="G59" s="485">
        <f>IFERROR('Energy balance'!G19*$Q59,0)</f>
        <v>0</v>
      </c>
      <c r="H59" s="485">
        <f>IFERROR('Energy balance'!H19*$Q59,0)</f>
        <v>0</v>
      </c>
      <c r="I59" s="488">
        <f>IFERROR('Energy balance'!I19*$Q59,0)</f>
        <v>0</v>
      </c>
      <c r="J59" s="488">
        <f>IFERROR('Energy balance'!J19*$Q59,0)</f>
        <v>0</v>
      </c>
      <c r="K59" s="488">
        <f>IFERROR('Energy balance'!K19*$Q59,0)</f>
        <v>0</v>
      </c>
      <c r="L59" s="488">
        <f>IFERROR('Energy balance'!L19*$Q59,0)</f>
        <v>0</v>
      </c>
      <c r="M59" s="491">
        <f>IFERROR('Energy balance'!M19*$Q59,0)</f>
        <v>0</v>
      </c>
      <c r="N59" s="492">
        <f>IFERROR('Energy balance'!N19*$Q59,0)</f>
        <v>0</v>
      </c>
      <c r="O59" s="492">
        <f>IFERROR('Energy balance'!O19*$Q59,0)</f>
        <v>0</v>
      </c>
      <c r="Q59" s="106">
        <v>0</v>
      </c>
    </row>
    <row r="60" spans="1:25" ht="14">
      <c r="A60" s="106" t="s">
        <v>289</v>
      </c>
      <c r="B60" s="315" t="s">
        <v>79</v>
      </c>
      <c r="C60" s="493">
        <f>IFERROR('Energy balance'!C20*$Q60,0)</f>
        <v>0</v>
      </c>
      <c r="D60" s="485">
        <f>IFERROR('Energy balance'!D20*$Q60,0)</f>
        <v>0</v>
      </c>
      <c r="E60" s="485">
        <f>IFERROR('Energy balance'!E20*$Q60,0)</f>
        <v>0</v>
      </c>
      <c r="F60" s="485">
        <f>IFERROR('Energy balance'!F20*$Q60,0)</f>
        <v>0</v>
      </c>
      <c r="G60" s="488">
        <f>IFERROR('Energy balance'!G20*$Q60,0)</f>
        <v>0</v>
      </c>
      <c r="H60" s="488">
        <f>IFERROR('Energy balance'!H20*$Q60,0)</f>
        <v>0</v>
      </c>
      <c r="I60" s="488">
        <f>IFERROR('Energy balance'!I20*$Q60,0)</f>
        <v>0</v>
      </c>
      <c r="J60" s="488">
        <f>IFERROR('Energy balance'!J20*$Q60,0)</f>
        <v>0</v>
      </c>
      <c r="K60" s="488">
        <f>IFERROR('Energy balance'!K20*$Q60,0)</f>
        <v>0</v>
      </c>
      <c r="L60" s="488">
        <f>IFERROR('Energy balance'!L20*$Q60,0)</f>
        <v>0</v>
      </c>
      <c r="M60" s="489">
        <f>IFERROR('Energy balance'!M20*$Q60,0)</f>
        <v>0</v>
      </c>
      <c r="N60" s="490">
        <f>IFERROR('Energy balance'!N20*$Q60,0)</f>
        <v>0</v>
      </c>
      <c r="O60" s="490">
        <f>IFERROR('Energy balance'!O20*$Q60,0)</f>
        <v>0</v>
      </c>
      <c r="Q60" s="363">
        <f>F5</f>
        <v>0</v>
      </c>
    </row>
    <row r="61" spans="1:25" ht="14">
      <c r="A61" s="106" t="s">
        <v>289</v>
      </c>
      <c r="B61" s="315" t="s">
        <v>221</v>
      </c>
      <c r="C61" s="485">
        <f>IFERROR('Energy balance'!C21*$Q61,0)</f>
        <v>0</v>
      </c>
      <c r="D61" s="485">
        <f>IFERROR('Energy balance'!D21*$Q61,0)</f>
        <v>0</v>
      </c>
      <c r="E61" s="487">
        <f>IFERROR('Energy balance'!E21*$Q61,0)</f>
        <v>0</v>
      </c>
      <c r="F61" s="487">
        <f>IFERROR('Energy balance'!F21*$Q61,0)</f>
        <v>0</v>
      </c>
      <c r="G61" s="487">
        <f>IFERROR('Energy balance'!G21*$Q61,0)</f>
        <v>0</v>
      </c>
      <c r="H61" s="487">
        <f>IFERROR('Energy balance'!H21*$Q61,0)</f>
        <v>0</v>
      </c>
      <c r="I61" s="488">
        <f>IFERROR('Energy balance'!I21*$Q61,0)</f>
        <v>0</v>
      </c>
      <c r="J61" s="488">
        <f>IFERROR('Energy balance'!J21*$Q61,0)</f>
        <v>0</v>
      </c>
      <c r="K61" s="488">
        <f>IFERROR('Energy balance'!K21*$Q61,0)</f>
        <v>0</v>
      </c>
      <c r="L61" s="488">
        <f>IFERROR('Energy balance'!L21*$Q61,0)</f>
        <v>0</v>
      </c>
      <c r="M61" s="489">
        <f>IFERROR('Energy balance'!M21*$Q61,0)</f>
        <v>0</v>
      </c>
      <c r="N61" s="490">
        <f>IFERROR('Energy balance'!N21*$Q61,0)</f>
        <v>0</v>
      </c>
      <c r="O61" s="490">
        <f>IFERROR('Energy balance'!O21*$Q61,0)</f>
        <v>0</v>
      </c>
      <c r="Q61" s="106">
        <v>0</v>
      </c>
    </row>
    <row r="62" spans="1:25" ht="15" thickBot="1">
      <c r="A62" s="106" t="s">
        <v>289</v>
      </c>
      <c r="B62" s="327" t="s">
        <v>222</v>
      </c>
      <c r="C62" s="494">
        <f>IFERROR('Energy balance'!C22*$Q62,0)</f>
        <v>0</v>
      </c>
      <c r="D62" s="494">
        <f>IFERROR('Energy balance'!D22*$Q62,0)</f>
        <v>0</v>
      </c>
      <c r="E62" s="494">
        <f>IFERROR('Energy balance'!E22*$Q62,0)</f>
        <v>0</v>
      </c>
      <c r="F62" s="494">
        <f>IFERROR('Energy balance'!F22*$Q62,0)</f>
        <v>0</v>
      </c>
      <c r="G62" s="494">
        <f>IFERROR('Energy balance'!G22*$Q62,0)</f>
        <v>0</v>
      </c>
      <c r="H62" s="494">
        <f>IFERROR('Energy balance'!H22*$Q62,0)</f>
        <v>0</v>
      </c>
      <c r="I62" s="494">
        <f>IFERROR('Energy balance'!I22*$Q62,0)</f>
        <v>0</v>
      </c>
      <c r="J62" s="494">
        <f>IFERROR('Energy balance'!J22*$Q62,0)</f>
        <v>0</v>
      </c>
      <c r="K62" s="494">
        <f>IFERROR('Energy balance'!K22*$Q62,0)</f>
        <v>0</v>
      </c>
      <c r="L62" s="494">
        <f>IFERROR('Energy balance'!L22*$Q62,0)</f>
        <v>0</v>
      </c>
      <c r="M62" s="495">
        <f>IFERROR('Energy balance'!M22*$Q62,0)</f>
        <v>0</v>
      </c>
      <c r="N62" s="496">
        <f>IFERROR('Energy balance'!N22*$Q62,0)</f>
        <v>0</v>
      </c>
      <c r="O62" s="496">
        <f>IFERROR('Energy balance'!O22*$Q62,0)</f>
        <v>0</v>
      </c>
      <c r="Q62" s="106">
        <v>0</v>
      </c>
    </row>
    <row r="63" spans="1:25" ht="14">
      <c r="A63" s="106" t="s">
        <v>289</v>
      </c>
      <c r="B63" s="364" t="s">
        <v>106</v>
      </c>
      <c r="C63" s="365">
        <f>SUM(C45:C62)</f>
        <v>21336.919234449757</v>
      </c>
      <c r="D63" s="365">
        <f t="shared" ref="D63" si="6">SUM(D45:D62)</f>
        <v>26349.615502392342</v>
      </c>
      <c r="E63" s="365">
        <f t="shared" ref="E63" si="7">SUM(E45:E62)</f>
        <v>23726.658947368422</v>
      </c>
      <c r="F63" s="365">
        <f t="shared" ref="F63" si="8">SUM(F45:F62)</f>
        <v>24421.593301435405</v>
      </c>
      <c r="G63" s="365">
        <f t="shared" ref="G63" si="9">SUM(G45:G62)</f>
        <v>24550.22583732057</v>
      </c>
      <c r="H63" s="365">
        <f t="shared" ref="H63" si="10">SUM(H45:H62)</f>
        <v>20202.191196172247</v>
      </c>
      <c r="I63" s="365">
        <f t="shared" ref="I63" si="11">SUM(I45:I62)</f>
        <v>19465.682296650713</v>
      </c>
      <c r="J63" s="365">
        <f t="shared" ref="J63" si="12">SUM(J45:J62)</f>
        <v>21638.393110047844</v>
      </c>
      <c r="K63" s="365">
        <f t="shared" ref="K63" si="13">SUM(K45:K62)</f>
        <v>23008.419904306218</v>
      </c>
      <c r="L63" s="365">
        <f t="shared" ref="L63" si="14">SUM(L45:L62)</f>
        <v>26545.357894736841</v>
      </c>
      <c r="M63" s="365">
        <f t="shared" ref="M63" si="15">SUM(M45:M62)</f>
        <v>23511.478277511964</v>
      </c>
      <c r="N63" s="365">
        <f t="shared" ref="N63:O63" si="16">SUM(N45:N62)</f>
        <v>25409.865071770331</v>
      </c>
      <c r="O63" s="365">
        <f t="shared" si="16"/>
        <v>27551.559617224881</v>
      </c>
    </row>
    <row r="65" spans="1:17" ht="17" thickBot="1">
      <c r="B65" s="358" t="s">
        <v>276</v>
      </c>
    </row>
    <row r="66" spans="1:17" ht="15" thickBot="1">
      <c r="B66" s="304"/>
      <c r="C66" s="305">
        <v>2007</v>
      </c>
      <c r="D66" s="306">
        <v>2008</v>
      </c>
      <c r="E66" s="306">
        <v>2009</v>
      </c>
      <c r="F66" s="306">
        <v>2010</v>
      </c>
      <c r="G66" s="306">
        <v>2011</v>
      </c>
      <c r="H66" s="306">
        <v>2012</v>
      </c>
      <c r="I66" s="306">
        <v>2013</v>
      </c>
      <c r="J66" s="306">
        <v>2014</v>
      </c>
      <c r="K66" s="306">
        <v>2015</v>
      </c>
      <c r="L66" s="306">
        <v>2016</v>
      </c>
      <c r="M66" s="307">
        <v>2017</v>
      </c>
      <c r="N66" s="308">
        <v>2018</v>
      </c>
      <c r="O66" s="308">
        <v>2019</v>
      </c>
    </row>
    <row r="67" spans="1:17" ht="14">
      <c r="A67" s="106" t="s">
        <v>282</v>
      </c>
      <c r="B67" s="310" t="s">
        <v>206</v>
      </c>
      <c r="C67" s="481">
        <f>IFERROR('Energy balance'!C5*$Q67,0)</f>
        <v>0</v>
      </c>
      <c r="D67" s="481">
        <f>IFERROR('Energy balance'!D5*$Q67,0)</f>
        <v>0</v>
      </c>
      <c r="E67" s="481">
        <f>IFERROR('Energy balance'!E5*$Q67,0)</f>
        <v>0</v>
      </c>
      <c r="F67" s="481">
        <f>IFERROR('Energy balance'!F5*$Q67,0)</f>
        <v>0</v>
      </c>
      <c r="G67" s="481">
        <f>IFERROR('Energy balance'!G5*$Q67,0)</f>
        <v>0</v>
      </c>
      <c r="H67" s="482">
        <f>IFERROR('Energy balance'!H5*$Q67,0)</f>
        <v>0</v>
      </c>
      <c r="I67" s="482">
        <f>IFERROR('Energy balance'!I5*$Q67,0)</f>
        <v>0</v>
      </c>
      <c r="J67" s="482">
        <f>IFERROR('Energy balance'!J5*$Q67,0)</f>
        <v>0</v>
      </c>
      <c r="K67" s="482">
        <f>IFERROR('Energy balance'!K5*$Q67,0)</f>
        <v>0</v>
      </c>
      <c r="L67" s="482">
        <f>IFERROR('Energy balance'!L5*$Q67,0)</f>
        <v>0</v>
      </c>
      <c r="M67" s="483">
        <f>IFERROR('Energy balance'!M5*$Q67,0)</f>
        <v>0</v>
      </c>
      <c r="N67" s="484">
        <f>IFERROR('Energy balance'!N5*$Q67,0)</f>
        <v>0</v>
      </c>
      <c r="O67" s="484">
        <f>IFERROR('Energy balance'!O5*$Q67,0)</f>
        <v>0</v>
      </c>
      <c r="Q67">
        <v>0</v>
      </c>
    </row>
    <row r="68" spans="1:17" ht="14">
      <c r="A68" s="106" t="s">
        <v>282</v>
      </c>
      <c r="B68" s="315" t="s">
        <v>208</v>
      </c>
      <c r="C68" s="485">
        <f>IFERROR('Energy balance'!C6*$Q68,0)</f>
        <v>0</v>
      </c>
      <c r="D68" s="485">
        <f>IFERROR('Energy balance'!D6*$Q68,0)</f>
        <v>0</v>
      </c>
      <c r="E68" s="485">
        <f>IFERROR('Energy balance'!E6*$Q68,0)</f>
        <v>0</v>
      </c>
      <c r="F68" s="485">
        <f>IFERROR('Energy balance'!F6*$Q68,0)</f>
        <v>0</v>
      </c>
      <c r="G68" s="485">
        <f>IFERROR('Energy balance'!G6*$Q68,0)</f>
        <v>0</v>
      </c>
      <c r="H68" s="486">
        <f>IFERROR('Energy balance'!H6*$Q68,0)</f>
        <v>0</v>
      </c>
      <c r="I68" s="486">
        <f>IFERROR('Energy balance'!I6*$Q68,0)</f>
        <v>0</v>
      </c>
      <c r="J68" s="486">
        <f>IFERROR('Energy balance'!J6*$Q68,0)</f>
        <v>0</v>
      </c>
      <c r="K68" s="486">
        <f>IFERROR('Energy balance'!K6*$Q68,0)</f>
        <v>0</v>
      </c>
      <c r="L68" s="486">
        <f>IFERROR('Energy balance'!L6*$Q68,0)</f>
        <v>0</v>
      </c>
      <c r="M68" s="483">
        <f>IFERROR('Energy balance'!M6*$Q68,0)</f>
        <v>0</v>
      </c>
      <c r="N68" s="484">
        <f>IFERROR('Energy balance'!N6*$Q68,0)</f>
        <v>0</v>
      </c>
      <c r="O68" s="484">
        <f>IFERROR('Energy balance'!O6*$Q68,0)</f>
        <v>0</v>
      </c>
      <c r="Q68">
        <v>0</v>
      </c>
    </row>
    <row r="69" spans="1:17" ht="14">
      <c r="A69" s="106" t="s">
        <v>282</v>
      </c>
      <c r="B69" s="315" t="s">
        <v>209</v>
      </c>
      <c r="C69" s="485">
        <f>IFERROR('Energy balance'!C7*$Q69,0)</f>
        <v>0</v>
      </c>
      <c r="D69" s="485">
        <f>IFERROR('Energy balance'!D7*$Q69,0)</f>
        <v>0</v>
      </c>
      <c r="E69" s="485">
        <f>IFERROR('Energy balance'!E7*$Q69,0)</f>
        <v>0</v>
      </c>
      <c r="F69" s="485">
        <f>IFERROR('Energy balance'!F7*$Q69,0)</f>
        <v>0</v>
      </c>
      <c r="G69" s="485">
        <f>IFERROR('Energy balance'!G7*$Q69,0)</f>
        <v>0</v>
      </c>
      <c r="H69" s="486">
        <f>IFERROR('Energy balance'!H7*$Q69,0)</f>
        <v>0</v>
      </c>
      <c r="I69" s="486">
        <f>IFERROR('Energy balance'!I7*$Q69,0)</f>
        <v>0</v>
      </c>
      <c r="J69" s="486">
        <f>IFERROR('Energy balance'!J7*$Q69,0)</f>
        <v>0</v>
      </c>
      <c r="K69" s="486">
        <f>IFERROR('Energy balance'!K7*$Q69,0)</f>
        <v>0</v>
      </c>
      <c r="L69" s="486">
        <f>IFERROR('Energy balance'!L7*$Q69,0)</f>
        <v>0</v>
      </c>
      <c r="M69" s="483">
        <f>IFERROR('Energy balance'!M7*$Q69,0)</f>
        <v>0</v>
      </c>
      <c r="N69" s="484">
        <f>IFERROR('Energy balance'!N7*$Q69,0)</f>
        <v>0</v>
      </c>
      <c r="O69" s="484">
        <f>IFERROR('Energy balance'!O7*$Q69,0)</f>
        <v>0</v>
      </c>
      <c r="Q69">
        <v>0</v>
      </c>
    </row>
    <row r="70" spans="1:17" ht="14">
      <c r="A70" s="106" t="s">
        <v>282</v>
      </c>
      <c r="B70" s="315" t="s">
        <v>210</v>
      </c>
      <c r="C70" s="487">
        <f>IFERROR('Energy balance'!C8*$Q70,0)</f>
        <v>331.79038277511967</v>
      </c>
      <c r="D70" s="487">
        <f>IFERROR('Energy balance'!D8*$Q70,0)</f>
        <v>346.73684210526318</v>
      </c>
      <c r="E70" s="487">
        <f>IFERROR('Energy balance'!E8*$Q70,0)</f>
        <v>238.35531100478468</v>
      </c>
      <c r="F70" s="487">
        <f>IFERROR('Energy balance'!F8*$Q70,0)</f>
        <v>222.98856459330145</v>
      </c>
      <c r="G70" s="487">
        <f>IFERROR('Energy balance'!G8*$Q70,0)</f>
        <v>176.48555023923447</v>
      </c>
      <c r="H70" s="487">
        <f>IFERROR('Energy balance'!H8*$Q70,0)</f>
        <v>155.3048325358852</v>
      </c>
      <c r="I70" s="487">
        <f>IFERROR('Energy balance'!I8*$Q70,0)</f>
        <v>132.88076555023923</v>
      </c>
      <c r="J70" s="487">
        <f>IFERROR('Energy balance'!J8*$Q70,0)</f>
        <v>108.38153110047847</v>
      </c>
      <c r="K70" s="487">
        <f>IFERROR('Energy balance'!K8*$Q70,0)</f>
        <v>75.572870813397131</v>
      </c>
      <c r="L70" s="487">
        <f>IFERROR('Energy balance'!L8*$Q70,0)</f>
        <v>41.520861244019144</v>
      </c>
      <c r="M70" s="487">
        <f>IFERROR('Energy balance'!M8*$Q70,0)</f>
        <v>23.667416267942588</v>
      </c>
      <c r="N70" s="487">
        <f>IFERROR('Energy balance'!N8*$Q70,0)</f>
        <v>23.255885167464118</v>
      </c>
      <c r="O70" s="487">
        <f>IFERROR('Energy balance'!O8*$Q70,0)</f>
        <v>11.627942583732059</v>
      </c>
      <c r="Q70" s="363">
        <f>E11</f>
        <v>8.7559808612440199E-2</v>
      </c>
    </row>
    <row r="71" spans="1:17" ht="14">
      <c r="A71" s="106" t="s">
        <v>282</v>
      </c>
      <c r="B71" s="315" t="s">
        <v>211</v>
      </c>
      <c r="C71" s="487">
        <f>IFERROR('Energy balance'!C9*$Q71,0)</f>
        <v>0</v>
      </c>
      <c r="D71" s="487">
        <f>IFERROR('Energy balance'!D9*$Q71,0)</f>
        <v>0</v>
      </c>
      <c r="E71" s="487">
        <f>IFERROR('Energy balance'!E9*$Q71,0)</f>
        <v>0</v>
      </c>
      <c r="F71" s="487">
        <f>IFERROR('Energy balance'!F9*$Q71,0)</f>
        <v>0</v>
      </c>
      <c r="G71" s="487">
        <f>IFERROR('Energy balance'!G9*$Q71,0)</f>
        <v>0</v>
      </c>
      <c r="H71" s="487">
        <f>IFERROR('Energy balance'!H9*$Q71,0)</f>
        <v>0</v>
      </c>
      <c r="I71" s="488">
        <f>IFERROR('Energy balance'!I9*$Q71,0)</f>
        <v>0</v>
      </c>
      <c r="J71" s="488">
        <f>IFERROR('Energy balance'!J9*$Q71,0)</f>
        <v>0</v>
      </c>
      <c r="K71" s="488">
        <f>IFERROR('Energy balance'!K9*$Q71,0)</f>
        <v>0</v>
      </c>
      <c r="L71" s="488">
        <f>IFERROR('Energy balance'!L9*$Q71,0)</f>
        <v>0</v>
      </c>
      <c r="M71" s="489">
        <f>IFERROR('Energy balance'!M9*$Q71,0)</f>
        <v>0</v>
      </c>
      <c r="N71" s="490">
        <f>IFERROR('Energy balance'!N9*$Q71,0)</f>
        <v>0</v>
      </c>
      <c r="O71" s="490">
        <f>IFERROR('Energy balance'!O9*$Q71,0)</f>
        <v>0</v>
      </c>
      <c r="Q71" s="106">
        <v>0</v>
      </c>
    </row>
    <row r="72" spans="1:17" ht="14">
      <c r="A72" s="106" t="s">
        <v>282</v>
      </c>
      <c r="B72" s="315" t="s">
        <v>212</v>
      </c>
      <c r="C72" s="487">
        <f>IFERROR('Energy balance'!C10*$Q72,0)</f>
        <v>0</v>
      </c>
      <c r="D72" s="487">
        <f>IFERROR('Energy balance'!D10*$Q72,0)</f>
        <v>0</v>
      </c>
      <c r="E72" s="487">
        <f>IFERROR('Energy balance'!E10*$Q72,0)</f>
        <v>0</v>
      </c>
      <c r="F72" s="487">
        <f>IFERROR('Energy balance'!F10*$Q72,0)</f>
        <v>0</v>
      </c>
      <c r="G72" s="487">
        <f>IFERROR('Energy balance'!G10*$Q72,0)</f>
        <v>0</v>
      </c>
      <c r="H72" s="487">
        <f>IFERROR('Energy balance'!H10*$Q72,0)</f>
        <v>0</v>
      </c>
      <c r="I72" s="485">
        <f>IFERROR('Energy balance'!I10*$Q72,0)</f>
        <v>0</v>
      </c>
      <c r="J72" s="485">
        <f>IFERROR('Energy balance'!J10*$Q72,0)</f>
        <v>0</v>
      </c>
      <c r="K72" s="485">
        <f>IFERROR('Energy balance'!K10*$Q72,0)</f>
        <v>0</v>
      </c>
      <c r="L72" s="485">
        <f>IFERROR('Energy balance'!L10*$Q72,0)</f>
        <v>0</v>
      </c>
      <c r="M72" s="483">
        <f>IFERROR('Energy balance'!M10*$Q72,0)</f>
        <v>0</v>
      </c>
      <c r="N72" s="484">
        <f>IFERROR('Energy balance'!N10*$Q72,0)</f>
        <v>0</v>
      </c>
      <c r="O72" s="484">
        <f>IFERROR('Energy balance'!O10*$Q72,0)</f>
        <v>0</v>
      </c>
      <c r="Q72" s="106">
        <v>0</v>
      </c>
    </row>
    <row r="73" spans="1:17" ht="14">
      <c r="A73" s="106" t="s">
        <v>282</v>
      </c>
      <c r="B73" s="315" t="s">
        <v>213</v>
      </c>
      <c r="C73" s="487">
        <f>IFERROR('Energy balance'!C11*$Q73,0)</f>
        <v>0</v>
      </c>
      <c r="D73" s="487">
        <f>IFERROR('Energy balance'!D11*$Q73,0)</f>
        <v>0</v>
      </c>
      <c r="E73" s="487">
        <f>IFERROR('Energy balance'!E11*$Q73,0)</f>
        <v>0</v>
      </c>
      <c r="F73" s="487">
        <f>IFERROR('Energy balance'!F11*$Q73,0)</f>
        <v>0</v>
      </c>
      <c r="G73" s="487">
        <f>IFERROR('Energy balance'!G11*$Q73,0)</f>
        <v>0</v>
      </c>
      <c r="H73" s="487">
        <f>IFERROR('Energy balance'!H11*$Q73,0)</f>
        <v>0</v>
      </c>
      <c r="I73" s="488">
        <f>IFERROR('Energy balance'!I11*$Q73,0)</f>
        <v>0</v>
      </c>
      <c r="J73" s="488">
        <f>IFERROR('Energy balance'!J11*$Q73,0)</f>
        <v>0</v>
      </c>
      <c r="K73" s="488">
        <f>IFERROR('Energy balance'!K11*$Q73,0)</f>
        <v>0</v>
      </c>
      <c r="L73" s="488">
        <f>IFERROR('Energy balance'!L11*$Q73,0)</f>
        <v>0</v>
      </c>
      <c r="M73" s="489">
        <f>IFERROR('Energy balance'!M11*$Q73,0)</f>
        <v>0</v>
      </c>
      <c r="N73" s="490">
        <f>IFERROR('Energy balance'!N11*$Q73,0)</f>
        <v>0</v>
      </c>
      <c r="O73" s="490">
        <f>IFERROR('Energy balance'!O11*$Q73,0)</f>
        <v>0</v>
      </c>
      <c r="Q73" s="106">
        <v>0</v>
      </c>
    </row>
    <row r="74" spans="1:17" ht="15">
      <c r="A74" s="106" t="s">
        <v>282</v>
      </c>
      <c r="B74" s="324" t="s">
        <v>214</v>
      </c>
      <c r="C74" s="487">
        <f>IFERROR('Energy balance'!C12*$Q74,0)</f>
        <v>0</v>
      </c>
      <c r="D74" s="487">
        <f>IFERROR('Energy balance'!D12*$Q74,0)</f>
        <v>0</v>
      </c>
      <c r="E74" s="487">
        <f>IFERROR('Energy balance'!E12*$Q74,0)</f>
        <v>0</v>
      </c>
      <c r="F74" s="487">
        <f>IFERROR('Energy balance'!F12*$Q74,0)</f>
        <v>0</v>
      </c>
      <c r="G74" s="487">
        <f>IFERROR('Energy balance'!G12*$Q74,0)</f>
        <v>0</v>
      </c>
      <c r="H74" s="487">
        <f>IFERROR('Energy balance'!H12*$Q74,0)</f>
        <v>0</v>
      </c>
      <c r="I74" s="488">
        <f>IFERROR('Energy balance'!I12*$Q74,0)</f>
        <v>0</v>
      </c>
      <c r="J74" s="488">
        <f>IFERROR('Energy balance'!J12*$Q74,0)</f>
        <v>0</v>
      </c>
      <c r="K74" s="488">
        <f>IFERROR('Energy balance'!K12*$Q74,0)</f>
        <v>0</v>
      </c>
      <c r="L74" s="488">
        <f>IFERROR('Energy balance'!L12*$Q74,0)</f>
        <v>0</v>
      </c>
      <c r="M74" s="489">
        <f>IFERROR('Energy balance'!M12*$Q74,0)</f>
        <v>0</v>
      </c>
      <c r="N74" s="490">
        <f>IFERROR('Energy balance'!N12*$Q74,0)</f>
        <v>0</v>
      </c>
      <c r="O74" s="490">
        <f>IFERROR('Energy balance'!O12*$Q74,0)</f>
        <v>0</v>
      </c>
      <c r="Q74" s="106">
        <v>0</v>
      </c>
    </row>
    <row r="75" spans="1:17" ht="15">
      <c r="A75" s="106" t="s">
        <v>282</v>
      </c>
      <c r="B75" s="324" t="s">
        <v>215</v>
      </c>
      <c r="C75" s="485">
        <f>IFERROR('Energy balance'!C13*$Q75,0)</f>
        <v>0</v>
      </c>
      <c r="D75" s="485">
        <f>IFERROR('Energy balance'!D13*$Q75,0)</f>
        <v>0</v>
      </c>
      <c r="E75" s="485">
        <f>IFERROR('Energy balance'!E13*$Q75,0)</f>
        <v>0</v>
      </c>
      <c r="F75" s="485">
        <f>IFERROR('Energy balance'!F13*$Q75,0)</f>
        <v>0</v>
      </c>
      <c r="G75" s="485">
        <f>IFERROR('Energy balance'!G13*$Q75,0)</f>
        <v>0</v>
      </c>
      <c r="H75" s="485">
        <f>IFERROR('Energy balance'!H13*$Q75,0)</f>
        <v>0</v>
      </c>
      <c r="I75" s="485">
        <f>IFERROR('Energy balance'!I13*$Q75,0)</f>
        <v>0</v>
      </c>
      <c r="J75" s="485">
        <f>IFERROR('Energy balance'!J13*$Q75,0)</f>
        <v>0</v>
      </c>
      <c r="K75" s="486">
        <f>IFERROR('Energy balance'!K13*$Q75,0)</f>
        <v>0</v>
      </c>
      <c r="L75" s="485">
        <f>IFERROR('Energy balance'!L13*$Q75,0)</f>
        <v>0</v>
      </c>
      <c r="M75" s="483">
        <f>IFERROR('Energy balance'!M13*$Q75,0)</f>
        <v>0</v>
      </c>
      <c r="N75" s="484">
        <f>IFERROR('Energy balance'!N13*$Q75,0)</f>
        <v>0</v>
      </c>
      <c r="O75" s="484">
        <f>IFERROR('Energy balance'!O13*$Q75,0)</f>
        <v>0</v>
      </c>
      <c r="Q75" s="106">
        <v>0</v>
      </c>
    </row>
    <row r="76" spans="1:17" ht="14">
      <c r="A76" s="106" t="s">
        <v>282</v>
      </c>
      <c r="B76" s="325" t="s">
        <v>216</v>
      </c>
      <c r="C76" s="485">
        <f>IFERROR('Energy balance'!C14*$Q76,0)</f>
        <v>0</v>
      </c>
      <c r="D76" s="485">
        <f>IFERROR('Energy balance'!D14*$Q76,0)</f>
        <v>0</v>
      </c>
      <c r="E76" s="485">
        <f>IFERROR('Energy balance'!E14*$Q76,0)</f>
        <v>0</v>
      </c>
      <c r="F76" s="485">
        <f>IFERROR('Energy balance'!F14*$Q76,0)</f>
        <v>0</v>
      </c>
      <c r="G76" s="485">
        <f>IFERROR('Energy balance'!G14*$Q76,0)</f>
        <v>0</v>
      </c>
      <c r="H76" s="485">
        <f>IFERROR('Energy balance'!H14*$Q76,0)</f>
        <v>0</v>
      </c>
      <c r="I76" s="485">
        <f>IFERROR('Energy balance'!I14*$Q76,0)</f>
        <v>0</v>
      </c>
      <c r="J76" s="485">
        <f>IFERROR('Energy balance'!J14*$Q76,0)</f>
        <v>0</v>
      </c>
      <c r="K76" s="486">
        <f>IFERROR('Energy balance'!K14*$Q76,0)</f>
        <v>0</v>
      </c>
      <c r="L76" s="485">
        <f>IFERROR('Energy balance'!L14*$Q76,0)</f>
        <v>0</v>
      </c>
      <c r="M76" s="483">
        <f>IFERROR('Energy balance'!M14*$Q76,0)</f>
        <v>0</v>
      </c>
      <c r="N76" s="484">
        <f>IFERROR('Energy balance'!N14*$Q76,0)</f>
        <v>0</v>
      </c>
      <c r="O76" s="484">
        <f>IFERROR('Energy balance'!O14*$Q76,0)</f>
        <v>0</v>
      </c>
      <c r="Q76" s="106">
        <v>0</v>
      </c>
    </row>
    <row r="77" spans="1:17" ht="14">
      <c r="A77" s="106" t="s">
        <v>282</v>
      </c>
      <c r="B77" s="325" t="s">
        <v>217</v>
      </c>
      <c r="C77" s="485">
        <f>IFERROR('Energy balance'!C15*$Q77,0)</f>
        <v>0</v>
      </c>
      <c r="D77" s="485">
        <f>IFERROR('Energy balance'!D15*$Q77,0)</f>
        <v>0</v>
      </c>
      <c r="E77" s="485">
        <f>IFERROR('Energy balance'!E15*$Q77,0)</f>
        <v>0</v>
      </c>
      <c r="F77" s="485">
        <f>IFERROR('Energy balance'!F15*$Q77,0)</f>
        <v>0</v>
      </c>
      <c r="G77" s="485">
        <f>IFERROR('Energy balance'!G15*$Q77,0)</f>
        <v>0</v>
      </c>
      <c r="H77" s="485">
        <f>IFERROR('Energy balance'!H15*$Q77,0)</f>
        <v>0</v>
      </c>
      <c r="I77" s="485">
        <f>IFERROR('Energy balance'!I15*$Q77,0)</f>
        <v>0</v>
      </c>
      <c r="J77" s="485">
        <f>IFERROR('Energy balance'!J15*$Q77,0)</f>
        <v>0</v>
      </c>
      <c r="K77" s="486">
        <f>IFERROR('Energy balance'!K15*$Q77,0)</f>
        <v>0</v>
      </c>
      <c r="L77" s="485">
        <f>IFERROR('Energy balance'!L15*$Q77,0)</f>
        <v>0</v>
      </c>
      <c r="M77" s="483">
        <f>IFERROR('Energy balance'!M15*$Q77,0)</f>
        <v>0</v>
      </c>
      <c r="N77" s="484">
        <f>IFERROR('Energy balance'!N15*$Q77,0)</f>
        <v>0</v>
      </c>
      <c r="O77" s="484">
        <f>IFERROR('Energy balance'!O15*$Q77,0)</f>
        <v>0</v>
      </c>
      <c r="Q77" s="106">
        <v>0</v>
      </c>
    </row>
    <row r="78" spans="1:17" ht="14">
      <c r="A78" s="106" t="s">
        <v>282</v>
      </c>
      <c r="B78" s="325" t="s">
        <v>218</v>
      </c>
      <c r="C78" s="485">
        <f>IFERROR('Energy balance'!C16*$Q78,0)</f>
        <v>0</v>
      </c>
      <c r="D78" s="485">
        <f>IFERROR('Energy balance'!D16*$Q78,0)</f>
        <v>0</v>
      </c>
      <c r="E78" s="485">
        <f>IFERROR('Energy balance'!E16*$Q78,0)</f>
        <v>0</v>
      </c>
      <c r="F78" s="485">
        <f>IFERROR('Energy balance'!F16*$Q78,0)</f>
        <v>0</v>
      </c>
      <c r="G78" s="485">
        <f>IFERROR('Energy balance'!G16*$Q78,0)</f>
        <v>0</v>
      </c>
      <c r="H78" s="485">
        <f>IFERROR('Energy balance'!H16*$Q78,0)</f>
        <v>0</v>
      </c>
      <c r="I78" s="485">
        <f>IFERROR('Energy balance'!I16*$Q78,0)</f>
        <v>0</v>
      </c>
      <c r="J78" s="485">
        <f>IFERROR('Energy balance'!J16*$Q78,0)</f>
        <v>0</v>
      </c>
      <c r="K78" s="486">
        <f>IFERROR('Energy balance'!K16*$Q78,0)</f>
        <v>0</v>
      </c>
      <c r="L78" s="485">
        <f>IFERROR('Energy balance'!L16*$Q78,0)</f>
        <v>0</v>
      </c>
      <c r="M78" s="483">
        <f>IFERROR('Energy balance'!M16*$Q78,0)</f>
        <v>0</v>
      </c>
      <c r="N78" s="484">
        <f>IFERROR('Energy balance'!N16*$Q78,0)</f>
        <v>0</v>
      </c>
      <c r="O78" s="484">
        <f>IFERROR('Energy balance'!O16*$Q78,0)</f>
        <v>0</v>
      </c>
      <c r="Q78" s="106">
        <v>0</v>
      </c>
    </row>
    <row r="79" spans="1:17" ht="14">
      <c r="A79" s="106" t="s">
        <v>282</v>
      </c>
      <c r="B79" s="315" t="s">
        <v>219</v>
      </c>
      <c r="C79" s="485">
        <f>IFERROR('Energy balance'!C17*$Q79,0)</f>
        <v>0</v>
      </c>
      <c r="D79" s="485">
        <f>IFERROR('Energy balance'!D17*$Q79,0)</f>
        <v>0</v>
      </c>
      <c r="E79" s="485">
        <f>IFERROR('Energy balance'!E17*$Q79,0)</f>
        <v>0</v>
      </c>
      <c r="F79" s="485">
        <f>IFERROR('Energy balance'!F17*$Q79,0)</f>
        <v>0</v>
      </c>
      <c r="G79" s="485">
        <f>IFERROR('Energy balance'!G17*$Q79,0)</f>
        <v>0</v>
      </c>
      <c r="H79" s="485">
        <f>IFERROR('Energy balance'!H17*$Q79,0)</f>
        <v>0</v>
      </c>
      <c r="I79" s="485">
        <f>IFERROR('Energy balance'!I17*$Q79,0)</f>
        <v>0</v>
      </c>
      <c r="J79" s="485">
        <f>IFERROR('Energy balance'!J17*$Q79,0)</f>
        <v>0</v>
      </c>
      <c r="K79" s="486">
        <f>IFERROR('Energy balance'!K17*$Q79,0)</f>
        <v>0</v>
      </c>
      <c r="L79" s="485">
        <f>IFERROR('Energy balance'!L17*$Q79,0)</f>
        <v>0</v>
      </c>
      <c r="M79" s="483">
        <f>IFERROR('Energy balance'!M17*$Q79,0)</f>
        <v>0</v>
      </c>
      <c r="N79" s="484">
        <f>IFERROR('Energy balance'!N17*$Q79,0)</f>
        <v>0</v>
      </c>
      <c r="O79" s="484">
        <f>IFERROR('Energy balance'!O17*$Q79,0)</f>
        <v>0</v>
      </c>
      <c r="Q79" s="106">
        <v>0</v>
      </c>
    </row>
    <row r="80" spans="1:17" ht="14">
      <c r="A80" s="106" t="s">
        <v>282</v>
      </c>
      <c r="B80" s="315" t="s">
        <v>80</v>
      </c>
      <c r="C80" s="485">
        <f>IFERROR('Energy balance'!C18*$Q80,0)</f>
        <v>8462.4803827751202</v>
      </c>
      <c r="D80" s="485">
        <f>IFERROR('Energy balance'!D18*$Q80,0)</f>
        <v>10513.577655502393</v>
      </c>
      <c r="E80" s="487">
        <f>IFERROR('Energy balance'!E18*$Q80,0)</f>
        <v>9540.8757416267963</v>
      </c>
      <c r="F80" s="487">
        <f>IFERROR('Energy balance'!F18*$Q80,0)</f>
        <v>9842.6681339712923</v>
      </c>
      <c r="G80" s="487">
        <f>IFERROR('Energy balance'!G18*$Q80,0)</f>
        <v>9942.1886124401917</v>
      </c>
      <c r="H80" s="487">
        <f>IFERROR('Energy balance'!H18*$Q80,0)</f>
        <v>8171.2739712918665</v>
      </c>
      <c r="I80" s="488">
        <f>IFERROR('Energy balance'!I18*$Q80,0)</f>
        <v>7890.1369377990432</v>
      </c>
      <c r="J80" s="488">
        <f>IFERROR('Energy balance'!J18*$Q80,0)</f>
        <v>8810.1453588516761</v>
      </c>
      <c r="K80" s="488">
        <f>IFERROR('Energy balance'!K18*$Q80,0)</f>
        <v>9407.6272248803834</v>
      </c>
      <c r="L80" s="488">
        <f>IFERROR('Energy balance'!L18*$Q80,0)</f>
        <v>10899.47124401914</v>
      </c>
      <c r="M80" s="489">
        <f>IFERROR('Energy balance'!M18*$Q80,0)</f>
        <v>9666.8743062200974</v>
      </c>
      <c r="N80" s="490">
        <f>IFERROR('Energy balance'!N18*$Q80,0)</f>
        <v>10449.729043062202</v>
      </c>
      <c r="O80" s="490">
        <f>IFERROR('Energy balance'!O18*$Q80,0)</f>
        <v>11344.082440191389</v>
      </c>
      <c r="Q80" s="363">
        <f>E11</f>
        <v>8.7559808612440199E-2</v>
      </c>
    </row>
    <row r="81" spans="1:17" ht="14">
      <c r="A81" s="106" t="s">
        <v>282</v>
      </c>
      <c r="B81" s="315" t="s">
        <v>220</v>
      </c>
      <c r="C81" s="485">
        <f>IFERROR('Energy balance'!C19*$Q81,0)</f>
        <v>0</v>
      </c>
      <c r="D81" s="485">
        <f>IFERROR('Energy balance'!D19*$Q81,0)</f>
        <v>0</v>
      </c>
      <c r="E81" s="485">
        <f>IFERROR('Energy balance'!E19*$Q81,0)</f>
        <v>0</v>
      </c>
      <c r="F81" s="485">
        <f>IFERROR('Energy balance'!F19*$Q81,0)</f>
        <v>0</v>
      </c>
      <c r="G81" s="485">
        <f>IFERROR('Energy balance'!G19*$Q81,0)</f>
        <v>0</v>
      </c>
      <c r="H81" s="485">
        <f>IFERROR('Energy balance'!H19*$Q81,0)</f>
        <v>0</v>
      </c>
      <c r="I81" s="488">
        <f>IFERROR('Energy balance'!I19*$Q81,0)</f>
        <v>0</v>
      </c>
      <c r="J81" s="488">
        <f>IFERROR('Energy balance'!J19*$Q81,0)</f>
        <v>0</v>
      </c>
      <c r="K81" s="488">
        <f>IFERROR('Energy balance'!K19*$Q81,0)</f>
        <v>0</v>
      </c>
      <c r="L81" s="488">
        <f>IFERROR('Energy balance'!L19*$Q81,0)</f>
        <v>0</v>
      </c>
      <c r="M81" s="491">
        <f>IFERROR('Energy balance'!M19*$Q81,0)</f>
        <v>0</v>
      </c>
      <c r="N81" s="492">
        <f>IFERROR('Energy balance'!N19*$Q81,0)</f>
        <v>0</v>
      </c>
      <c r="O81" s="492">
        <f>IFERROR('Energy balance'!O19*$Q81,0)</f>
        <v>0</v>
      </c>
      <c r="Q81" s="106">
        <v>0</v>
      </c>
    </row>
    <row r="82" spans="1:17" ht="14">
      <c r="A82" s="106" t="s">
        <v>282</v>
      </c>
      <c r="B82" s="315" t="s">
        <v>79</v>
      </c>
      <c r="C82" s="493">
        <f>IFERROR('Energy balance'!C20*$Q82,0)</f>
        <v>0</v>
      </c>
      <c r="D82" s="485">
        <f>IFERROR('Energy balance'!D20*$Q82,0)</f>
        <v>0</v>
      </c>
      <c r="E82" s="485">
        <f>IFERROR('Energy balance'!E20*$Q82,0)</f>
        <v>0</v>
      </c>
      <c r="F82" s="485">
        <f>IFERROR('Energy balance'!F20*$Q82,0)</f>
        <v>0</v>
      </c>
      <c r="G82" s="488">
        <f>IFERROR('Energy balance'!G20*$Q82,0)</f>
        <v>0</v>
      </c>
      <c r="H82" s="488">
        <f>IFERROR('Energy balance'!H20*$Q82,0)</f>
        <v>0</v>
      </c>
      <c r="I82" s="488">
        <f>IFERROR('Energy balance'!I20*$Q82,0)</f>
        <v>0</v>
      </c>
      <c r="J82" s="488">
        <f>IFERROR('Energy balance'!J20*$Q82,0)</f>
        <v>0</v>
      </c>
      <c r="K82" s="488">
        <f>IFERROR('Energy balance'!K20*$Q82,0)</f>
        <v>0</v>
      </c>
      <c r="L82" s="488">
        <f>IFERROR('Energy balance'!L20*$Q82,0)</f>
        <v>0</v>
      </c>
      <c r="M82" s="489">
        <f>IFERROR('Energy balance'!M20*$Q82,0)</f>
        <v>0</v>
      </c>
      <c r="N82" s="490">
        <f>IFERROR('Energy balance'!N20*$Q82,0)</f>
        <v>0</v>
      </c>
      <c r="O82" s="490">
        <f>IFERROR('Energy balance'!O20*$Q82,0)</f>
        <v>0</v>
      </c>
      <c r="Q82" s="363">
        <f>E5</f>
        <v>0</v>
      </c>
    </row>
    <row r="83" spans="1:17" ht="14">
      <c r="A83" s="106" t="s">
        <v>282</v>
      </c>
      <c r="B83" s="315" t="s">
        <v>221</v>
      </c>
      <c r="C83" s="485">
        <f>IFERROR('Energy balance'!C21*$Q83,0)</f>
        <v>0</v>
      </c>
      <c r="D83" s="485">
        <f>IFERROR('Energy balance'!D21*$Q83,0)</f>
        <v>0</v>
      </c>
      <c r="E83" s="487">
        <f>IFERROR('Energy balance'!E21*$Q83,0)</f>
        <v>0</v>
      </c>
      <c r="F83" s="487">
        <f>IFERROR('Energy balance'!F21*$Q83,0)</f>
        <v>0</v>
      </c>
      <c r="G83" s="487">
        <f>IFERROR('Energy balance'!G21*$Q83,0)</f>
        <v>0</v>
      </c>
      <c r="H83" s="487">
        <f>IFERROR('Energy balance'!H21*$Q83,0)</f>
        <v>0</v>
      </c>
      <c r="I83" s="488">
        <f>IFERROR('Energy balance'!I21*$Q83,0)</f>
        <v>0</v>
      </c>
      <c r="J83" s="488">
        <f>IFERROR('Energy balance'!J21*$Q83,0)</f>
        <v>0</v>
      </c>
      <c r="K83" s="488">
        <f>IFERROR('Energy balance'!K21*$Q83,0)</f>
        <v>0</v>
      </c>
      <c r="L83" s="488">
        <f>IFERROR('Energy balance'!L21*$Q83,0)</f>
        <v>0</v>
      </c>
      <c r="M83" s="489">
        <f>IFERROR('Energy balance'!M21*$Q83,0)</f>
        <v>0</v>
      </c>
      <c r="N83" s="490">
        <f>IFERROR('Energy balance'!N21*$Q83,0)</f>
        <v>0</v>
      </c>
      <c r="O83" s="490">
        <f>IFERROR('Energy balance'!O21*$Q83,0)</f>
        <v>0</v>
      </c>
      <c r="Q83" s="106">
        <v>0</v>
      </c>
    </row>
    <row r="84" spans="1:17" ht="15" thickBot="1">
      <c r="A84" s="106" t="s">
        <v>282</v>
      </c>
      <c r="B84" s="327" t="s">
        <v>222</v>
      </c>
      <c r="C84" s="494">
        <f>IFERROR('Energy balance'!C22*$Q84,0)</f>
        <v>0</v>
      </c>
      <c r="D84" s="494">
        <f>IFERROR('Energy balance'!D22*$Q84,0)</f>
        <v>0</v>
      </c>
      <c r="E84" s="494">
        <f>IFERROR('Energy balance'!E22*$Q84,0)</f>
        <v>0</v>
      </c>
      <c r="F84" s="494">
        <f>IFERROR('Energy balance'!F22*$Q84,0)</f>
        <v>0</v>
      </c>
      <c r="G84" s="494">
        <f>IFERROR('Energy balance'!G22*$Q84,0)</f>
        <v>0</v>
      </c>
      <c r="H84" s="494">
        <f>IFERROR('Energy balance'!H22*$Q84,0)</f>
        <v>0</v>
      </c>
      <c r="I84" s="494">
        <f>IFERROR('Energy balance'!I22*$Q84,0)</f>
        <v>0</v>
      </c>
      <c r="J84" s="494">
        <f>IFERROR('Energy balance'!J22*$Q84,0)</f>
        <v>0</v>
      </c>
      <c r="K84" s="494">
        <f>IFERROR('Energy balance'!K22*$Q84,0)</f>
        <v>0</v>
      </c>
      <c r="L84" s="494">
        <f>IFERROR('Energy balance'!L22*$Q84,0)</f>
        <v>0</v>
      </c>
      <c r="M84" s="495">
        <f>IFERROR('Energy balance'!M22*$Q84,0)</f>
        <v>0</v>
      </c>
      <c r="N84" s="496">
        <f>IFERROR('Energy balance'!N22*$Q84,0)</f>
        <v>0</v>
      </c>
      <c r="O84" s="496">
        <f>IFERROR('Energy balance'!O22*$Q84,0)</f>
        <v>0</v>
      </c>
      <c r="Q84" s="106">
        <v>0</v>
      </c>
    </row>
    <row r="85" spans="1:17" ht="14">
      <c r="B85" s="364" t="s">
        <v>106</v>
      </c>
      <c r="C85" s="365">
        <f>SUM(C67:C84)</f>
        <v>8794.27076555024</v>
      </c>
      <c r="D85" s="365">
        <f t="shared" ref="D85" si="17">SUM(D67:D84)</f>
        <v>10860.314497607656</v>
      </c>
      <c r="E85" s="365">
        <f t="shared" ref="E85" si="18">SUM(E67:E84)</f>
        <v>9779.2310526315814</v>
      </c>
      <c r="F85" s="365">
        <f t="shared" ref="F85" si="19">SUM(F67:F84)</f>
        <v>10065.656698564593</v>
      </c>
      <c r="G85" s="365">
        <f t="shared" ref="G85" si="20">SUM(G67:G84)</f>
        <v>10118.674162679426</v>
      </c>
      <c r="H85" s="365">
        <f t="shared" ref="H85" si="21">SUM(H67:H84)</f>
        <v>8326.5788038277515</v>
      </c>
      <c r="I85" s="365">
        <f t="shared" ref="I85" si="22">SUM(I67:I84)</f>
        <v>8023.0177033492828</v>
      </c>
      <c r="J85" s="365">
        <f t="shared" ref="J85" si="23">SUM(J67:J84)</f>
        <v>8918.5268899521543</v>
      </c>
      <c r="K85" s="365">
        <f t="shared" ref="K85" si="24">SUM(K67:K84)</f>
        <v>9483.2000956937809</v>
      </c>
      <c r="L85" s="365">
        <f t="shared" ref="L85" si="25">SUM(L67:L84)</f>
        <v>10940.992105263158</v>
      </c>
      <c r="M85" s="365">
        <f t="shared" ref="M85" si="26">SUM(M67:M84)</f>
        <v>9690.5417224880403</v>
      </c>
      <c r="N85" s="365">
        <f t="shared" ref="N85:O85" si="27">SUM(N67:N84)</f>
        <v>10472.984928229665</v>
      </c>
      <c r="O85" s="365">
        <f t="shared" si="27"/>
        <v>11355.710382775122</v>
      </c>
    </row>
    <row r="87" spans="1:17" ht="17" thickBot="1">
      <c r="B87" s="358" t="s">
        <v>277</v>
      </c>
    </row>
    <row r="88" spans="1:17" ht="15" thickBot="1">
      <c r="B88" s="304"/>
      <c r="C88" s="305">
        <v>2007</v>
      </c>
      <c r="D88" s="306">
        <v>2008</v>
      </c>
      <c r="E88" s="306">
        <v>2009</v>
      </c>
      <c r="F88" s="306">
        <v>2010</v>
      </c>
      <c r="G88" s="306">
        <v>2011</v>
      </c>
      <c r="H88" s="306">
        <v>2012</v>
      </c>
      <c r="I88" s="306">
        <v>2013</v>
      </c>
      <c r="J88" s="306">
        <v>2014</v>
      </c>
      <c r="K88" s="306">
        <v>2015</v>
      </c>
      <c r="L88" s="306">
        <v>2016</v>
      </c>
      <c r="M88" s="307">
        <v>2017</v>
      </c>
      <c r="N88" s="308">
        <v>2018</v>
      </c>
      <c r="O88" s="308">
        <v>2019</v>
      </c>
    </row>
    <row r="89" spans="1:17" ht="14">
      <c r="A89" s="106" t="s">
        <v>290</v>
      </c>
      <c r="B89" s="310" t="s">
        <v>206</v>
      </c>
      <c r="C89" s="481">
        <f>IFERROR('Energy balance'!C5*$Q89,0)</f>
        <v>0</v>
      </c>
      <c r="D89" s="481">
        <f>IFERROR('Energy balance'!D5*$Q89,0)</f>
        <v>0</v>
      </c>
      <c r="E89" s="481">
        <f>IFERROR('Energy balance'!E5*$Q89,0)</f>
        <v>0</v>
      </c>
      <c r="F89" s="481">
        <f>IFERROR('Energy balance'!F5*$Q89,0)</f>
        <v>0</v>
      </c>
      <c r="G89" s="481">
        <f>IFERROR('Energy balance'!G5*$Q89,0)</f>
        <v>0</v>
      </c>
      <c r="H89" s="482">
        <f>IFERROR('Energy balance'!H5*$Q89,0)</f>
        <v>0</v>
      </c>
      <c r="I89" s="482">
        <f>IFERROR('Energy balance'!I5*$Q89,0)</f>
        <v>0</v>
      </c>
      <c r="J89" s="482">
        <f>IFERROR('Energy balance'!J5*$Q89,0)</f>
        <v>0</v>
      </c>
      <c r="K89" s="482">
        <f>IFERROR('Energy balance'!K5*$Q89,0)</f>
        <v>0</v>
      </c>
      <c r="L89" s="482">
        <f>IFERROR('Energy balance'!L5*$Q89,0)</f>
        <v>0</v>
      </c>
      <c r="M89" s="483">
        <f>IFERROR('Energy balance'!M5*$Q89,0)</f>
        <v>0</v>
      </c>
      <c r="N89" s="484">
        <f>IFERROR('Energy balance'!N5*$Q89,0)</f>
        <v>0</v>
      </c>
      <c r="O89" s="484">
        <f>IFERROR('Energy balance'!O5*$Q89,0)</f>
        <v>0</v>
      </c>
      <c r="Q89">
        <v>0</v>
      </c>
    </row>
    <row r="90" spans="1:17" ht="14">
      <c r="A90" s="106" t="s">
        <v>290</v>
      </c>
      <c r="B90" s="315" t="s">
        <v>208</v>
      </c>
      <c r="C90" s="485">
        <f>IFERROR('Energy balance'!C6*$Q90,0)</f>
        <v>0</v>
      </c>
      <c r="D90" s="485">
        <f>IFERROR('Energy balance'!D6*$Q90,0)</f>
        <v>0</v>
      </c>
      <c r="E90" s="485">
        <f>IFERROR('Energy balance'!E6*$Q90,0)</f>
        <v>0</v>
      </c>
      <c r="F90" s="485">
        <f>IFERROR('Energy balance'!F6*$Q90,0)</f>
        <v>0</v>
      </c>
      <c r="G90" s="485">
        <f>IFERROR('Energy balance'!G6*$Q90,0)</f>
        <v>0</v>
      </c>
      <c r="H90" s="486">
        <f>IFERROR('Energy balance'!H6*$Q90,0)</f>
        <v>0</v>
      </c>
      <c r="I90" s="486">
        <f>IFERROR('Energy balance'!I6*$Q90,0)</f>
        <v>0</v>
      </c>
      <c r="J90" s="486">
        <f>IFERROR('Energy balance'!J6*$Q90,0)</f>
        <v>0</v>
      </c>
      <c r="K90" s="486">
        <f>IFERROR('Energy balance'!K6*$Q90,0)</f>
        <v>0</v>
      </c>
      <c r="L90" s="486">
        <f>IFERROR('Energy balance'!L6*$Q90,0)</f>
        <v>0</v>
      </c>
      <c r="M90" s="483">
        <f>IFERROR('Energy balance'!M6*$Q90,0)</f>
        <v>0</v>
      </c>
      <c r="N90" s="484">
        <f>IFERROR('Energy balance'!N6*$Q90,0)</f>
        <v>0</v>
      </c>
      <c r="O90" s="484">
        <f>IFERROR('Energy balance'!O6*$Q90,0)</f>
        <v>0</v>
      </c>
      <c r="Q90">
        <v>0</v>
      </c>
    </row>
    <row r="91" spans="1:17" ht="14">
      <c r="A91" s="106" t="s">
        <v>290</v>
      </c>
      <c r="B91" s="315" t="s">
        <v>209</v>
      </c>
      <c r="C91" s="485">
        <f>IFERROR('Energy balance'!C7*$Q91,0)</f>
        <v>0</v>
      </c>
      <c r="D91" s="485">
        <f>IFERROR('Energy balance'!D7*$Q91,0)</f>
        <v>0</v>
      </c>
      <c r="E91" s="485">
        <f>IFERROR('Energy balance'!E7*$Q91,0)</f>
        <v>0</v>
      </c>
      <c r="F91" s="485">
        <f>IFERROR('Energy balance'!F7*$Q91,0)</f>
        <v>0</v>
      </c>
      <c r="G91" s="485">
        <f>IFERROR('Energy balance'!G7*$Q91,0)</f>
        <v>0</v>
      </c>
      <c r="H91" s="486">
        <f>IFERROR('Energy balance'!H7*$Q91,0)</f>
        <v>0</v>
      </c>
      <c r="I91" s="486">
        <f>IFERROR('Energy balance'!I7*$Q91,0)</f>
        <v>0</v>
      </c>
      <c r="J91" s="486">
        <f>IFERROR('Energy balance'!J7*$Q91,0)</f>
        <v>0</v>
      </c>
      <c r="K91" s="486">
        <f>IFERROR('Energy balance'!K7*$Q91,0)</f>
        <v>0</v>
      </c>
      <c r="L91" s="486">
        <f>IFERROR('Energy balance'!L7*$Q91,0)</f>
        <v>0</v>
      </c>
      <c r="M91" s="483">
        <f>IFERROR('Energy balance'!M7*$Q91,0)</f>
        <v>0</v>
      </c>
      <c r="N91" s="484">
        <f>IFERROR('Energy balance'!N7*$Q91,0)</f>
        <v>0</v>
      </c>
      <c r="O91" s="484">
        <f>IFERROR('Energy balance'!O7*$Q91,0)</f>
        <v>0</v>
      </c>
      <c r="Q91">
        <v>0</v>
      </c>
    </row>
    <row r="92" spans="1:17" ht="14">
      <c r="A92" s="106" t="s">
        <v>290</v>
      </c>
      <c r="B92" s="315" t="s">
        <v>210</v>
      </c>
      <c r="C92" s="487">
        <f>IFERROR('Energy balance'!C8*$Q92,0)</f>
        <v>0</v>
      </c>
      <c r="D92" s="487">
        <f>IFERROR('Energy balance'!D8*$Q92,0)</f>
        <v>0</v>
      </c>
      <c r="E92" s="487">
        <f>IFERROR('Energy balance'!E8*$Q92,0)</f>
        <v>0</v>
      </c>
      <c r="F92" s="487">
        <f>IFERROR('Energy balance'!F8*$Q92,0)</f>
        <v>0</v>
      </c>
      <c r="G92" s="487">
        <f>IFERROR('Energy balance'!G8*$Q92,0)</f>
        <v>0</v>
      </c>
      <c r="H92" s="487">
        <f>IFERROR('Energy balance'!H8*$Q92,0)</f>
        <v>0</v>
      </c>
      <c r="I92" s="487">
        <f>IFERROR('Energy balance'!I8*$Q92,0)</f>
        <v>0</v>
      </c>
      <c r="J92" s="487">
        <f>IFERROR('Energy balance'!J8*$Q92,0)</f>
        <v>0</v>
      </c>
      <c r="K92" s="487">
        <f>IFERROR('Energy balance'!K8*$Q92,0)</f>
        <v>0</v>
      </c>
      <c r="L92" s="487">
        <f>IFERROR('Energy balance'!L8*$Q92,0)</f>
        <v>0</v>
      </c>
      <c r="M92" s="487">
        <f>IFERROR('Energy balance'!M8*$Q92,0)</f>
        <v>0</v>
      </c>
      <c r="N92" s="487">
        <f>IFERROR('Energy balance'!N8*$Q92,0)</f>
        <v>0</v>
      </c>
      <c r="O92" s="487">
        <f>IFERROR('Energy balance'!O8*$Q92,0)</f>
        <v>0</v>
      </c>
      <c r="Q92" s="106">
        <v>0</v>
      </c>
    </row>
    <row r="93" spans="1:17" ht="14">
      <c r="A93" s="106" t="s">
        <v>290</v>
      </c>
      <c r="B93" s="315" t="s">
        <v>211</v>
      </c>
      <c r="C93" s="487">
        <f>IFERROR('Energy balance'!C9*$Q93,0)</f>
        <v>73.400000000000006</v>
      </c>
      <c r="D93" s="487">
        <f>IFERROR('Energy balance'!D9*$Q93,0)</f>
        <v>60.5</v>
      </c>
      <c r="E93" s="487">
        <f>IFERROR('Energy balance'!E9*$Q93,0)</f>
        <v>56.2</v>
      </c>
      <c r="F93" s="487">
        <f>IFERROR('Energy balance'!F9*$Q93,0)</f>
        <v>51.8</v>
      </c>
      <c r="G93" s="487">
        <f>IFERROR('Energy balance'!G9*$Q93,0)</f>
        <v>43.2</v>
      </c>
      <c r="H93" s="487">
        <f>IFERROR('Energy balance'!H9*$Q93,0)</f>
        <v>47.5</v>
      </c>
      <c r="I93" s="488">
        <f>IFERROR('Energy balance'!I9*$Q93,0)</f>
        <v>38.9</v>
      </c>
      <c r="J93" s="488">
        <f>IFERROR('Energy balance'!J9*$Q93,0)</f>
        <v>30.2</v>
      </c>
      <c r="K93" s="488">
        <f>IFERROR('Energy balance'!K9*$Q93,0)</f>
        <v>17.3</v>
      </c>
      <c r="L93" s="488">
        <f>IFERROR('Energy balance'!L9*$Q93,0)</f>
        <v>25.9</v>
      </c>
      <c r="M93" s="489">
        <f>IFERROR('Energy balance'!M9*$Q93,0)</f>
        <v>30.2</v>
      </c>
      <c r="N93" s="490">
        <f>IFERROR('Energy balance'!N9*$Q93,0)</f>
        <v>25.9</v>
      </c>
      <c r="O93" s="490">
        <f>IFERROR('Energy balance'!O9*$Q93,0)</f>
        <v>30.2</v>
      </c>
      <c r="Q93" s="106">
        <v>1</v>
      </c>
    </row>
    <row r="94" spans="1:17" ht="14">
      <c r="A94" s="106" t="s">
        <v>290</v>
      </c>
      <c r="B94" s="315" t="s">
        <v>212</v>
      </c>
      <c r="C94" s="487">
        <f>IFERROR('Energy balance'!C10*$Q94,0)</f>
        <v>0</v>
      </c>
      <c r="D94" s="487">
        <f>IFERROR('Energy balance'!D10*$Q94,0)</f>
        <v>0</v>
      </c>
      <c r="E94" s="487">
        <f>IFERROR('Energy balance'!E10*$Q94,0)</f>
        <v>0</v>
      </c>
      <c r="F94" s="487">
        <f>IFERROR('Energy balance'!F10*$Q94,0)</f>
        <v>0</v>
      </c>
      <c r="G94" s="487">
        <f>IFERROR('Energy balance'!G10*$Q94,0)</f>
        <v>0</v>
      </c>
      <c r="H94" s="487">
        <f>IFERROR('Energy balance'!H10*$Q94,0)</f>
        <v>0</v>
      </c>
      <c r="I94" s="485">
        <f>IFERROR('Energy balance'!I10*$Q94,0)</f>
        <v>0</v>
      </c>
      <c r="J94" s="485">
        <f>IFERROR('Energy balance'!J10*$Q94,0)</f>
        <v>0</v>
      </c>
      <c r="K94" s="485">
        <f>IFERROR('Energy balance'!K10*$Q94,0)</f>
        <v>0</v>
      </c>
      <c r="L94" s="485">
        <f>IFERROR('Energy balance'!L10*$Q94,0)</f>
        <v>0</v>
      </c>
      <c r="M94" s="483">
        <f>IFERROR('Energy balance'!M10*$Q94,0)</f>
        <v>0</v>
      </c>
      <c r="N94" s="484">
        <f>IFERROR('Energy balance'!N10*$Q94,0)</f>
        <v>0</v>
      </c>
      <c r="O94" s="484">
        <f>IFERROR('Energy balance'!O10*$Q94,0)</f>
        <v>0</v>
      </c>
      <c r="Q94" s="106">
        <v>0</v>
      </c>
    </row>
    <row r="95" spans="1:17" ht="14">
      <c r="A95" s="106" t="s">
        <v>290</v>
      </c>
      <c r="B95" s="315" t="s">
        <v>213</v>
      </c>
      <c r="C95" s="487">
        <f>IFERROR('Energy balance'!C11*$Q95,0)</f>
        <v>0</v>
      </c>
      <c r="D95" s="487">
        <f>IFERROR('Energy balance'!D11*$Q95,0)</f>
        <v>0</v>
      </c>
      <c r="E95" s="487">
        <f>IFERROR('Energy balance'!E11*$Q95,0)</f>
        <v>0</v>
      </c>
      <c r="F95" s="487">
        <f>IFERROR('Energy balance'!F11*$Q95,0)</f>
        <v>0</v>
      </c>
      <c r="G95" s="487">
        <f>IFERROR('Energy balance'!G11*$Q95,0)</f>
        <v>0</v>
      </c>
      <c r="H95" s="487">
        <f>IFERROR('Energy balance'!H11*$Q95,0)</f>
        <v>0</v>
      </c>
      <c r="I95" s="488">
        <f>IFERROR('Energy balance'!I11*$Q95,0)</f>
        <v>0</v>
      </c>
      <c r="J95" s="488">
        <f>IFERROR('Energy balance'!J11*$Q95,0)</f>
        <v>0</v>
      </c>
      <c r="K95" s="488">
        <f>IFERROR('Energy balance'!K11*$Q95,0)</f>
        <v>0</v>
      </c>
      <c r="L95" s="488">
        <f>IFERROR('Energy balance'!L11*$Q95,0)</f>
        <v>0</v>
      </c>
      <c r="M95" s="489">
        <f>IFERROR('Energy balance'!M11*$Q95,0)</f>
        <v>0</v>
      </c>
      <c r="N95" s="490">
        <f>IFERROR('Energy balance'!N11*$Q95,0)</f>
        <v>0</v>
      </c>
      <c r="O95" s="490">
        <f>IFERROR('Energy balance'!O11*$Q95,0)</f>
        <v>0</v>
      </c>
      <c r="Q95" s="106">
        <v>0</v>
      </c>
    </row>
    <row r="96" spans="1:17" ht="15">
      <c r="A96" s="106" t="s">
        <v>290</v>
      </c>
      <c r="B96" s="324" t="s">
        <v>214</v>
      </c>
      <c r="C96" s="487">
        <f>IFERROR('Energy balance'!C12*$Q96,0)</f>
        <v>0</v>
      </c>
      <c r="D96" s="487">
        <f>IFERROR('Energy balance'!D12*$Q96,0)</f>
        <v>0</v>
      </c>
      <c r="E96" s="487">
        <f>IFERROR('Energy balance'!E12*$Q96,0)</f>
        <v>0</v>
      </c>
      <c r="F96" s="487">
        <f>IFERROR('Energy balance'!F12*$Q96,0)</f>
        <v>0</v>
      </c>
      <c r="G96" s="487">
        <f>IFERROR('Energy balance'!G12*$Q96,0)</f>
        <v>0</v>
      </c>
      <c r="H96" s="487">
        <f>IFERROR('Energy balance'!H12*$Q96,0)</f>
        <v>0</v>
      </c>
      <c r="I96" s="488">
        <f>IFERROR('Energy balance'!I12*$Q96,0)</f>
        <v>0</v>
      </c>
      <c r="J96" s="488">
        <f>IFERROR('Energy balance'!J12*$Q96,0)</f>
        <v>0</v>
      </c>
      <c r="K96" s="488">
        <f>IFERROR('Energy balance'!K12*$Q96,0)</f>
        <v>0</v>
      </c>
      <c r="L96" s="488">
        <f>IFERROR('Energy balance'!L12*$Q96,0)</f>
        <v>0</v>
      </c>
      <c r="M96" s="489">
        <f>IFERROR('Energy balance'!M12*$Q96,0)</f>
        <v>0</v>
      </c>
      <c r="N96" s="490">
        <f>IFERROR('Energy balance'!N12*$Q96,0)</f>
        <v>0</v>
      </c>
      <c r="O96" s="490">
        <f>IFERROR('Energy balance'!O12*$Q96,0)</f>
        <v>0</v>
      </c>
      <c r="Q96" s="106">
        <v>0</v>
      </c>
    </row>
    <row r="97" spans="1:17" ht="15">
      <c r="A97" s="106" t="s">
        <v>290</v>
      </c>
      <c r="B97" s="324" t="s">
        <v>215</v>
      </c>
      <c r="C97" s="485">
        <f>IFERROR('Energy balance'!C13*$Q97,0)</f>
        <v>0</v>
      </c>
      <c r="D97" s="485">
        <f>IFERROR('Energy balance'!D13*$Q97,0)</f>
        <v>0</v>
      </c>
      <c r="E97" s="485">
        <f>IFERROR('Energy balance'!E13*$Q97,0)</f>
        <v>0</v>
      </c>
      <c r="F97" s="485">
        <f>IFERROR('Energy balance'!F13*$Q97,0)</f>
        <v>0</v>
      </c>
      <c r="G97" s="485">
        <f>IFERROR('Energy balance'!G13*$Q97,0)</f>
        <v>0</v>
      </c>
      <c r="H97" s="485">
        <f>IFERROR('Energy balance'!H13*$Q97,0)</f>
        <v>0</v>
      </c>
      <c r="I97" s="485">
        <f>IFERROR('Energy balance'!I13*$Q97,0)</f>
        <v>0</v>
      </c>
      <c r="J97" s="485">
        <f>IFERROR('Energy balance'!J13*$Q97,0)</f>
        <v>0</v>
      </c>
      <c r="K97" s="486">
        <f>IFERROR('Energy balance'!K13*$Q97,0)</f>
        <v>0</v>
      </c>
      <c r="L97" s="485">
        <f>IFERROR('Energy balance'!L13*$Q97,0)</f>
        <v>0</v>
      </c>
      <c r="M97" s="483">
        <f>IFERROR('Energy balance'!M13*$Q97,0)</f>
        <v>0</v>
      </c>
      <c r="N97" s="484">
        <f>IFERROR('Energy balance'!N13*$Q97,0)</f>
        <v>0</v>
      </c>
      <c r="O97" s="484">
        <f>IFERROR('Energy balance'!O13*$Q97,0)</f>
        <v>0</v>
      </c>
      <c r="Q97" s="106">
        <v>0</v>
      </c>
    </row>
    <row r="98" spans="1:17" ht="14">
      <c r="A98" s="106" t="s">
        <v>290</v>
      </c>
      <c r="B98" s="325" t="s">
        <v>216</v>
      </c>
      <c r="C98" s="485">
        <f>IFERROR('Energy balance'!C14*$Q98,0)</f>
        <v>0</v>
      </c>
      <c r="D98" s="485">
        <f>IFERROR('Energy balance'!D14*$Q98,0)</f>
        <v>0</v>
      </c>
      <c r="E98" s="485">
        <f>IFERROR('Energy balance'!E14*$Q98,0)</f>
        <v>0</v>
      </c>
      <c r="F98" s="485">
        <f>IFERROR('Energy balance'!F14*$Q98,0)</f>
        <v>0</v>
      </c>
      <c r="G98" s="485">
        <f>IFERROR('Energy balance'!G14*$Q98,0)</f>
        <v>0</v>
      </c>
      <c r="H98" s="485">
        <f>IFERROR('Energy balance'!H14*$Q98,0)</f>
        <v>0</v>
      </c>
      <c r="I98" s="485">
        <f>IFERROR('Energy balance'!I14*$Q98,0)</f>
        <v>0</v>
      </c>
      <c r="J98" s="485">
        <f>IFERROR('Energy balance'!J14*$Q98,0)</f>
        <v>0</v>
      </c>
      <c r="K98" s="486">
        <f>IFERROR('Energy balance'!K14*$Q98,0)</f>
        <v>0</v>
      </c>
      <c r="L98" s="485">
        <f>IFERROR('Energy balance'!L14*$Q98,0)</f>
        <v>0</v>
      </c>
      <c r="M98" s="483">
        <f>IFERROR('Energy balance'!M14*$Q98,0)</f>
        <v>0</v>
      </c>
      <c r="N98" s="484">
        <f>IFERROR('Energy balance'!N14*$Q98,0)</f>
        <v>0</v>
      </c>
      <c r="O98" s="484">
        <f>IFERROR('Energy balance'!O14*$Q98,0)</f>
        <v>0</v>
      </c>
      <c r="Q98" s="106">
        <v>0</v>
      </c>
    </row>
    <row r="99" spans="1:17" ht="14">
      <c r="A99" s="106" t="s">
        <v>290</v>
      </c>
      <c r="B99" s="325" t="s">
        <v>217</v>
      </c>
      <c r="C99" s="485">
        <f>IFERROR('Energy balance'!C15*$Q99,0)</f>
        <v>0</v>
      </c>
      <c r="D99" s="485">
        <f>IFERROR('Energy balance'!D15*$Q99,0)</f>
        <v>0</v>
      </c>
      <c r="E99" s="485">
        <f>IFERROR('Energy balance'!E15*$Q99,0)</f>
        <v>0</v>
      </c>
      <c r="F99" s="485">
        <f>IFERROR('Energy balance'!F15*$Q99,0)</f>
        <v>0</v>
      </c>
      <c r="G99" s="485">
        <f>IFERROR('Energy balance'!G15*$Q99,0)</f>
        <v>0</v>
      </c>
      <c r="H99" s="485">
        <f>IFERROR('Energy balance'!H15*$Q99,0)</f>
        <v>0</v>
      </c>
      <c r="I99" s="485">
        <f>IFERROR('Energy balance'!I15*$Q99,0)</f>
        <v>0</v>
      </c>
      <c r="J99" s="485">
        <f>IFERROR('Energy balance'!J15*$Q99,0)</f>
        <v>0</v>
      </c>
      <c r="K99" s="486">
        <f>IFERROR('Energy balance'!K15*$Q99,0)</f>
        <v>0</v>
      </c>
      <c r="L99" s="485">
        <f>IFERROR('Energy balance'!L15*$Q99,0)</f>
        <v>0</v>
      </c>
      <c r="M99" s="483">
        <f>IFERROR('Energy balance'!M15*$Q99,0)</f>
        <v>0</v>
      </c>
      <c r="N99" s="484">
        <f>IFERROR('Energy balance'!N15*$Q99,0)</f>
        <v>0</v>
      </c>
      <c r="O99" s="484">
        <f>IFERROR('Energy balance'!O15*$Q99,0)</f>
        <v>0</v>
      </c>
      <c r="Q99" s="106">
        <v>0</v>
      </c>
    </row>
    <row r="100" spans="1:17" ht="14">
      <c r="A100" s="106" t="s">
        <v>290</v>
      </c>
      <c r="B100" s="325" t="s">
        <v>218</v>
      </c>
      <c r="C100" s="485">
        <f>IFERROR('Energy balance'!C16*$Q100,0)</f>
        <v>0</v>
      </c>
      <c r="D100" s="485">
        <f>IFERROR('Energy balance'!D16*$Q100,0)</f>
        <v>0</v>
      </c>
      <c r="E100" s="485">
        <f>IFERROR('Energy balance'!E16*$Q100,0)</f>
        <v>0</v>
      </c>
      <c r="F100" s="485">
        <f>IFERROR('Energy balance'!F16*$Q100,0)</f>
        <v>0</v>
      </c>
      <c r="G100" s="485">
        <f>IFERROR('Energy balance'!G16*$Q100,0)</f>
        <v>0</v>
      </c>
      <c r="H100" s="485">
        <f>IFERROR('Energy balance'!H16*$Q100,0)</f>
        <v>0</v>
      </c>
      <c r="I100" s="485">
        <f>IFERROR('Energy balance'!I16*$Q100,0)</f>
        <v>0</v>
      </c>
      <c r="J100" s="485">
        <f>IFERROR('Energy balance'!J16*$Q100,0)</f>
        <v>0</v>
      </c>
      <c r="K100" s="486">
        <f>IFERROR('Energy balance'!K16*$Q100,0)</f>
        <v>0</v>
      </c>
      <c r="L100" s="485">
        <f>IFERROR('Energy balance'!L16*$Q100,0)</f>
        <v>0</v>
      </c>
      <c r="M100" s="483">
        <f>IFERROR('Energy balance'!M16*$Q100,0)</f>
        <v>0</v>
      </c>
      <c r="N100" s="484">
        <f>IFERROR('Energy balance'!N16*$Q100,0)</f>
        <v>0</v>
      </c>
      <c r="O100" s="484">
        <f>IFERROR('Energy balance'!O16*$Q100,0)</f>
        <v>0</v>
      </c>
      <c r="Q100" s="106">
        <v>0</v>
      </c>
    </row>
    <row r="101" spans="1:17" ht="14">
      <c r="A101" s="106" t="s">
        <v>290</v>
      </c>
      <c r="B101" s="315" t="s">
        <v>219</v>
      </c>
      <c r="C101" s="485">
        <f>IFERROR('Energy balance'!C17*$Q101,0)</f>
        <v>0</v>
      </c>
      <c r="D101" s="485">
        <f>IFERROR('Energy balance'!D17*$Q101,0)</f>
        <v>0</v>
      </c>
      <c r="E101" s="485">
        <f>IFERROR('Energy balance'!E17*$Q101,0)</f>
        <v>0</v>
      </c>
      <c r="F101" s="485">
        <f>IFERROR('Energy balance'!F17*$Q101,0)</f>
        <v>0</v>
      </c>
      <c r="G101" s="485">
        <f>IFERROR('Energy balance'!G17*$Q101,0)</f>
        <v>0</v>
      </c>
      <c r="H101" s="485">
        <f>IFERROR('Energy balance'!H17*$Q101,0)</f>
        <v>0</v>
      </c>
      <c r="I101" s="485">
        <f>IFERROR('Energy balance'!I17*$Q101,0)</f>
        <v>0</v>
      </c>
      <c r="J101" s="485">
        <f>IFERROR('Energy balance'!J17*$Q101,0)</f>
        <v>0</v>
      </c>
      <c r="K101" s="486">
        <f>IFERROR('Energy balance'!K17*$Q101,0)</f>
        <v>0</v>
      </c>
      <c r="L101" s="485">
        <f>IFERROR('Energy balance'!L17*$Q101,0)</f>
        <v>0</v>
      </c>
      <c r="M101" s="483">
        <f>IFERROR('Energy balance'!M17*$Q101,0)</f>
        <v>0</v>
      </c>
      <c r="N101" s="484">
        <f>IFERROR('Energy balance'!N17*$Q101,0)</f>
        <v>0</v>
      </c>
      <c r="O101" s="484">
        <f>IFERROR('Energy balance'!O17*$Q101,0)</f>
        <v>0</v>
      </c>
      <c r="Q101" s="106">
        <v>0</v>
      </c>
    </row>
    <row r="102" spans="1:17" ht="14">
      <c r="A102" s="106" t="s">
        <v>290</v>
      </c>
      <c r="B102" s="315" t="s">
        <v>80</v>
      </c>
      <c r="C102" s="485">
        <f>IFERROR('Energy balance'!C18*$Q102,0)</f>
        <v>0</v>
      </c>
      <c r="D102" s="485">
        <f>IFERROR('Energy balance'!D18*$Q102,0)</f>
        <v>0</v>
      </c>
      <c r="E102" s="487">
        <f>IFERROR('Energy balance'!E18*$Q102,0)</f>
        <v>0</v>
      </c>
      <c r="F102" s="487">
        <f>IFERROR('Energy balance'!F18*$Q102,0)</f>
        <v>0</v>
      </c>
      <c r="G102" s="487">
        <f>IFERROR('Energy balance'!G18*$Q102,0)</f>
        <v>0</v>
      </c>
      <c r="H102" s="487">
        <f>IFERROR('Energy balance'!H18*$Q102,0)</f>
        <v>0</v>
      </c>
      <c r="I102" s="488">
        <f>IFERROR('Energy balance'!I18*$Q102,0)</f>
        <v>0</v>
      </c>
      <c r="J102" s="488">
        <f>IFERROR('Energy balance'!J18*$Q102,0)</f>
        <v>0</v>
      </c>
      <c r="K102" s="488">
        <f>IFERROR('Energy balance'!K18*$Q102,0)</f>
        <v>0</v>
      </c>
      <c r="L102" s="488">
        <f>IFERROR('Energy balance'!L18*$Q102,0)</f>
        <v>0</v>
      </c>
      <c r="M102" s="489">
        <f>IFERROR('Energy balance'!M18*$Q102,0)</f>
        <v>0</v>
      </c>
      <c r="N102" s="490">
        <f>IFERROR('Energy balance'!N18*$Q102,0)</f>
        <v>0</v>
      </c>
      <c r="O102" s="490">
        <f>IFERROR('Energy balance'!O18*$Q102,0)</f>
        <v>0</v>
      </c>
      <c r="Q102" s="106">
        <v>0</v>
      </c>
    </row>
    <row r="103" spans="1:17" ht="14">
      <c r="A103" s="106" t="s">
        <v>290</v>
      </c>
      <c r="B103" s="315" t="s">
        <v>220</v>
      </c>
      <c r="C103" s="485">
        <f>IFERROR('Energy balance'!C19*$Q103,0)</f>
        <v>0</v>
      </c>
      <c r="D103" s="485">
        <f>IFERROR('Energy balance'!D19*$Q103,0)</f>
        <v>0</v>
      </c>
      <c r="E103" s="485">
        <f>IFERROR('Energy balance'!E19*$Q103,0)</f>
        <v>0</v>
      </c>
      <c r="F103" s="485">
        <f>IFERROR('Energy balance'!F19*$Q103,0)</f>
        <v>0</v>
      </c>
      <c r="G103" s="485">
        <f>IFERROR('Energy balance'!G19*$Q103,0)</f>
        <v>0</v>
      </c>
      <c r="H103" s="485">
        <f>IFERROR('Energy balance'!H19*$Q103,0)</f>
        <v>0</v>
      </c>
      <c r="I103" s="488">
        <f>IFERROR('Energy balance'!I19*$Q103,0)</f>
        <v>0</v>
      </c>
      <c r="J103" s="488">
        <f>IFERROR('Energy balance'!J19*$Q103,0)</f>
        <v>0</v>
      </c>
      <c r="K103" s="488">
        <f>IFERROR('Energy balance'!K19*$Q103,0)</f>
        <v>0</v>
      </c>
      <c r="L103" s="488">
        <f>IFERROR('Energy balance'!L19*$Q103,0)</f>
        <v>0</v>
      </c>
      <c r="M103" s="491">
        <f>IFERROR('Energy balance'!M19*$Q103,0)</f>
        <v>0</v>
      </c>
      <c r="N103" s="492">
        <f>IFERROR('Energy balance'!N19*$Q103,0)</f>
        <v>0</v>
      </c>
      <c r="O103" s="492">
        <f>IFERROR('Energy balance'!O19*$Q103,0)</f>
        <v>0</v>
      </c>
      <c r="Q103" s="106">
        <v>0</v>
      </c>
    </row>
    <row r="104" spans="1:17" ht="14">
      <c r="A104" s="106" t="s">
        <v>290</v>
      </c>
      <c r="B104" s="315" t="s">
        <v>79</v>
      </c>
      <c r="C104" s="493">
        <f>IFERROR('Energy balance'!C20*$Q104,0)</f>
        <v>29208.315894039733</v>
      </c>
      <c r="D104" s="485">
        <f>IFERROR('Energy balance'!D20*$Q104,0)</f>
        <v>26087.437748344368</v>
      </c>
      <c r="E104" s="485">
        <f>IFERROR('Energy balance'!E20*$Q104,0)</f>
        <v>20492.676158940398</v>
      </c>
      <c r="F104" s="485">
        <f>IFERROR('Energy balance'!F20*$Q104,0)</f>
        <v>20170.24966887417</v>
      </c>
      <c r="G104" s="488">
        <f>IFERROR('Energy balance'!G20*$Q104,0)</f>
        <v>20734.7880794702</v>
      </c>
      <c r="H104" s="488">
        <f>IFERROR('Energy balance'!H20*$Q104,0)</f>
        <v>22783.637086092713</v>
      </c>
      <c r="I104" s="488">
        <f>IFERROR('Energy balance'!I20*$Q104,0)</f>
        <v>23535.381456953641</v>
      </c>
      <c r="J104" s="488">
        <f>IFERROR('Energy balance'!J20*$Q104,0)</f>
        <v>25555.803973509934</v>
      </c>
      <c r="K104" s="488">
        <f>IFERROR('Energy balance'!K20*$Q104,0)</f>
        <v>27819.409271523178</v>
      </c>
      <c r="L104" s="488">
        <f>IFERROR('Energy balance'!L20*$Q104,0)</f>
        <v>28287.667549668873</v>
      </c>
      <c r="M104" s="489">
        <f>IFERROR('Energy balance'!M20*$Q104,0)</f>
        <v>25004.213245033112</v>
      </c>
      <c r="N104" s="490">
        <f>IFERROR('Energy balance'!N20*$Q104,0)</f>
        <v>23478.625827814569</v>
      </c>
      <c r="O104" s="490">
        <f>IFERROR('Energy balance'!O20*$Q104,0)</f>
        <v>22492.752317880793</v>
      </c>
      <c r="Q104" s="362">
        <f>G10</f>
        <v>0.97350993377483441</v>
      </c>
    </row>
    <row r="105" spans="1:17" ht="14">
      <c r="A105" s="106" t="s">
        <v>290</v>
      </c>
      <c r="B105" s="315" t="s">
        <v>221</v>
      </c>
      <c r="C105" s="485">
        <f>IFERROR('Energy balance'!C21*$Q105,0)</f>
        <v>0</v>
      </c>
      <c r="D105" s="485">
        <f>IFERROR('Energy balance'!D21*$Q105,0)</f>
        <v>0</v>
      </c>
      <c r="E105" s="487">
        <f>IFERROR('Energy balance'!E21*$Q105,0)</f>
        <v>0</v>
      </c>
      <c r="F105" s="487">
        <f>IFERROR('Energy balance'!F21*$Q105,0)</f>
        <v>0</v>
      </c>
      <c r="G105" s="487">
        <f>IFERROR('Energy balance'!G21*$Q105,0)</f>
        <v>0</v>
      </c>
      <c r="H105" s="487">
        <f>IFERROR('Energy balance'!H21*$Q105,0)</f>
        <v>0</v>
      </c>
      <c r="I105" s="488">
        <f>IFERROR('Energy balance'!I21*$Q105,0)</f>
        <v>0</v>
      </c>
      <c r="J105" s="488">
        <f>IFERROR('Energy balance'!J21*$Q105,0)</f>
        <v>0</v>
      </c>
      <c r="K105" s="488">
        <f>IFERROR('Energy balance'!K21*$Q105,0)</f>
        <v>0</v>
      </c>
      <c r="L105" s="488">
        <f>IFERROR('Energy balance'!L21*$Q105,0)</f>
        <v>0</v>
      </c>
      <c r="M105" s="489">
        <f>IFERROR('Energy balance'!M21*$Q105,0)</f>
        <v>0</v>
      </c>
      <c r="N105" s="490">
        <f>IFERROR('Energy balance'!N21*$Q105,0)</f>
        <v>0</v>
      </c>
      <c r="O105" s="490">
        <f>IFERROR('Energy balance'!O21*$Q105,0)</f>
        <v>0</v>
      </c>
      <c r="Q105" s="106">
        <v>0</v>
      </c>
    </row>
    <row r="106" spans="1:17" ht="15" thickBot="1">
      <c r="A106" s="106" t="s">
        <v>290</v>
      </c>
      <c r="B106" s="327" t="s">
        <v>222</v>
      </c>
      <c r="C106" s="494">
        <f>IFERROR('Energy balance'!C22*$Q106,0)</f>
        <v>0</v>
      </c>
      <c r="D106" s="494">
        <f>IFERROR('Energy balance'!D22*$Q106,0)</f>
        <v>0</v>
      </c>
      <c r="E106" s="494">
        <f>IFERROR('Energy balance'!E22*$Q106,0)</f>
        <v>0</v>
      </c>
      <c r="F106" s="494">
        <f>IFERROR('Energy balance'!F22*$Q106,0)</f>
        <v>0</v>
      </c>
      <c r="G106" s="494">
        <f>IFERROR('Energy balance'!G22*$Q106,0)</f>
        <v>0</v>
      </c>
      <c r="H106" s="494">
        <f>IFERROR('Energy balance'!H22*$Q106,0)</f>
        <v>0</v>
      </c>
      <c r="I106" s="494">
        <f>IFERROR('Energy balance'!I22*$Q106,0)</f>
        <v>0</v>
      </c>
      <c r="J106" s="494">
        <f>IFERROR('Energy balance'!J22*$Q106,0)</f>
        <v>0</v>
      </c>
      <c r="K106" s="494">
        <f>IFERROR('Energy balance'!K22*$Q106,0)</f>
        <v>0</v>
      </c>
      <c r="L106" s="494">
        <f>IFERROR('Energy balance'!L22*$Q106,0)</f>
        <v>0</v>
      </c>
      <c r="M106" s="495">
        <f>IFERROR('Energy balance'!M22*$Q106,0)</f>
        <v>0</v>
      </c>
      <c r="N106" s="496">
        <f>IFERROR('Energy balance'!N22*$Q106,0)</f>
        <v>0</v>
      </c>
      <c r="O106" s="496">
        <f>IFERROR('Energy balance'!O22*$Q106,0)</f>
        <v>0</v>
      </c>
      <c r="Q106" s="106">
        <v>0</v>
      </c>
    </row>
    <row r="107" spans="1:17" ht="14">
      <c r="A107" s="106" t="s">
        <v>290</v>
      </c>
      <c r="B107" s="364" t="s">
        <v>106</v>
      </c>
      <c r="C107" s="365">
        <f>SUM(C89:C106)</f>
        <v>29281.715894039735</v>
      </c>
      <c r="D107" s="365">
        <f t="shared" ref="D107" si="28">SUM(D89:D106)</f>
        <v>26147.937748344368</v>
      </c>
      <c r="E107" s="365">
        <f t="shared" ref="E107" si="29">SUM(E89:E106)</f>
        <v>20548.876158940398</v>
      </c>
      <c r="F107" s="365">
        <f t="shared" ref="F107" si="30">SUM(F89:F106)</f>
        <v>20222.04966887417</v>
      </c>
      <c r="G107" s="365">
        <f t="shared" ref="G107" si="31">SUM(G89:G106)</f>
        <v>20777.9880794702</v>
      </c>
      <c r="H107" s="365">
        <f t="shared" ref="H107" si="32">SUM(H89:H106)</f>
        <v>22831.137086092713</v>
      </c>
      <c r="I107" s="365">
        <f t="shared" ref="I107" si="33">SUM(I89:I106)</f>
        <v>23574.281456953642</v>
      </c>
      <c r="J107" s="365">
        <f t="shared" ref="J107" si="34">SUM(J89:J106)</f>
        <v>25586.003973509934</v>
      </c>
      <c r="K107" s="365">
        <f t="shared" ref="K107" si="35">SUM(K89:K106)</f>
        <v>27836.709271523177</v>
      </c>
      <c r="L107" s="365">
        <f t="shared" ref="L107" si="36">SUM(L89:L106)</f>
        <v>28313.567549668875</v>
      </c>
      <c r="M107" s="365">
        <f t="shared" ref="M107" si="37">SUM(M89:M106)</f>
        <v>25034.413245033113</v>
      </c>
      <c r="N107" s="365">
        <f t="shared" ref="N107:O107" si="38">SUM(N89:N106)</f>
        <v>23504.52582781457</v>
      </c>
      <c r="O107" s="365">
        <f t="shared" si="38"/>
        <v>22522.952317880794</v>
      </c>
    </row>
    <row r="109" spans="1:17" ht="17" thickBot="1">
      <c r="B109" s="358" t="s">
        <v>293</v>
      </c>
    </row>
    <row r="110" spans="1:17" ht="15" thickBot="1">
      <c r="B110" s="304"/>
      <c r="C110" s="305">
        <v>2007</v>
      </c>
      <c r="D110" s="306">
        <v>2008</v>
      </c>
      <c r="E110" s="306">
        <v>2009</v>
      </c>
      <c r="F110" s="306">
        <v>2010</v>
      </c>
      <c r="G110" s="306">
        <v>2011</v>
      </c>
      <c r="H110" s="306">
        <v>2012</v>
      </c>
      <c r="I110" s="306">
        <v>2013</v>
      </c>
      <c r="J110" s="306">
        <v>2014</v>
      </c>
      <c r="K110" s="306">
        <v>2015</v>
      </c>
      <c r="L110" s="306">
        <v>2016</v>
      </c>
      <c r="M110" s="307">
        <v>2017</v>
      </c>
      <c r="N110" s="308">
        <v>2018</v>
      </c>
      <c r="O110" s="308">
        <v>2019</v>
      </c>
    </row>
    <row r="111" spans="1:17" ht="14">
      <c r="A111" s="106" t="s">
        <v>291</v>
      </c>
      <c r="B111" s="310" t="s">
        <v>206</v>
      </c>
      <c r="C111" s="481">
        <f>IFERROR('Energy balance'!C5*$Q111,0)</f>
        <v>0</v>
      </c>
      <c r="D111" s="481">
        <f>IFERROR('Energy balance'!D5*$Q111,0)</f>
        <v>0</v>
      </c>
      <c r="E111" s="481">
        <f>IFERROR('Energy balance'!E5*$Q111,0)</f>
        <v>0</v>
      </c>
      <c r="F111" s="481">
        <f>IFERROR('Energy balance'!F5*$Q111,0)</f>
        <v>0</v>
      </c>
      <c r="G111" s="481">
        <f>IFERROR('Energy balance'!G5*$Q111,0)</f>
        <v>0</v>
      </c>
      <c r="H111" s="482">
        <f>IFERROR('Energy balance'!H5*$Q111,0)</f>
        <v>0</v>
      </c>
      <c r="I111" s="482">
        <f>IFERROR('Energy balance'!I5*$Q111,0)</f>
        <v>0</v>
      </c>
      <c r="J111" s="482">
        <f>IFERROR('Energy balance'!J5*$Q111,0)</f>
        <v>0</v>
      </c>
      <c r="K111" s="482">
        <f>IFERROR('Energy balance'!K5*$Q111,0)</f>
        <v>0</v>
      </c>
      <c r="L111" s="482">
        <f>IFERROR('Energy balance'!L5*$Q111,0)</f>
        <v>0</v>
      </c>
      <c r="M111" s="483">
        <f>IFERROR('Energy balance'!M5*$Q111,0)</f>
        <v>0</v>
      </c>
      <c r="N111" s="484">
        <f>IFERROR('Energy balance'!N5*$Q111,0)</f>
        <v>0</v>
      </c>
      <c r="O111" s="484">
        <f>IFERROR('Energy balance'!O5*$Q111,0)</f>
        <v>0</v>
      </c>
      <c r="Q111">
        <v>0</v>
      </c>
    </row>
    <row r="112" spans="1:17" ht="14">
      <c r="A112" s="106" t="s">
        <v>291</v>
      </c>
      <c r="B112" s="315" t="s">
        <v>208</v>
      </c>
      <c r="C112" s="485">
        <f>IFERROR('Energy balance'!C6*$Q112,0)</f>
        <v>0</v>
      </c>
      <c r="D112" s="485">
        <f>IFERROR('Energy balance'!D6*$Q112,0)</f>
        <v>0</v>
      </c>
      <c r="E112" s="485">
        <f>IFERROR('Energy balance'!E6*$Q112,0)</f>
        <v>0</v>
      </c>
      <c r="F112" s="485">
        <f>IFERROR('Energy balance'!F6*$Q112,0)</f>
        <v>0</v>
      </c>
      <c r="G112" s="485">
        <f>IFERROR('Energy balance'!G6*$Q112,0)</f>
        <v>0</v>
      </c>
      <c r="H112" s="486">
        <f>IFERROR('Energy balance'!H6*$Q112,0)</f>
        <v>0</v>
      </c>
      <c r="I112" s="486">
        <f>IFERROR('Energy balance'!I6*$Q112,0)</f>
        <v>0</v>
      </c>
      <c r="J112" s="486">
        <f>IFERROR('Energy balance'!J6*$Q112,0)</f>
        <v>0</v>
      </c>
      <c r="K112" s="486">
        <f>IFERROR('Energy balance'!K6*$Q112,0)</f>
        <v>0</v>
      </c>
      <c r="L112" s="486">
        <f>IFERROR('Energy balance'!L6*$Q112,0)</f>
        <v>0</v>
      </c>
      <c r="M112" s="483">
        <f>IFERROR('Energy balance'!M6*$Q112,0)</f>
        <v>0</v>
      </c>
      <c r="N112" s="484">
        <f>IFERROR('Energy balance'!N6*$Q112,0)</f>
        <v>0</v>
      </c>
      <c r="O112" s="484">
        <f>IFERROR('Energy balance'!O6*$Q112,0)</f>
        <v>0</v>
      </c>
      <c r="Q112">
        <v>0</v>
      </c>
    </row>
    <row r="113" spans="1:17" ht="14">
      <c r="A113" s="106" t="s">
        <v>291</v>
      </c>
      <c r="B113" s="315" t="s">
        <v>209</v>
      </c>
      <c r="C113" s="485">
        <f>IFERROR('Energy balance'!C7*$Q113,0)</f>
        <v>0</v>
      </c>
      <c r="D113" s="485">
        <f>IFERROR('Energy balance'!D7*$Q113,0)</f>
        <v>0</v>
      </c>
      <c r="E113" s="485">
        <f>IFERROR('Energy balance'!E7*$Q113,0)</f>
        <v>0</v>
      </c>
      <c r="F113" s="485">
        <f>IFERROR('Energy balance'!F7*$Q113,0)</f>
        <v>0</v>
      </c>
      <c r="G113" s="485">
        <f>IFERROR('Energy balance'!G7*$Q113,0)</f>
        <v>0</v>
      </c>
      <c r="H113" s="486">
        <f>IFERROR('Energy balance'!H7*$Q113,0)</f>
        <v>0</v>
      </c>
      <c r="I113" s="486">
        <f>IFERROR('Energy balance'!I7*$Q113,0)</f>
        <v>0</v>
      </c>
      <c r="J113" s="486">
        <f>IFERROR('Energy balance'!J7*$Q113,0)</f>
        <v>0</v>
      </c>
      <c r="K113" s="486">
        <f>IFERROR('Energy balance'!K7*$Q113,0)</f>
        <v>0</v>
      </c>
      <c r="L113" s="486">
        <f>IFERROR('Energy balance'!L7*$Q113,0)</f>
        <v>0</v>
      </c>
      <c r="M113" s="483">
        <f>IFERROR('Energy balance'!M7*$Q113,0)</f>
        <v>0</v>
      </c>
      <c r="N113" s="484">
        <f>IFERROR('Energy balance'!N7*$Q113,0)</f>
        <v>0</v>
      </c>
      <c r="O113" s="484">
        <f>IFERROR('Energy balance'!O7*$Q113,0)</f>
        <v>0</v>
      </c>
      <c r="Q113">
        <v>0</v>
      </c>
    </row>
    <row r="114" spans="1:17" ht="14">
      <c r="A114" s="106" t="s">
        <v>291</v>
      </c>
      <c r="B114" s="315" t="s">
        <v>210</v>
      </c>
      <c r="C114" s="487">
        <f>IFERROR('Energy balance'!C8*$Q114,0)</f>
        <v>0</v>
      </c>
      <c r="D114" s="487">
        <f>IFERROR('Energy balance'!D8*$Q114,0)</f>
        <v>0</v>
      </c>
      <c r="E114" s="487">
        <f>IFERROR('Energy balance'!E8*$Q114,0)</f>
        <v>0</v>
      </c>
      <c r="F114" s="487">
        <f>IFERROR('Energy balance'!F8*$Q114,0)</f>
        <v>0</v>
      </c>
      <c r="G114" s="487">
        <f>IFERROR('Energy balance'!G8*$Q114,0)</f>
        <v>0</v>
      </c>
      <c r="H114" s="487">
        <f>IFERROR('Energy balance'!H8*$Q114,0)</f>
        <v>0</v>
      </c>
      <c r="I114" s="487">
        <f>IFERROR('Energy balance'!I8*$Q114,0)</f>
        <v>0</v>
      </c>
      <c r="J114" s="487">
        <f>IFERROR('Energy balance'!J8*$Q114,0)</f>
        <v>0</v>
      </c>
      <c r="K114" s="487">
        <f>IFERROR('Energy balance'!K8*$Q114,0)</f>
        <v>0</v>
      </c>
      <c r="L114" s="487">
        <f>IFERROR('Energy balance'!L8*$Q114,0)</f>
        <v>0</v>
      </c>
      <c r="M114" s="487">
        <f>IFERROR('Energy balance'!M8*$Q114,0)</f>
        <v>0</v>
      </c>
      <c r="N114" s="487">
        <f>IFERROR('Energy balance'!N8*$Q114,0)</f>
        <v>0</v>
      </c>
      <c r="O114" s="487">
        <f>IFERROR('Energy balance'!O8*$Q114,0)</f>
        <v>0</v>
      </c>
      <c r="Q114" s="106">
        <v>0</v>
      </c>
    </row>
    <row r="115" spans="1:17" ht="14">
      <c r="A115" s="106" t="s">
        <v>291</v>
      </c>
      <c r="B115" s="315" t="s">
        <v>211</v>
      </c>
      <c r="C115" s="487">
        <f>IFERROR('Energy balance'!C9*$Q115,0)</f>
        <v>0</v>
      </c>
      <c r="D115" s="487">
        <f>IFERROR('Energy balance'!D9*$Q115,0)</f>
        <v>0</v>
      </c>
      <c r="E115" s="487">
        <f>IFERROR('Energy balance'!E9*$Q115,0)</f>
        <v>0</v>
      </c>
      <c r="F115" s="487">
        <f>IFERROR('Energy balance'!F9*$Q115,0)</f>
        <v>0</v>
      </c>
      <c r="G115" s="487">
        <f>IFERROR('Energy balance'!G9*$Q115,0)</f>
        <v>0</v>
      </c>
      <c r="H115" s="487">
        <f>IFERROR('Energy balance'!H9*$Q115,0)</f>
        <v>0</v>
      </c>
      <c r="I115" s="488">
        <f>IFERROR('Energy balance'!I9*$Q115,0)</f>
        <v>0</v>
      </c>
      <c r="J115" s="488">
        <f>IFERROR('Energy balance'!J9*$Q115,0)</f>
        <v>0</v>
      </c>
      <c r="K115" s="488">
        <f>IFERROR('Energy balance'!K9*$Q115,0)</f>
        <v>0</v>
      </c>
      <c r="L115" s="488">
        <f>IFERROR('Energy balance'!L9*$Q115,0)</f>
        <v>0</v>
      </c>
      <c r="M115" s="489">
        <f>IFERROR('Energy balance'!M9*$Q115,0)</f>
        <v>0</v>
      </c>
      <c r="N115" s="490">
        <f>IFERROR('Energy balance'!N9*$Q115,0)</f>
        <v>0</v>
      </c>
      <c r="O115" s="490">
        <f>IFERROR('Energy balance'!O9*$Q115,0)</f>
        <v>0</v>
      </c>
      <c r="Q115" s="106">
        <v>0</v>
      </c>
    </row>
    <row r="116" spans="1:17" ht="14">
      <c r="A116" s="106" t="s">
        <v>291</v>
      </c>
      <c r="B116" s="315" t="s">
        <v>212</v>
      </c>
      <c r="C116" s="487">
        <f>IFERROR('Energy balance'!C10*$Q116,0)</f>
        <v>0</v>
      </c>
      <c r="D116" s="487">
        <f>IFERROR('Energy balance'!D10*$Q116,0)</f>
        <v>0</v>
      </c>
      <c r="E116" s="487">
        <f>IFERROR('Energy balance'!E10*$Q116,0)</f>
        <v>0</v>
      </c>
      <c r="F116" s="487">
        <f>IFERROR('Energy balance'!F10*$Q116,0)</f>
        <v>0</v>
      </c>
      <c r="G116" s="487">
        <f>IFERROR('Energy balance'!G10*$Q116,0)</f>
        <v>0</v>
      </c>
      <c r="H116" s="487">
        <f>IFERROR('Energy balance'!H10*$Q116,0)</f>
        <v>0</v>
      </c>
      <c r="I116" s="485">
        <f>IFERROR('Energy balance'!I10*$Q116,0)</f>
        <v>0</v>
      </c>
      <c r="J116" s="485">
        <f>IFERROR('Energy balance'!J10*$Q116,0)</f>
        <v>0</v>
      </c>
      <c r="K116" s="485">
        <f>IFERROR('Energy balance'!K10*$Q116,0)</f>
        <v>0</v>
      </c>
      <c r="L116" s="485">
        <f>IFERROR('Energy balance'!L10*$Q116,0)</f>
        <v>0</v>
      </c>
      <c r="M116" s="483">
        <f>IFERROR('Energy balance'!M10*$Q116,0)</f>
        <v>0</v>
      </c>
      <c r="N116" s="484">
        <f>IFERROR('Energy balance'!N10*$Q116,0)</f>
        <v>0</v>
      </c>
      <c r="O116" s="484">
        <f>IFERROR('Energy balance'!O10*$Q116,0)</f>
        <v>0</v>
      </c>
      <c r="Q116" s="106">
        <v>0</v>
      </c>
    </row>
    <row r="117" spans="1:17" ht="14">
      <c r="A117" s="106" t="s">
        <v>291</v>
      </c>
      <c r="B117" s="315" t="s">
        <v>213</v>
      </c>
      <c r="C117" s="487">
        <f>IFERROR('Energy balance'!C11*$Q117,0)</f>
        <v>0</v>
      </c>
      <c r="D117" s="487">
        <f>IFERROR('Energy balance'!D11*$Q117,0)</f>
        <v>0</v>
      </c>
      <c r="E117" s="487">
        <f>IFERROR('Energy balance'!E11*$Q117,0)</f>
        <v>0</v>
      </c>
      <c r="F117" s="487">
        <f>IFERROR('Energy balance'!F11*$Q117,0)</f>
        <v>0</v>
      </c>
      <c r="G117" s="487">
        <f>IFERROR('Energy balance'!G11*$Q117,0)</f>
        <v>0</v>
      </c>
      <c r="H117" s="487">
        <f>IFERROR('Energy balance'!H11*$Q117,0)</f>
        <v>0</v>
      </c>
      <c r="I117" s="488">
        <f>IFERROR('Energy balance'!I11*$Q117,0)</f>
        <v>0</v>
      </c>
      <c r="J117" s="488">
        <f>IFERROR('Energy balance'!J11*$Q117,0)</f>
        <v>0</v>
      </c>
      <c r="K117" s="488">
        <f>IFERROR('Energy balance'!K11*$Q117,0)</f>
        <v>0</v>
      </c>
      <c r="L117" s="488">
        <f>IFERROR('Energy balance'!L11*$Q117,0)</f>
        <v>0</v>
      </c>
      <c r="M117" s="489">
        <f>IFERROR('Energy balance'!M11*$Q117,0)</f>
        <v>0</v>
      </c>
      <c r="N117" s="490">
        <f>IFERROR('Energy balance'!N11*$Q117,0)</f>
        <v>0</v>
      </c>
      <c r="O117" s="490">
        <f>IFERROR('Energy balance'!O11*$Q117,0)</f>
        <v>0</v>
      </c>
      <c r="Q117" s="106">
        <v>0</v>
      </c>
    </row>
    <row r="118" spans="1:17" ht="15">
      <c r="A118" s="106" t="s">
        <v>291</v>
      </c>
      <c r="B118" s="324" t="s">
        <v>214</v>
      </c>
      <c r="C118" s="487">
        <f>IFERROR('Energy balance'!C12*$Q118,0)</f>
        <v>0</v>
      </c>
      <c r="D118" s="487">
        <f>IFERROR('Energy balance'!D12*$Q118,0)</f>
        <v>0</v>
      </c>
      <c r="E118" s="487">
        <f>IFERROR('Energy balance'!E12*$Q118,0)</f>
        <v>0</v>
      </c>
      <c r="F118" s="487">
        <f>IFERROR('Energy balance'!F12*$Q118,0)</f>
        <v>0</v>
      </c>
      <c r="G118" s="487">
        <f>IFERROR('Energy balance'!G12*$Q118,0)</f>
        <v>0</v>
      </c>
      <c r="H118" s="487">
        <f>IFERROR('Energy balance'!H12*$Q118,0)</f>
        <v>0</v>
      </c>
      <c r="I118" s="488">
        <f>IFERROR('Energy balance'!I12*$Q118,0)</f>
        <v>0</v>
      </c>
      <c r="J118" s="488">
        <f>IFERROR('Energy balance'!J12*$Q118,0)</f>
        <v>0</v>
      </c>
      <c r="K118" s="488">
        <f>IFERROR('Energy balance'!K12*$Q118,0)</f>
        <v>0</v>
      </c>
      <c r="L118" s="488">
        <f>IFERROR('Energy balance'!L12*$Q118,0)</f>
        <v>0</v>
      </c>
      <c r="M118" s="489">
        <f>IFERROR('Energy balance'!M12*$Q118,0)</f>
        <v>0</v>
      </c>
      <c r="N118" s="490">
        <f>IFERROR('Energy balance'!N12*$Q118,0)</f>
        <v>0</v>
      </c>
      <c r="O118" s="490">
        <f>IFERROR('Energy balance'!O12*$Q118,0)</f>
        <v>0</v>
      </c>
      <c r="Q118" s="106">
        <v>0</v>
      </c>
    </row>
    <row r="119" spans="1:17" ht="15">
      <c r="A119" s="106" t="s">
        <v>291</v>
      </c>
      <c r="B119" s="324" t="s">
        <v>215</v>
      </c>
      <c r="C119" s="485">
        <f>IFERROR('Energy balance'!C13*$Q119,0)</f>
        <v>0</v>
      </c>
      <c r="D119" s="485">
        <f>IFERROR('Energy balance'!D13*$Q119,0)</f>
        <v>0</v>
      </c>
      <c r="E119" s="485">
        <f>IFERROR('Energy balance'!E13*$Q119,0)</f>
        <v>0</v>
      </c>
      <c r="F119" s="485">
        <f>IFERROR('Energy balance'!F13*$Q119,0)</f>
        <v>0</v>
      </c>
      <c r="G119" s="485">
        <f>IFERROR('Energy balance'!G13*$Q119,0)</f>
        <v>0</v>
      </c>
      <c r="H119" s="485">
        <f>IFERROR('Energy balance'!H13*$Q119,0)</f>
        <v>0</v>
      </c>
      <c r="I119" s="485">
        <f>IFERROR('Energy balance'!I13*$Q119,0)</f>
        <v>0</v>
      </c>
      <c r="J119" s="485">
        <f>IFERROR('Energy balance'!J13*$Q119,0)</f>
        <v>0</v>
      </c>
      <c r="K119" s="486">
        <f>IFERROR('Energy balance'!K13*$Q119,0)</f>
        <v>0</v>
      </c>
      <c r="L119" s="485">
        <f>IFERROR('Energy balance'!L13*$Q119,0)</f>
        <v>0</v>
      </c>
      <c r="M119" s="483">
        <f>IFERROR('Energy balance'!M13*$Q119,0)</f>
        <v>0</v>
      </c>
      <c r="N119" s="484">
        <f>IFERROR('Energy balance'!N13*$Q119,0)</f>
        <v>0</v>
      </c>
      <c r="O119" s="484">
        <f>IFERROR('Energy balance'!O13*$Q119,0)</f>
        <v>0</v>
      </c>
      <c r="Q119" s="106">
        <v>0</v>
      </c>
    </row>
    <row r="120" spans="1:17" ht="14">
      <c r="A120" s="106" t="s">
        <v>291</v>
      </c>
      <c r="B120" s="325" t="s">
        <v>216</v>
      </c>
      <c r="C120" s="485">
        <f>IFERROR('Energy balance'!C14*$Q120,0)</f>
        <v>0</v>
      </c>
      <c r="D120" s="485">
        <f>IFERROR('Energy balance'!D14*$Q120,0)</f>
        <v>0</v>
      </c>
      <c r="E120" s="485">
        <f>IFERROR('Energy balance'!E14*$Q120,0)</f>
        <v>0</v>
      </c>
      <c r="F120" s="485">
        <f>IFERROR('Energy balance'!F14*$Q120,0)</f>
        <v>0</v>
      </c>
      <c r="G120" s="485">
        <f>IFERROR('Energy balance'!G14*$Q120,0)</f>
        <v>0</v>
      </c>
      <c r="H120" s="485">
        <f>IFERROR('Energy balance'!H14*$Q120,0)</f>
        <v>0</v>
      </c>
      <c r="I120" s="485">
        <f>IFERROR('Energy balance'!I14*$Q120,0)</f>
        <v>0</v>
      </c>
      <c r="J120" s="485">
        <f>IFERROR('Energy balance'!J14*$Q120,0)</f>
        <v>0</v>
      </c>
      <c r="K120" s="486">
        <f>IFERROR('Energy balance'!K14*$Q120,0)</f>
        <v>0</v>
      </c>
      <c r="L120" s="485">
        <f>IFERROR('Energy balance'!L14*$Q120,0)</f>
        <v>0</v>
      </c>
      <c r="M120" s="483">
        <f>IFERROR('Energy balance'!M14*$Q120,0)</f>
        <v>0</v>
      </c>
      <c r="N120" s="484">
        <f>IFERROR('Energy balance'!N14*$Q120,0)</f>
        <v>0</v>
      </c>
      <c r="O120" s="484">
        <f>IFERROR('Energy balance'!O14*$Q120,0)</f>
        <v>0</v>
      </c>
      <c r="Q120" s="106">
        <v>0</v>
      </c>
    </row>
    <row r="121" spans="1:17" ht="14">
      <c r="A121" s="106" t="s">
        <v>291</v>
      </c>
      <c r="B121" s="325" t="s">
        <v>217</v>
      </c>
      <c r="C121" s="485">
        <f>IFERROR('Energy balance'!C15*$Q121,0)</f>
        <v>0</v>
      </c>
      <c r="D121" s="485">
        <f>IFERROR('Energy balance'!D15*$Q121,0)</f>
        <v>0</v>
      </c>
      <c r="E121" s="485">
        <f>IFERROR('Energy balance'!E15*$Q121,0)</f>
        <v>0</v>
      </c>
      <c r="F121" s="485">
        <f>IFERROR('Energy balance'!F15*$Q121,0)</f>
        <v>0</v>
      </c>
      <c r="G121" s="485">
        <f>IFERROR('Energy balance'!G15*$Q121,0)</f>
        <v>0</v>
      </c>
      <c r="H121" s="485">
        <f>IFERROR('Energy balance'!H15*$Q121,0)</f>
        <v>0</v>
      </c>
      <c r="I121" s="485">
        <f>IFERROR('Energy balance'!I15*$Q121,0)</f>
        <v>0</v>
      </c>
      <c r="J121" s="485">
        <f>IFERROR('Energy balance'!J15*$Q121,0)</f>
        <v>0</v>
      </c>
      <c r="K121" s="486">
        <f>IFERROR('Energy balance'!K15*$Q121,0)</f>
        <v>0</v>
      </c>
      <c r="L121" s="485">
        <f>IFERROR('Energy balance'!L15*$Q121,0)</f>
        <v>0</v>
      </c>
      <c r="M121" s="483">
        <f>IFERROR('Energy balance'!M15*$Q121,0)</f>
        <v>0</v>
      </c>
      <c r="N121" s="484">
        <f>IFERROR('Energy balance'!N15*$Q121,0)</f>
        <v>0</v>
      </c>
      <c r="O121" s="484">
        <f>IFERROR('Energy balance'!O15*$Q121,0)</f>
        <v>0</v>
      </c>
      <c r="Q121" s="106">
        <v>0</v>
      </c>
    </row>
    <row r="122" spans="1:17" ht="14">
      <c r="A122" s="106" t="s">
        <v>291</v>
      </c>
      <c r="B122" s="325" t="s">
        <v>218</v>
      </c>
      <c r="C122" s="485">
        <f>IFERROR('Energy balance'!C16*$Q122,0)</f>
        <v>0</v>
      </c>
      <c r="D122" s="485">
        <f>IFERROR('Energy balance'!D16*$Q122,0)</f>
        <v>0</v>
      </c>
      <c r="E122" s="485">
        <f>IFERROR('Energy balance'!E16*$Q122,0)</f>
        <v>0</v>
      </c>
      <c r="F122" s="485">
        <f>IFERROR('Energy balance'!F16*$Q122,0)</f>
        <v>0</v>
      </c>
      <c r="G122" s="485">
        <f>IFERROR('Energy balance'!G16*$Q122,0)</f>
        <v>0</v>
      </c>
      <c r="H122" s="485">
        <f>IFERROR('Energy balance'!H16*$Q122,0)</f>
        <v>0</v>
      </c>
      <c r="I122" s="485">
        <f>IFERROR('Energy balance'!I16*$Q122,0)</f>
        <v>0</v>
      </c>
      <c r="J122" s="485">
        <f>IFERROR('Energy balance'!J16*$Q122,0)</f>
        <v>0</v>
      </c>
      <c r="K122" s="486">
        <f>IFERROR('Energy balance'!K16*$Q122,0)</f>
        <v>0</v>
      </c>
      <c r="L122" s="485">
        <f>IFERROR('Energy balance'!L16*$Q122,0)</f>
        <v>0</v>
      </c>
      <c r="M122" s="483">
        <f>IFERROR('Energy balance'!M16*$Q122,0)</f>
        <v>0</v>
      </c>
      <c r="N122" s="484">
        <f>IFERROR('Energy balance'!N16*$Q122,0)</f>
        <v>0</v>
      </c>
      <c r="O122" s="484">
        <f>IFERROR('Energy balance'!O16*$Q122,0)</f>
        <v>0</v>
      </c>
      <c r="Q122" s="106">
        <v>0</v>
      </c>
    </row>
    <row r="123" spans="1:17" ht="14">
      <c r="A123" s="106" t="s">
        <v>291</v>
      </c>
      <c r="B123" s="315" t="s">
        <v>219</v>
      </c>
      <c r="C123" s="485">
        <f>IFERROR('Energy balance'!C17*$Q123,0)</f>
        <v>0</v>
      </c>
      <c r="D123" s="485">
        <f>IFERROR('Energy balance'!D17*$Q123,0)</f>
        <v>0</v>
      </c>
      <c r="E123" s="485">
        <f>IFERROR('Energy balance'!E17*$Q123,0)</f>
        <v>0</v>
      </c>
      <c r="F123" s="485">
        <f>IFERROR('Energy balance'!F17*$Q123,0)</f>
        <v>0</v>
      </c>
      <c r="G123" s="485">
        <f>IFERROR('Energy balance'!G17*$Q123,0)</f>
        <v>0</v>
      </c>
      <c r="H123" s="485">
        <f>IFERROR('Energy balance'!H17*$Q123,0)</f>
        <v>0</v>
      </c>
      <c r="I123" s="485">
        <f>IFERROR('Energy balance'!I17*$Q123,0)</f>
        <v>0</v>
      </c>
      <c r="J123" s="485">
        <f>IFERROR('Energy balance'!J17*$Q123,0)</f>
        <v>0</v>
      </c>
      <c r="K123" s="486">
        <f>IFERROR('Energy balance'!K17*$Q123,0)</f>
        <v>0</v>
      </c>
      <c r="L123" s="485">
        <f>IFERROR('Energy balance'!L17*$Q123,0)</f>
        <v>0</v>
      </c>
      <c r="M123" s="483">
        <f>IFERROR('Energy balance'!M17*$Q123,0)</f>
        <v>0</v>
      </c>
      <c r="N123" s="484">
        <f>IFERROR('Energy balance'!N17*$Q123,0)</f>
        <v>0</v>
      </c>
      <c r="O123" s="484">
        <f>IFERROR('Energy balance'!O17*$Q123,0)</f>
        <v>0</v>
      </c>
      <c r="Q123" s="106">
        <v>0</v>
      </c>
    </row>
    <row r="124" spans="1:17" ht="14">
      <c r="A124" s="106" t="s">
        <v>291</v>
      </c>
      <c r="B124" s="315" t="s">
        <v>80</v>
      </c>
      <c r="C124" s="485">
        <f>IFERROR('Energy balance'!C18*$Q124,0)</f>
        <v>0</v>
      </c>
      <c r="D124" s="485">
        <f>IFERROR('Energy balance'!D18*$Q124,0)</f>
        <v>0</v>
      </c>
      <c r="E124" s="487">
        <f>IFERROR('Energy balance'!E18*$Q124,0)</f>
        <v>0</v>
      </c>
      <c r="F124" s="487">
        <f>IFERROR('Energy balance'!F18*$Q124,0)</f>
        <v>0</v>
      </c>
      <c r="G124" s="487">
        <f>IFERROR('Energy balance'!G18*$Q124,0)</f>
        <v>0</v>
      </c>
      <c r="H124" s="487">
        <f>IFERROR('Energy balance'!H18*$Q124,0)</f>
        <v>0</v>
      </c>
      <c r="I124" s="488">
        <f>IFERROR('Energy balance'!I18*$Q124,0)</f>
        <v>0</v>
      </c>
      <c r="J124" s="488">
        <f>IFERROR('Energy balance'!J18*$Q124,0)</f>
        <v>0</v>
      </c>
      <c r="K124" s="488">
        <f>IFERROR('Energy balance'!K18*$Q124,0)</f>
        <v>0</v>
      </c>
      <c r="L124" s="488">
        <f>IFERROR('Energy balance'!L18*$Q124,0)</f>
        <v>0</v>
      </c>
      <c r="M124" s="489">
        <f>IFERROR('Energy balance'!M18*$Q124,0)</f>
        <v>0</v>
      </c>
      <c r="N124" s="490">
        <f>IFERROR('Energy balance'!N18*$Q124,0)</f>
        <v>0</v>
      </c>
      <c r="O124" s="490">
        <f>IFERROR('Energy balance'!O18*$Q124,0)</f>
        <v>0</v>
      </c>
      <c r="Q124" s="106">
        <v>0</v>
      </c>
    </row>
    <row r="125" spans="1:17" ht="14">
      <c r="A125" s="106" t="s">
        <v>291</v>
      </c>
      <c r="B125" s="315" t="s">
        <v>220</v>
      </c>
      <c r="C125" s="485">
        <f>IFERROR('Energy balance'!C19*$Q125,0)</f>
        <v>0</v>
      </c>
      <c r="D125" s="485">
        <f>IFERROR('Energy balance'!D19*$Q125,0)</f>
        <v>0</v>
      </c>
      <c r="E125" s="485">
        <f>IFERROR('Energy balance'!E19*$Q125,0)</f>
        <v>0</v>
      </c>
      <c r="F125" s="485">
        <f>IFERROR('Energy balance'!F19*$Q125,0)</f>
        <v>0</v>
      </c>
      <c r="G125" s="485">
        <f>IFERROR('Energy balance'!G19*$Q125,0)</f>
        <v>0</v>
      </c>
      <c r="H125" s="485">
        <f>IFERROR('Energy balance'!H19*$Q125,0)</f>
        <v>0</v>
      </c>
      <c r="I125" s="488">
        <f>IFERROR('Energy balance'!I19*$Q125,0)</f>
        <v>0</v>
      </c>
      <c r="J125" s="488">
        <f>IFERROR('Energy balance'!J19*$Q125,0)</f>
        <v>0</v>
      </c>
      <c r="K125" s="488">
        <f>IFERROR('Energy balance'!K19*$Q125,0)</f>
        <v>0</v>
      </c>
      <c r="L125" s="488">
        <f>IFERROR('Energy balance'!L19*$Q125,0)</f>
        <v>0</v>
      </c>
      <c r="M125" s="491">
        <f>IFERROR('Energy balance'!M19*$Q125,0)</f>
        <v>0</v>
      </c>
      <c r="N125" s="492">
        <f>IFERROR('Energy balance'!N19*$Q125,0)</f>
        <v>0</v>
      </c>
      <c r="O125" s="492">
        <f>IFERROR('Energy balance'!O19*$Q125,0)</f>
        <v>0</v>
      </c>
      <c r="Q125" s="106">
        <v>0</v>
      </c>
    </row>
    <row r="126" spans="1:17" ht="14">
      <c r="A126" s="106" t="s">
        <v>291</v>
      </c>
      <c r="B126" s="315" t="s">
        <v>79</v>
      </c>
      <c r="C126" s="493">
        <f>IFERROR('Energy balance'!C20*$Q126,0)</f>
        <v>794.78410596026481</v>
      </c>
      <c r="D126" s="485">
        <f>IFERROR('Energy balance'!D20*$Q126,0)</f>
        <v>709.86225165562917</v>
      </c>
      <c r="E126" s="485">
        <f>IFERROR('Energy balance'!E20*$Q126,0)</f>
        <v>557.62384105960268</v>
      </c>
      <c r="F126" s="485">
        <f>IFERROR('Energy balance'!F20*$Q126,0)</f>
        <v>548.85033112582778</v>
      </c>
      <c r="G126" s="488">
        <f>IFERROR('Energy balance'!G20*$Q126,0)</f>
        <v>564.21192052980132</v>
      </c>
      <c r="H126" s="488">
        <f>IFERROR('Energy balance'!H20*$Q126,0)</f>
        <v>619.9629139072847</v>
      </c>
      <c r="I126" s="488">
        <f>IFERROR('Energy balance'!I20*$Q126,0)</f>
        <v>640.41854304635763</v>
      </c>
      <c r="J126" s="488">
        <f>IFERROR('Energy balance'!J20*$Q126,0)</f>
        <v>695.39602649006622</v>
      </c>
      <c r="K126" s="488">
        <f>IFERROR('Energy balance'!K20*$Q126,0)</f>
        <v>756.99072847682123</v>
      </c>
      <c r="L126" s="488">
        <f>IFERROR('Energy balance'!L20*$Q126,0)</f>
        <v>769.73245033112585</v>
      </c>
      <c r="M126" s="489">
        <f>IFERROR('Energy balance'!M20*$Q126,0)</f>
        <v>680.38675496688734</v>
      </c>
      <c r="N126" s="490">
        <f>IFERROR('Energy balance'!N20*$Q126,0)</f>
        <v>638.87417218543044</v>
      </c>
      <c r="O126" s="490">
        <f>IFERROR('Energy balance'!O20*$Q126,0)</f>
        <v>612.04768211920532</v>
      </c>
      <c r="Q126" s="362">
        <f>H10</f>
        <v>2.6490066225165563E-2</v>
      </c>
    </row>
    <row r="127" spans="1:17" ht="14">
      <c r="A127" s="106" t="s">
        <v>291</v>
      </c>
      <c r="B127" s="315" t="s">
        <v>221</v>
      </c>
      <c r="C127" s="485">
        <f>IFERROR('Energy balance'!C21*$Q127,0)</f>
        <v>0</v>
      </c>
      <c r="D127" s="485">
        <f>IFERROR('Energy balance'!D21*$Q127,0)</f>
        <v>0</v>
      </c>
      <c r="E127" s="487">
        <f>IFERROR('Energy balance'!E21*$Q127,0)</f>
        <v>0</v>
      </c>
      <c r="F127" s="487">
        <f>IFERROR('Energy balance'!F21*$Q127,0)</f>
        <v>0</v>
      </c>
      <c r="G127" s="487">
        <f>IFERROR('Energy balance'!G21*$Q127,0)</f>
        <v>0</v>
      </c>
      <c r="H127" s="487">
        <f>IFERROR('Energy balance'!H21*$Q127,0)</f>
        <v>0</v>
      </c>
      <c r="I127" s="488">
        <f>IFERROR('Energy balance'!I21*$Q127,0)</f>
        <v>0</v>
      </c>
      <c r="J127" s="488">
        <f>IFERROR('Energy balance'!J21*$Q127,0)</f>
        <v>0</v>
      </c>
      <c r="K127" s="488">
        <f>IFERROR('Energy balance'!K21*$Q127,0)</f>
        <v>0</v>
      </c>
      <c r="L127" s="488">
        <f>IFERROR('Energy balance'!L21*$Q127,0)</f>
        <v>0</v>
      </c>
      <c r="M127" s="489">
        <f>IFERROR('Energy balance'!M21*$Q127,0)</f>
        <v>0</v>
      </c>
      <c r="N127" s="490">
        <f>IFERROR('Energy balance'!N21*$Q127,0)</f>
        <v>0</v>
      </c>
      <c r="O127" s="490">
        <f>IFERROR('Energy balance'!O21*$Q127,0)</f>
        <v>0</v>
      </c>
      <c r="Q127" s="106">
        <v>0</v>
      </c>
    </row>
    <row r="128" spans="1:17" ht="15" thickBot="1">
      <c r="A128" s="106" t="s">
        <v>291</v>
      </c>
      <c r="B128" s="327" t="s">
        <v>222</v>
      </c>
      <c r="C128" s="494">
        <f>IFERROR('Energy balance'!C22*$Q128,0)</f>
        <v>0</v>
      </c>
      <c r="D128" s="494">
        <f>IFERROR('Energy balance'!D22*$Q128,0)</f>
        <v>0</v>
      </c>
      <c r="E128" s="494">
        <f>IFERROR('Energy balance'!E22*$Q128,0)</f>
        <v>0</v>
      </c>
      <c r="F128" s="494">
        <f>IFERROR('Energy balance'!F22*$Q128,0)</f>
        <v>0</v>
      </c>
      <c r="G128" s="494">
        <f>IFERROR('Energy balance'!G22*$Q128,0)</f>
        <v>0</v>
      </c>
      <c r="H128" s="494">
        <f>IFERROR('Energy balance'!H22*$Q128,0)</f>
        <v>0</v>
      </c>
      <c r="I128" s="494">
        <f>IFERROR('Energy balance'!I22*$Q128,0)</f>
        <v>0</v>
      </c>
      <c r="J128" s="494">
        <f>IFERROR('Energy balance'!J22*$Q128,0)</f>
        <v>0</v>
      </c>
      <c r="K128" s="494">
        <f>IFERROR('Energy balance'!K22*$Q128,0)</f>
        <v>0</v>
      </c>
      <c r="L128" s="494">
        <f>IFERROR('Energy balance'!L22*$Q128,0)</f>
        <v>0</v>
      </c>
      <c r="M128" s="495">
        <f>IFERROR('Energy balance'!M22*$Q128,0)</f>
        <v>0</v>
      </c>
      <c r="N128" s="496">
        <f>IFERROR('Energy balance'!N22*$Q128,0)</f>
        <v>0</v>
      </c>
      <c r="O128" s="496">
        <f>IFERROR('Energy balance'!O22*$Q128,0)</f>
        <v>0</v>
      </c>
      <c r="Q128" s="106">
        <v>0</v>
      </c>
    </row>
    <row r="129" spans="1:15" ht="14">
      <c r="A129" s="106" t="s">
        <v>291</v>
      </c>
      <c r="B129" s="364" t="s">
        <v>106</v>
      </c>
      <c r="C129" s="365">
        <f>SUM(C111:C128)</f>
        <v>794.78410596026481</v>
      </c>
      <c r="D129" s="365">
        <f t="shared" ref="D129" si="39">SUM(D111:D128)</f>
        <v>709.86225165562917</v>
      </c>
      <c r="E129" s="365">
        <f t="shared" ref="E129" si="40">SUM(E111:E128)</f>
        <v>557.62384105960268</v>
      </c>
      <c r="F129" s="365">
        <f t="shared" ref="F129" si="41">SUM(F111:F128)</f>
        <v>548.85033112582778</v>
      </c>
      <c r="G129" s="365">
        <f t="shared" ref="G129" si="42">SUM(G111:G128)</f>
        <v>564.21192052980132</v>
      </c>
      <c r="H129" s="365">
        <f t="shared" ref="H129" si="43">SUM(H111:H128)</f>
        <v>619.9629139072847</v>
      </c>
      <c r="I129" s="365">
        <f t="shared" ref="I129" si="44">SUM(I111:I128)</f>
        <v>640.41854304635763</v>
      </c>
      <c r="J129" s="365">
        <f t="shared" ref="J129" si="45">SUM(J111:J128)</f>
        <v>695.39602649006622</v>
      </c>
      <c r="K129" s="365">
        <f t="shared" ref="K129" si="46">SUM(K111:K128)</f>
        <v>756.99072847682123</v>
      </c>
      <c r="L129" s="365">
        <f t="shared" ref="L129" si="47">SUM(L111:L128)</f>
        <v>769.73245033112585</v>
      </c>
      <c r="M129" s="365">
        <f t="shared" ref="M129" si="48">SUM(M111:M128)</f>
        <v>680.38675496688734</v>
      </c>
      <c r="N129" s="365">
        <f t="shared" ref="N129:O129" si="49">SUM(N111:N128)</f>
        <v>638.87417218543044</v>
      </c>
      <c r="O129" s="365">
        <f t="shared" si="49"/>
        <v>612.04768211920532</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S26" sqref="S26"/>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223</v>
      </c>
    </row>
    <row r="4" spans="2:22">
      <c r="B4" t="s">
        <v>224</v>
      </c>
      <c r="C4" t="s">
        <v>226</v>
      </c>
      <c r="D4" t="s">
        <v>227</v>
      </c>
      <c r="E4" t="s">
        <v>225</v>
      </c>
      <c r="S4" s="132" t="s">
        <v>765</v>
      </c>
    </row>
    <row r="5" spans="2:22" ht="28.75" customHeight="1">
      <c r="B5" s="332" t="s">
        <v>872</v>
      </c>
      <c r="C5" s="332" t="s">
        <v>229</v>
      </c>
      <c r="D5" s="333">
        <v>0.3</v>
      </c>
      <c r="E5" s="609" t="s">
        <v>873</v>
      </c>
    </row>
    <row r="6" spans="2:22" ht="28.75" customHeight="1">
      <c r="B6" s="332" t="s">
        <v>872</v>
      </c>
      <c r="C6" s="332" t="s">
        <v>228</v>
      </c>
      <c r="D6" s="334">
        <v>0.7</v>
      </c>
      <c r="E6" s="609"/>
      <c r="S6" s="132" t="s">
        <v>762</v>
      </c>
    </row>
    <row r="7" spans="2:22">
      <c r="T7" s="106" t="s">
        <v>116</v>
      </c>
      <c r="U7" s="106" t="s">
        <v>763</v>
      </c>
    </row>
    <row r="8" spans="2:22">
      <c r="B8" s="106"/>
      <c r="S8" s="156">
        <v>2011</v>
      </c>
      <c r="T8" s="536">
        <v>4.0054008414882007</v>
      </c>
      <c r="U8" s="536">
        <v>3.1390555577411314</v>
      </c>
      <c r="V8" s="106" t="s">
        <v>764</v>
      </c>
    </row>
    <row r="9" spans="2:22">
      <c r="S9" s="156">
        <v>2016</v>
      </c>
      <c r="T9" s="536">
        <v>4.7531666045225966</v>
      </c>
      <c r="U9" s="536">
        <v>3.6871365087455148</v>
      </c>
      <c r="V9" s="106" t="s">
        <v>764</v>
      </c>
    </row>
    <row r="10" spans="2:22">
      <c r="S10" s="156">
        <v>2021</v>
      </c>
      <c r="T10" s="536">
        <v>6.0763888888888884</v>
      </c>
      <c r="U10" s="536">
        <v>6.0763888888888884</v>
      </c>
      <c r="V10" s="106" t="s">
        <v>764</v>
      </c>
    </row>
    <row r="11" spans="2:22">
      <c r="S11" s="164">
        <v>2031</v>
      </c>
      <c r="T11" s="536">
        <v>6.9444444444444446</v>
      </c>
      <c r="U11" s="536">
        <v>6.9444444444444446</v>
      </c>
      <c r="V11" s="106" t="s">
        <v>764</v>
      </c>
    </row>
    <row r="12" spans="2:22">
      <c r="B12" s="336" t="s">
        <v>874</v>
      </c>
    </row>
    <row r="13" spans="2:22">
      <c r="D13">
        <v>2008</v>
      </c>
      <c r="E13">
        <v>2009</v>
      </c>
      <c r="F13">
        <v>2010</v>
      </c>
      <c r="G13">
        <v>2011</v>
      </c>
      <c r="H13">
        <v>2012</v>
      </c>
      <c r="I13">
        <v>2013</v>
      </c>
      <c r="J13">
        <v>2014</v>
      </c>
      <c r="K13">
        <v>2015</v>
      </c>
      <c r="L13">
        <v>2016</v>
      </c>
      <c r="M13">
        <v>2017</v>
      </c>
    </row>
    <row r="14" spans="2:22">
      <c r="C14" t="s">
        <v>230</v>
      </c>
      <c r="D14">
        <v>8780</v>
      </c>
      <c r="E14" s="335">
        <v>9039</v>
      </c>
      <c r="F14" s="335">
        <v>9065</v>
      </c>
      <c r="G14" s="335">
        <v>9092</v>
      </c>
      <c r="H14">
        <v>9235</v>
      </c>
      <c r="I14" s="106">
        <v>9357</v>
      </c>
      <c r="J14" s="106">
        <v>9477</v>
      </c>
      <c r="K14" s="106">
        <v>9593</v>
      </c>
      <c r="L14" s="106">
        <v>9706</v>
      </c>
      <c r="M14" s="106">
        <v>9810</v>
      </c>
    </row>
    <row r="15" spans="2:22">
      <c r="C15" s="106" t="s">
        <v>233</v>
      </c>
      <c r="D15" s="6">
        <v>157</v>
      </c>
      <c r="E15" s="6">
        <v>160</v>
      </c>
      <c r="F15" s="6">
        <v>160</v>
      </c>
      <c r="G15" s="6">
        <v>162</v>
      </c>
      <c r="H15" s="6">
        <v>164</v>
      </c>
      <c r="I15" s="126">
        <v>166</v>
      </c>
      <c r="J15" s="126">
        <v>169</v>
      </c>
      <c r="K15" s="126">
        <v>171</v>
      </c>
      <c r="L15" s="126">
        <v>174</v>
      </c>
      <c r="M15" s="126">
        <v>176</v>
      </c>
    </row>
    <row r="16" spans="2:22">
      <c r="C16" t="s">
        <v>231</v>
      </c>
      <c r="D16">
        <v>43297</v>
      </c>
      <c r="E16">
        <v>38051</v>
      </c>
      <c r="F16">
        <v>39101</v>
      </c>
      <c r="G16">
        <v>39649</v>
      </c>
      <c r="H16">
        <v>34679</v>
      </c>
      <c r="I16" s="106">
        <v>33997</v>
      </c>
      <c r="J16" s="106">
        <v>37522</v>
      </c>
      <c r="K16" s="106">
        <v>39969</v>
      </c>
      <c r="L16" s="106">
        <v>44387</v>
      </c>
      <c r="M16" s="106">
        <v>39473</v>
      </c>
    </row>
    <row r="17" spans="2:13">
      <c r="C17" t="s">
        <v>232</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875</v>
      </c>
    </row>
    <row r="21" spans="2:13">
      <c r="B21" s="106" t="s">
        <v>234</v>
      </c>
    </row>
    <row r="22" spans="2:13">
      <c r="B22" s="106" t="s">
        <v>829</v>
      </c>
      <c r="C22">
        <f>'Data manipulation'!AF5*1000-C23-C24</f>
        <v>159155.4</v>
      </c>
      <c r="D22" s="106" t="s">
        <v>237</v>
      </c>
    </row>
    <row r="23" spans="2:13">
      <c r="B23" s="106" t="s">
        <v>830</v>
      </c>
      <c r="C23" s="106">
        <v>4042.9</v>
      </c>
      <c r="D23" s="106" t="s">
        <v>236</v>
      </c>
    </row>
    <row r="24" spans="2:13">
      <c r="B24" s="106" t="s">
        <v>831</v>
      </c>
      <c r="C24">
        <v>12801.7</v>
      </c>
      <c r="D24" s="106" t="s">
        <v>235</v>
      </c>
    </row>
    <row r="25" spans="2:13">
      <c r="C25" s="337"/>
    </row>
    <row r="27" spans="2:13">
      <c r="B27" t="s">
        <v>875</v>
      </c>
    </row>
    <row r="28" spans="2:13">
      <c r="B28" s="106" t="s">
        <v>238</v>
      </c>
    </row>
    <row r="29" spans="2:13">
      <c r="B29" s="106" t="s">
        <v>829</v>
      </c>
      <c r="C29">
        <f>M14-C30-C31</f>
        <v>8427.2000000000007</v>
      </c>
      <c r="D29" s="106" t="s">
        <v>237</v>
      </c>
    </row>
    <row r="30" spans="2:13">
      <c r="B30" s="106" t="s">
        <v>830</v>
      </c>
      <c r="C30" s="106">
        <f>675.9+254.1</f>
        <v>930</v>
      </c>
      <c r="D30" s="106" t="s">
        <v>236</v>
      </c>
    </row>
    <row r="31" spans="2:13">
      <c r="B31" s="106" t="s">
        <v>831</v>
      </c>
      <c r="C31">
        <v>452.8</v>
      </c>
      <c r="D31" s="106" t="s">
        <v>235</v>
      </c>
    </row>
    <row r="35" spans="2:8" ht="14">
      <c r="B35" s="301"/>
      <c r="C35" s="301"/>
      <c r="D35" s="301"/>
      <c r="E35" s="301"/>
      <c r="F35" s="301"/>
      <c r="G35" s="301"/>
      <c r="H35" s="301"/>
    </row>
    <row r="36" spans="2:8" ht="14">
      <c r="B36" t="s">
        <v>875</v>
      </c>
      <c r="G36" s="301"/>
      <c r="H36" s="301"/>
    </row>
    <row r="37" spans="2:8" ht="14">
      <c r="C37" s="301"/>
      <c r="D37" s="301"/>
      <c r="E37" s="301"/>
      <c r="F37" s="301"/>
      <c r="G37" s="301"/>
      <c r="H37" s="301"/>
    </row>
    <row r="38" spans="2:8" ht="14">
      <c r="B38" s="616" t="s">
        <v>239</v>
      </c>
      <c r="C38" s="616"/>
      <c r="D38" s="616"/>
      <c r="E38" s="616"/>
      <c r="F38" s="301"/>
      <c r="G38" s="301"/>
      <c r="H38" s="301"/>
    </row>
    <row r="39" spans="2:8" ht="15" thickBot="1">
      <c r="B39" s="338"/>
      <c r="C39" s="338"/>
      <c r="D39" s="338"/>
      <c r="E39" s="338"/>
      <c r="F39" s="301"/>
      <c r="G39" s="301"/>
      <c r="H39" s="301"/>
    </row>
    <row r="40" spans="2:8" ht="14">
      <c r="B40" s="614"/>
      <c r="C40" s="617" t="s">
        <v>240</v>
      </c>
      <c r="D40" s="604" t="s">
        <v>241</v>
      </c>
      <c r="E40" s="605"/>
      <c r="F40" s="301"/>
      <c r="G40" s="301"/>
      <c r="H40" s="301"/>
    </row>
    <row r="41" spans="2:8" ht="16" thickBot="1">
      <c r="B41" s="615"/>
      <c r="C41" s="618"/>
      <c r="D41" s="339" t="s">
        <v>242</v>
      </c>
      <c r="E41" s="340" t="s">
        <v>243</v>
      </c>
      <c r="F41" s="301"/>
      <c r="G41" s="301"/>
      <c r="H41" s="301"/>
    </row>
    <row r="42" spans="2:8" ht="15">
      <c r="B42" s="341" t="s">
        <v>244</v>
      </c>
      <c r="C42" s="342">
        <v>22.1</v>
      </c>
      <c r="D42" s="342">
        <v>19.600000000000001</v>
      </c>
      <c r="E42" s="343">
        <v>25</v>
      </c>
      <c r="F42" s="301"/>
      <c r="G42" s="301"/>
      <c r="H42" s="301"/>
    </row>
    <row r="43" spans="2:8" ht="15">
      <c r="B43" s="344" t="s">
        <v>245</v>
      </c>
      <c r="C43" s="345">
        <v>15.5</v>
      </c>
      <c r="D43" s="345">
        <v>14</v>
      </c>
      <c r="E43" s="346">
        <v>17.2</v>
      </c>
      <c r="F43" s="301"/>
      <c r="G43" s="301"/>
      <c r="H43" s="301"/>
    </row>
    <row r="44" spans="2:8" ht="14">
      <c r="B44" s="606" t="s">
        <v>246</v>
      </c>
      <c r="C44" s="607"/>
      <c r="D44" s="607"/>
      <c r="E44" s="608"/>
      <c r="F44" s="301"/>
      <c r="G44" s="301"/>
      <c r="H44" s="301"/>
    </row>
    <row r="45" spans="2:8" ht="14">
      <c r="B45" s="347" t="s">
        <v>106</v>
      </c>
      <c r="C45" s="348">
        <v>100</v>
      </c>
      <c r="D45" s="348">
        <v>100</v>
      </c>
      <c r="E45" s="349">
        <v>100</v>
      </c>
      <c r="F45" s="301"/>
      <c r="G45" s="301"/>
      <c r="H45" s="301"/>
    </row>
    <row r="46" spans="2:8" ht="15">
      <c r="B46" s="350" t="s">
        <v>247</v>
      </c>
      <c r="C46" s="351">
        <v>7.4</v>
      </c>
      <c r="D46" s="351">
        <v>10.5</v>
      </c>
      <c r="E46" s="352">
        <v>3.5</v>
      </c>
      <c r="F46" s="301"/>
      <c r="G46" s="301"/>
      <c r="H46" s="301"/>
    </row>
    <row r="47" spans="2:8" ht="15">
      <c r="B47" s="350" t="s">
        <v>248</v>
      </c>
      <c r="C47" s="351">
        <v>40.299999999999997</v>
      </c>
      <c r="D47" s="351">
        <v>46.1</v>
      </c>
      <c r="E47" s="352">
        <v>33.1</v>
      </c>
      <c r="F47" s="301"/>
      <c r="G47" s="301"/>
      <c r="H47" s="301"/>
    </row>
    <row r="48" spans="2:8" ht="15">
      <c r="B48" s="350" t="s">
        <v>249</v>
      </c>
      <c r="C48" s="351">
        <v>27.6</v>
      </c>
      <c r="D48" s="351">
        <v>24.3</v>
      </c>
      <c r="E48" s="352">
        <v>31.8</v>
      </c>
      <c r="F48" s="301"/>
      <c r="G48" s="301"/>
      <c r="H48" s="301"/>
    </row>
    <row r="49" spans="2:8" ht="15">
      <c r="B49" s="350" t="s">
        <v>250</v>
      </c>
      <c r="C49" s="351">
        <v>24.6</v>
      </c>
      <c r="D49" s="351">
        <v>19.100000000000001</v>
      </c>
      <c r="E49" s="352">
        <v>31.6</v>
      </c>
      <c r="F49" s="301"/>
      <c r="G49" s="301"/>
      <c r="H49" s="301"/>
    </row>
    <row r="50" spans="2:8" ht="14">
      <c r="B50" s="606" t="s">
        <v>251</v>
      </c>
      <c r="C50" s="607"/>
      <c r="D50" s="607"/>
      <c r="E50" s="608"/>
      <c r="F50" s="301"/>
      <c r="G50" s="301"/>
      <c r="H50" s="301"/>
    </row>
    <row r="51" spans="2:8" ht="14">
      <c r="B51" s="347" t="s">
        <v>106</v>
      </c>
      <c r="C51" s="348">
        <v>100</v>
      </c>
      <c r="D51" s="348">
        <v>100</v>
      </c>
      <c r="E51" s="349">
        <v>100</v>
      </c>
      <c r="F51" s="301"/>
      <c r="G51" s="301"/>
      <c r="H51" s="301"/>
    </row>
    <row r="52" spans="2:8" ht="15">
      <c r="B52" s="350" t="s">
        <v>247</v>
      </c>
      <c r="C52" s="351">
        <v>26.4</v>
      </c>
      <c r="D52" s="351">
        <v>32.700000000000003</v>
      </c>
      <c r="E52" s="352">
        <v>18.5</v>
      </c>
      <c r="F52" s="301"/>
      <c r="G52" s="301"/>
      <c r="H52" s="301"/>
    </row>
    <row r="53" spans="2:8" ht="15">
      <c r="B53" s="350" t="s">
        <v>248</v>
      </c>
      <c r="C53" s="351">
        <v>46.2</v>
      </c>
      <c r="D53" s="351">
        <v>44.7</v>
      </c>
      <c r="E53" s="352">
        <v>48.1</v>
      </c>
      <c r="F53" s="301"/>
      <c r="G53" s="301"/>
      <c r="H53" s="301"/>
    </row>
    <row r="54" spans="2:8" ht="15">
      <c r="B54" s="350" t="s">
        <v>249</v>
      </c>
      <c r="C54" s="351">
        <v>16.600000000000001</v>
      </c>
      <c r="D54" s="351">
        <v>13.8</v>
      </c>
      <c r="E54" s="352">
        <v>20.2</v>
      </c>
      <c r="F54" s="301"/>
      <c r="G54" s="301"/>
      <c r="H54" s="301"/>
    </row>
    <row r="55" spans="2:8" ht="15">
      <c r="B55" s="350" t="s">
        <v>250</v>
      </c>
      <c r="C55" s="351">
        <v>10.7</v>
      </c>
      <c r="D55" s="351">
        <v>8.8000000000000007</v>
      </c>
      <c r="E55" s="352">
        <v>13.2</v>
      </c>
      <c r="F55" s="301"/>
      <c r="G55" s="301"/>
      <c r="H55" s="301"/>
    </row>
    <row r="56" spans="2:8" ht="14">
      <c r="B56" s="611" t="s">
        <v>252</v>
      </c>
      <c r="C56" s="612"/>
      <c r="D56" s="612"/>
      <c r="E56" s="613"/>
      <c r="F56" s="301"/>
      <c r="G56" s="301"/>
      <c r="H56" s="301"/>
    </row>
    <row r="57" spans="2:8" ht="14">
      <c r="B57" s="347" t="s">
        <v>106</v>
      </c>
      <c r="C57" s="348">
        <v>100</v>
      </c>
      <c r="D57" s="348">
        <v>100</v>
      </c>
      <c r="E57" s="349">
        <v>100</v>
      </c>
      <c r="F57" s="301"/>
      <c r="G57" s="301"/>
      <c r="H57" s="301"/>
    </row>
    <row r="58" spans="2:8" ht="14">
      <c r="B58" s="350" t="s">
        <v>253</v>
      </c>
      <c r="C58" s="353">
        <v>3.6</v>
      </c>
      <c r="D58" s="353">
        <v>5.6</v>
      </c>
      <c r="E58" s="354">
        <v>1.1000000000000001</v>
      </c>
      <c r="F58" s="301"/>
      <c r="G58" s="301"/>
      <c r="H58" s="301"/>
    </row>
    <row r="59" spans="2:8" ht="14">
      <c r="B59" s="350" t="s">
        <v>254</v>
      </c>
      <c r="C59" s="353">
        <v>25</v>
      </c>
      <c r="D59" s="353">
        <v>30.4</v>
      </c>
      <c r="E59" s="354">
        <v>18.2</v>
      </c>
      <c r="F59" s="301"/>
      <c r="G59" s="301"/>
      <c r="H59" s="301"/>
    </row>
    <row r="60" spans="2:8" ht="14">
      <c r="B60" s="350" t="s">
        <v>255</v>
      </c>
      <c r="C60" s="353">
        <v>40.6</v>
      </c>
      <c r="D60" s="353">
        <v>39.5</v>
      </c>
      <c r="E60" s="354">
        <v>41.9</v>
      </c>
      <c r="F60" s="301"/>
      <c r="G60" s="301"/>
      <c r="H60" s="301"/>
    </row>
    <row r="61" spans="2:8" ht="14">
      <c r="B61" s="350" t="s">
        <v>256</v>
      </c>
      <c r="C61" s="353">
        <v>21.3</v>
      </c>
      <c r="D61" s="353">
        <v>17.8</v>
      </c>
      <c r="E61" s="354">
        <v>25.7</v>
      </c>
      <c r="F61" s="301"/>
      <c r="G61" s="301"/>
      <c r="H61" s="301"/>
    </row>
    <row r="62" spans="2:8" ht="14">
      <c r="B62" s="350" t="s">
        <v>257</v>
      </c>
      <c r="C62" s="353">
        <v>9.5</v>
      </c>
      <c r="D62" s="353">
        <v>6.7</v>
      </c>
      <c r="E62" s="354">
        <v>13</v>
      </c>
      <c r="F62" s="301"/>
      <c r="G62" s="301"/>
      <c r="H62" s="301"/>
    </row>
    <row r="63" spans="2:8" ht="14">
      <c r="B63" s="611" t="s">
        <v>258</v>
      </c>
      <c r="C63" s="612"/>
      <c r="D63" s="612"/>
      <c r="E63" s="613"/>
      <c r="F63" s="301"/>
      <c r="G63" s="301"/>
      <c r="H63" s="301"/>
    </row>
    <row r="64" spans="2:8" ht="14">
      <c r="B64" s="347" t="s">
        <v>106</v>
      </c>
      <c r="C64" s="348">
        <v>100</v>
      </c>
      <c r="D64" s="348">
        <v>100</v>
      </c>
      <c r="E64" s="349">
        <v>100</v>
      </c>
      <c r="F64" s="301"/>
    </row>
    <row r="65" spans="2:8" ht="14">
      <c r="B65" s="350" t="s">
        <v>259</v>
      </c>
      <c r="C65" s="351">
        <v>65.8</v>
      </c>
      <c r="D65" s="351">
        <v>43.1</v>
      </c>
      <c r="E65" s="352">
        <v>94.2</v>
      </c>
      <c r="F65" s="301"/>
    </row>
    <row r="66" spans="2:8" ht="14">
      <c r="B66" s="350" t="s">
        <v>260</v>
      </c>
      <c r="C66" s="351">
        <v>1.4</v>
      </c>
      <c r="D66" s="351">
        <v>1.8</v>
      </c>
      <c r="E66" s="352">
        <v>0.9</v>
      </c>
      <c r="F66" s="301"/>
    </row>
    <row r="67" spans="2:8" ht="14">
      <c r="B67" s="350" t="s">
        <v>261</v>
      </c>
      <c r="C67" s="351">
        <v>31.1</v>
      </c>
      <c r="D67" s="351">
        <v>53.9</v>
      </c>
      <c r="E67" s="352">
        <v>2.6</v>
      </c>
      <c r="F67" s="301"/>
    </row>
    <row r="68" spans="2:8" ht="14">
      <c r="B68" s="350" t="s">
        <v>262</v>
      </c>
      <c r="C68" s="351">
        <v>1.4</v>
      </c>
      <c r="D68" s="351">
        <v>1.1000000000000001</v>
      </c>
      <c r="E68" s="352">
        <v>1.7</v>
      </c>
      <c r="F68" s="301"/>
      <c r="G68" s="301"/>
      <c r="H68" s="301"/>
    </row>
    <row r="69" spans="2:8" ht="14">
      <c r="B69" s="350" t="s">
        <v>263</v>
      </c>
      <c r="C69" s="351">
        <v>0.3</v>
      </c>
      <c r="D69" s="351">
        <v>0.1</v>
      </c>
      <c r="E69" s="352">
        <v>0.6</v>
      </c>
      <c r="F69" s="301"/>
      <c r="G69" s="301"/>
      <c r="H69" s="301"/>
    </row>
    <row r="70" spans="2:8" ht="14">
      <c r="B70" s="611" t="s">
        <v>264</v>
      </c>
      <c r="C70" s="612"/>
      <c r="D70" s="612"/>
      <c r="E70" s="613"/>
      <c r="F70" s="301"/>
      <c r="G70" s="301"/>
      <c r="H70" s="301"/>
    </row>
    <row r="71" spans="2:8" ht="14">
      <c r="B71" s="347" t="s">
        <v>106</v>
      </c>
      <c r="C71" s="348">
        <v>100</v>
      </c>
      <c r="D71" s="348">
        <v>100</v>
      </c>
      <c r="E71" s="349">
        <v>100</v>
      </c>
      <c r="F71" s="301"/>
      <c r="G71" s="301"/>
      <c r="H71" s="301"/>
    </row>
    <row r="72" spans="2:8" ht="14">
      <c r="B72" s="350" t="s">
        <v>265</v>
      </c>
      <c r="C72" s="353">
        <v>93.9</v>
      </c>
      <c r="D72" s="353">
        <v>94.2</v>
      </c>
      <c r="E72" s="354">
        <v>93.4</v>
      </c>
      <c r="F72" s="301"/>
      <c r="G72" s="301"/>
      <c r="H72" s="301"/>
    </row>
    <row r="73" spans="2:8" ht="14">
      <c r="B73" s="350" t="s">
        <v>266</v>
      </c>
      <c r="C73" s="353">
        <v>3.7</v>
      </c>
      <c r="D73" s="353">
        <v>2.8</v>
      </c>
      <c r="E73" s="354">
        <v>4.9000000000000004</v>
      </c>
      <c r="F73" s="301"/>
      <c r="G73" s="301"/>
      <c r="H73" s="301"/>
    </row>
    <row r="74" spans="2:8" ht="14">
      <c r="B74" s="350" t="s">
        <v>267</v>
      </c>
      <c r="C74" s="353">
        <v>0.6</v>
      </c>
      <c r="D74" s="353">
        <v>0.7</v>
      </c>
      <c r="E74" s="354">
        <v>0.6</v>
      </c>
      <c r="F74" s="301"/>
      <c r="G74" s="301"/>
      <c r="H74" s="301"/>
    </row>
    <row r="75" spans="2:8" ht="14">
      <c r="B75" s="350" t="s">
        <v>268</v>
      </c>
      <c r="C75" s="353">
        <v>0.8</v>
      </c>
      <c r="D75" s="353">
        <v>1.4</v>
      </c>
      <c r="E75" s="354">
        <v>0</v>
      </c>
      <c r="F75" s="301"/>
      <c r="G75" s="301"/>
      <c r="H75" s="301"/>
    </row>
    <row r="76" spans="2:8" ht="15" thickBot="1">
      <c r="B76" s="355" t="s">
        <v>269</v>
      </c>
      <c r="C76" s="356">
        <v>1</v>
      </c>
      <c r="D76" s="356">
        <v>0.8</v>
      </c>
      <c r="E76" s="357">
        <v>1.1000000000000001</v>
      </c>
      <c r="G76" s="301"/>
      <c r="H76" s="301"/>
    </row>
    <row r="87" spans="2:3">
      <c r="B87" t="s">
        <v>278</v>
      </c>
    </row>
    <row r="88" spans="2:3">
      <c r="B88" s="106" t="s">
        <v>279</v>
      </c>
    </row>
    <row r="91" spans="2:3">
      <c r="B91" s="337">
        <v>0.14099999999999999</v>
      </c>
      <c r="C91" s="106" t="s">
        <v>280</v>
      </c>
    </row>
    <row r="92" spans="2:3">
      <c r="B92" s="334">
        <v>0.01</v>
      </c>
      <c r="C92" s="106" t="s">
        <v>281</v>
      </c>
    </row>
    <row r="93" spans="2:3">
      <c r="B93" s="337">
        <v>6.0999999999999999E-2</v>
      </c>
      <c r="C93" s="106" t="s">
        <v>282</v>
      </c>
    </row>
    <row r="94" spans="2:3">
      <c r="B94" s="337">
        <v>0.14799999999999999</v>
      </c>
      <c r="C94" s="106" t="s">
        <v>283</v>
      </c>
    </row>
    <row r="95" spans="2:3">
      <c r="B95" s="337">
        <v>4.0000000000000001E-3</v>
      </c>
      <c r="C95" s="106" t="s">
        <v>284</v>
      </c>
    </row>
    <row r="96" spans="2:3">
      <c r="B96" s="337">
        <v>0.63600000000000001</v>
      </c>
      <c r="C96" s="106" t="s">
        <v>285</v>
      </c>
    </row>
    <row r="98" spans="2:3">
      <c r="B98" s="106"/>
    </row>
    <row r="100" spans="2:3">
      <c r="B100" s="337"/>
      <c r="C100" s="106"/>
    </row>
    <row r="101" spans="2:3">
      <c r="B101" s="337"/>
      <c r="C101" s="106"/>
    </row>
    <row r="102" spans="2:3">
      <c r="B102" s="337"/>
      <c r="C102" s="106"/>
    </row>
    <row r="103" spans="2:3">
      <c r="B103" s="337"/>
      <c r="C103" s="106"/>
    </row>
    <row r="104" spans="2:3">
      <c r="B104" s="337"/>
      <c r="C104" s="106"/>
    </row>
    <row r="105" spans="2:3">
      <c r="B105" s="337"/>
      <c r="C105" s="106"/>
    </row>
    <row r="122" spans="6:6">
      <c r="F122" s="106"/>
    </row>
    <row r="129" spans="1:11" ht="16">
      <c r="B129" s="610" t="s">
        <v>876</v>
      </c>
      <c r="C129" s="610"/>
      <c r="D129" s="610"/>
      <c r="E129" s="610"/>
      <c r="F129" s="610"/>
      <c r="G129" s="610"/>
      <c r="H129" s="610"/>
      <c r="I129" s="610"/>
      <c r="J129" s="610"/>
      <c r="K129" s="610"/>
    </row>
    <row r="130" spans="1:11" ht="16">
      <c r="B130" s="597" t="s">
        <v>296</v>
      </c>
      <c r="C130" s="597"/>
      <c r="D130" s="597"/>
      <c r="E130" s="597"/>
      <c r="F130" s="597"/>
      <c r="G130" s="597"/>
      <c r="H130" s="597"/>
      <c r="I130" s="597"/>
      <c r="J130" s="597"/>
      <c r="K130" s="597"/>
    </row>
    <row r="131" spans="1:11" ht="17" thickBot="1">
      <c r="B131" s="366"/>
      <c r="C131" s="367"/>
      <c r="D131" s="367"/>
      <c r="E131" s="367"/>
      <c r="F131" s="367"/>
      <c r="G131" s="367"/>
      <c r="H131" s="367"/>
      <c r="I131" s="367"/>
      <c r="J131" s="367"/>
      <c r="K131" s="367"/>
    </row>
    <row r="132" spans="1:11" ht="16">
      <c r="B132" s="598" t="s">
        <v>297</v>
      </c>
      <c r="C132" s="600" t="s">
        <v>106</v>
      </c>
      <c r="D132" s="602" t="s">
        <v>298</v>
      </c>
      <c r="E132" s="602"/>
      <c r="F132" s="600" t="s">
        <v>299</v>
      </c>
      <c r="G132" s="602" t="s">
        <v>298</v>
      </c>
      <c r="H132" s="602"/>
      <c r="I132" s="600" t="s">
        <v>300</v>
      </c>
      <c r="J132" s="602" t="s">
        <v>298</v>
      </c>
      <c r="K132" s="603"/>
    </row>
    <row r="133" spans="1:11" ht="18" thickBot="1">
      <c r="B133" s="599"/>
      <c r="C133" s="601"/>
      <c r="D133" s="368" t="s">
        <v>301</v>
      </c>
      <c r="E133" s="368" t="s">
        <v>302</v>
      </c>
      <c r="F133" s="601"/>
      <c r="G133" s="368" t="s">
        <v>301</v>
      </c>
      <c r="H133" s="368" t="s">
        <v>302</v>
      </c>
      <c r="I133" s="601"/>
      <c r="J133" s="368" t="s">
        <v>301</v>
      </c>
      <c r="K133" s="369" t="s">
        <v>302</v>
      </c>
    </row>
    <row r="134" spans="1:11" ht="16">
      <c r="B134" s="370" t="s">
        <v>877</v>
      </c>
      <c r="C134" s="371">
        <v>9981.5</v>
      </c>
      <c r="D134" s="371">
        <v>4982.3999999999996</v>
      </c>
      <c r="E134" s="371">
        <v>4999.1000000000004</v>
      </c>
      <c r="F134" s="371">
        <v>5273.9</v>
      </c>
      <c r="G134" s="371">
        <v>2610.1</v>
      </c>
      <c r="H134" s="371">
        <v>2663.7999999999997</v>
      </c>
      <c r="I134" s="371">
        <v>4707.6000000000004</v>
      </c>
      <c r="J134" s="371">
        <v>2372.3000000000002</v>
      </c>
      <c r="K134" s="372">
        <v>2335.3000000000002</v>
      </c>
    </row>
    <row r="135" spans="1:11" ht="16">
      <c r="B135" s="373"/>
      <c r="C135" s="374"/>
      <c r="D135" s="374"/>
      <c r="E135" s="374"/>
      <c r="F135" s="374"/>
      <c r="G135" s="374"/>
      <c r="H135" s="374"/>
      <c r="I135" s="375"/>
      <c r="J135" s="375"/>
      <c r="K135" s="376"/>
    </row>
    <row r="136" spans="1:11" ht="16">
      <c r="A136" s="106" t="s">
        <v>829</v>
      </c>
      <c r="B136" s="373" t="s">
        <v>303</v>
      </c>
      <c r="C136" s="375">
        <v>2277.5</v>
      </c>
      <c r="D136" s="375">
        <v>1132.7</v>
      </c>
      <c r="E136" s="375">
        <v>1144.8</v>
      </c>
      <c r="F136" s="375">
        <v>2277.5</v>
      </c>
      <c r="G136" s="375">
        <v>1132.7</v>
      </c>
      <c r="H136" s="375">
        <v>1144.8</v>
      </c>
      <c r="I136" s="377" t="s">
        <v>207</v>
      </c>
      <c r="J136" s="377" t="s">
        <v>207</v>
      </c>
      <c r="K136" s="378" t="s">
        <v>207</v>
      </c>
    </row>
    <row r="137" spans="1:11" ht="16">
      <c r="B137" s="379" t="s">
        <v>298</v>
      </c>
      <c r="C137" s="374"/>
      <c r="D137" s="374"/>
      <c r="E137" s="374"/>
      <c r="F137" s="374"/>
      <c r="G137" s="374"/>
      <c r="H137" s="374"/>
      <c r="I137" s="374"/>
      <c r="J137" s="374"/>
      <c r="K137" s="380"/>
    </row>
    <row r="138" spans="1:11" ht="16">
      <c r="B138" s="373" t="s">
        <v>304</v>
      </c>
      <c r="C138" s="375">
        <v>265.8</v>
      </c>
      <c r="D138" s="375">
        <v>133.69999999999999</v>
      </c>
      <c r="E138" s="375">
        <v>132.10000000000002</v>
      </c>
      <c r="F138" s="375">
        <v>265.8</v>
      </c>
      <c r="G138" s="375">
        <v>133.69999999999999</v>
      </c>
      <c r="H138" s="375">
        <v>132.10000000000002</v>
      </c>
      <c r="I138" s="377" t="s">
        <v>207</v>
      </c>
      <c r="J138" s="377" t="s">
        <v>207</v>
      </c>
      <c r="K138" s="378" t="s">
        <v>207</v>
      </c>
    </row>
    <row r="139" spans="1:11" ht="16">
      <c r="B139" s="381" t="s">
        <v>305</v>
      </c>
      <c r="C139" s="374">
        <v>3.6</v>
      </c>
      <c r="D139" s="374">
        <v>1.9</v>
      </c>
      <c r="E139" s="374">
        <v>1.7000000000000002</v>
      </c>
      <c r="F139" s="374">
        <v>3.6</v>
      </c>
      <c r="G139" s="374">
        <v>1.9</v>
      </c>
      <c r="H139" s="374">
        <v>1.7000000000000002</v>
      </c>
      <c r="I139" s="377" t="s">
        <v>207</v>
      </c>
      <c r="J139" s="377" t="s">
        <v>207</v>
      </c>
      <c r="K139" s="378" t="s">
        <v>207</v>
      </c>
    </row>
    <row r="140" spans="1:11" ht="16">
      <c r="B140" s="381" t="s">
        <v>306</v>
      </c>
      <c r="C140" s="374">
        <v>18.399999999999999</v>
      </c>
      <c r="D140" s="374">
        <v>9.5</v>
      </c>
      <c r="E140" s="374">
        <v>8.8999999999999986</v>
      </c>
      <c r="F140" s="374">
        <v>18.399999999999999</v>
      </c>
      <c r="G140" s="374">
        <v>9.5</v>
      </c>
      <c r="H140" s="374">
        <v>8.8999999999999986</v>
      </c>
      <c r="I140" s="377" t="s">
        <v>207</v>
      </c>
      <c r="J140" s="377" t="s">
        <v>207</v>
      </c>
      <c r="K140" s="378" t="s">
        <v>207</v>
      </c>
    </row>
    <row r="141" spans="1:11" ht="16">
      <c r="B141" s="381" t="s">
        <v>307</v>
      </c>
      <c r="C141" s="374">
        <v>50.6</v>
      </c>
      <c r="D141" s="374">
        <v>25.3</v>
      </c>
      <c r="E141" s="374">
        <v>25.3</v>
      </c>
      <c r="F141" s="374">
        <v>50.6</v>
      </c>
      <c r="G141" s="374">
        <v>25.3</v>
      </c>
      <c r="H141" s="374">
        <v>25.3</v>
      </c>
      <c r="I141" s="377" t="s">
        <v>207</v>
      </c>
      <c r="J141" s="377" t="s">
        <v>207</v>
      </c>
      <c r="K141" s="378" t="s">
        <v>207</v>
      </c>
    </row>
    <row r="142" spans="1:11" ht="16">
      <c r="B142" s="381" t="s">
        <v>308</v>
      </c>
      <c r="C142" s="374">
        <v>39</v>
      </c>
      <c r="D142" s="374">
        <v>19.5</v>
      </c>
      <c r="E142" s="374">
        <v>19.5</v>
      </c>
      <c r="F142" s="374">
        <v>39</v>
      </c>
      <c r="G142" s="374">
        <v>19.5</v>
      </c>
      <c r="H142" s="374">
        <v>19.5</v>
      </c>
      <c r="I142" s="377" t="s">
        <v>207</v>
      </c>
      <c r="J142" s="377" t="s">
        <v>207</v>
      </c>
      <c r="K142" s="378" t="s">
        <v>207</v>
      </c>
    </row>
    <row r="143" spans="1:11" ht="16">
      <c r="B143" s="381" t="s">
        <v>309</v>
      </c>
      <c r="C143" s="374">
        <v>7</v>
      </c>
      <c r="D143" s="374">
        <v>3.7</v>
      </c>
      <c r="E143" s="374">
        <v>3.3</v>
      </c>
      <c r="F143" s="374">
        <v>7</v>
      </c>
      <c r="G143" s="374">
        <v>3.7</v>
      </c>
      <c r="H143" s="374">
        <v>3.3</v>
      </c>
      <c r="I143" s="377" t="s">
        <v>207</v>
      </c>
      <c r="J143" s="377" t="s">
        <v>207</v>
      </c>
      <c r="K143" s="378" t="s">
        <v>207</v>
      </c>
    </row>
    <row r="144" spans="1:11" ht="16">
      <c r="B144" s="381" t="s">
        <v>310</v>
      </c>
      <c r="C144" s="374">
        <v>54.4</v>
      </c>
      <c r="D144" s="374">
        <v>27.2</v>
      </c>
      <c r="E144" s="374">
        <v>27.2</v>
      </c>
      <c r="F144" s="374">
        <v>54.4</v>
      </c>
      <c r="G144" s="374">
        <v>27.2</v>
      </c>
      <c r="H144" s="374">
        <v>27.2</v>
      </c>
      <c r="I144" s="377" t="s">
        <v>207</v>
      </c>
      <c r="J144" s="377" t="s">
        <v>207</v>
      </c>
      <c r="K144" s="378" t="s">
        <v>207</v>
      </c>
    </row>
    <row r="145" spans="2:11" ht="16">
      <c r="B145" s="373" t="s">
        <v>311</v>
      </c>
      <c r="C145" s="375">
        <v>125.5</v>
      </c>
      <c r="D145" s="375">
        <v>63.9</v>
      </c>
      <c r="E145" s="375">
        <v>61.6</v>
      </c>
      <c r="F145" s="375">
        <v>125.5</v>
      </c>
      <c r="G145" s="375">
        <v>63.9</v>
      </c>
      <c r="H145" s="375">
        <v>61.6</v>
      </c>
      <c r="I145" s="377" t="s">
        <v>207</v>
      </c>
      <c r="J145" s="377" t="s">
        <v>207</v>
      </c>
      <c r="K145" s="378" t="s">
        <v>207</v>
      </c>
    </row>
    <row r="146" spans="2:11" ht="16">
      <c r="B146" s="381" t="s">
        <v>312</v>
      </c>
      <c r="C146" s="374">
        <v>12.6</v>
      </c>
      <c r="D146" s="374">
        <v>6.5</v>
      </c>
      <c r="E146" s="374">
        <v>6.1</v>
      </c>
      <c r="F146" s="374">
        <v>12.6</v>
      </c>
      <c r="G146" s="374">
        <v>6.5</v>
      </c>
      <c r="H146" s="374">
        <v>6.1</v>
      </c>
      <c r="I146" s="377" t="s">
        <v>207</v>
      </c>
      <c r="J146" s="377" t="s">
        <v>207</v>
      </c>
      <c r="K146" s="378" t="s">
        <v>207</v>
      </c>
    </row>
    <row r="147" spans="2:11" ht="16">
      <c r="B147" s="381" t="s">
        <v>313</v>
      </c>
      <c r="C147" s="374">
        <v>1.5</v>
      </c>
      <c r="D147" s="374">
        <v>0.7</v>
      </c>
      <c r="E147" s="374">
        <v>0.8</v>
      </c>
      <c r="F147" s="374">
        <v>1.5</v>
      </c>
      <c r="G147" s="374">
        <v>0.7</v>
      </c>
      <c r="H147" s="374">
        <v>0.8</v>
      </c>
      <c r="I147" s="377" t="s">
        <v>207</v>
      </c>
      <c r="J147" s="377" t="s">
        <v>207</v>
      </c>
      <c r="K147" s="378" t="s">
        <v>207</v>
      </c>
    </row>
    <row r="148" spans="2:11" ht="16">
      <c r="B148" s="381" t="s">
        <v>314</v>
      </c>
      <c r="C148" s="374">
        <v>0.4</v>
      </c>
      <c r="D148" s="374">
        <v>0.2</v>
      </c>
      <c r="E148" s="374">
        <v>0.2</v>
      </c>
      <c r="F148" s="374">
        <v>0.4</v>
      </c>
      <c r="G148" s="374">
        <v>0.2</v>
      </c>
      <c r="H148" s="374">
        <v>0.2</v>
      </c>
      <c r="I148" s="377" t="s">
        <v>207</v>
      </c>
      <c r="J148" s="377" t="s">
        <v>207</v>
      </c>
      <c r="K148" s="378" t="s">
        <v>207</v>
      </c>
    </row>
    <row r="149" spans="2:11" ht="16">
      <c r="B149" s="381" t="s">
        <v>315</v>
      </c>
      <c r="C149" s="374">
        <v>0.9</v>
      </c>
      <c r="D149" s="374">
        <v>0.4</v>
      </c>
      <c r="E149" s="374">
        <v>0.5</v>
      </c>
      <c r="F149" s="374">
        <v>0.9</v>
      </c>
      <c r="G149" s="374">
        <v>0.4</v>
      </c>
      <c r="H149" s="374">
        <v>0.5</v>
      </c>
      <c r="I149" s="377" t="s">
        <v>207</v>
      </c>
      <c r="J149" s="377" t="s">
        <v>207</v>
      </c>
      <c r="K149" s="378" t="s">
        <v>207</v>
      </c>
    </row>
    <row r="150" spans="2:11" ht="16">
      <c r="B150" s="381" t="s">
        <v>316</v>
      </c>
      <c r="C150" s="374" t="s">
        <v>207</v>
      </c>
      <c r="D150" s="374" t="s">
        <v>207</v>
      </c>
      <c r="E150" s="374" t="s">
        <v>207</v>
      </c>
      <c r="F150" s="374" t="s">
        <v>207</v>
      </c>
      <c r="G150" s="374" t="s">
        <v>207</v>
      </c>
      <c r="H150" s="374" t="s">
        <v>207</v>
      </c>
      <c r="I150" s="377" t="s">
        <v>207</v>
      </c>
      <c r="J150" s="377" t="s">
        <v>207</v>
      </c>
      <c r="K150" s="378" t="s">
        <v>207</v>
      </c>
    </row>
    <row r="151" spans="2:11" ht="16">
      <c r="B151" s="381" t="s">
        <v>317</v>
      </c>
      <c r="C151" s="374" t="s">
        <v>207</v>
      </c>
      <c r="D151" s="374" t="s">
        <v>207</v>
      </c>
      <c r="E151" s="374" t="s">
        <v>207</v>
      </c>
      <c r="F151" s="374" t="s">
        <v>207</v>
      </c>
      <c r="G151" s="374" t="s">
        <v>207</v>
      </c>
      <c r="H151" s="374" t="s">
        <v>207</v>
      </c>
      <c r="I151" s="377" t="s">
        <v>207</v>
      </c>
      <c r="J151" s="377" t="s">
        <v>207</v>
      </c>
      <c r="K151" s="378" t="s">
        <v>207</v>
      </c>
    </row>
    <row r="152" spans="2:11" ht="16">
      <c r="B152" s="381" t="s">
        <v>318</v>
      </c>
      <c r="C152" s="374" t="s">
        <v>207</v>
      </c>
      <c r="D152" s="374" t="s">
        <v>207</v>
      </c>
      <c r="E152" s="374" t="s">
        <v>207</v>
      </c>
      <c r="F152" s="374" t="s">
        <v>207</v>
      </c>
      <c r="G152" s="374" t="s">
        <v>207</v>
      </c>
      <c r="H152" s="374" t="s">
        <v>207</v>
      </c>
      <c r="I152" s="377" t="s">
        <v>207</v>
      </c>
      <c r="J152" s="377" t="s">
        <v>207</v>
      </c>
      <c r="K152" s="378" t="s">
        <v>207</v>
      </c>
    </row>
    <row r="153" spans="2:11" ht="16">
      <c r="B153" s="381" t="s">
        <v>319</v>
      </c>
      <c r="C153" s="374">
        <v>5</v>
      </c>
      <c r="D153" s="374">
        <v>2.6</v>
      </c>
      <c r="E153" s="374">
        <v>2.4</v>
      </c>
      <c r="F153" s="374">
        <v>5</v>
      </c>
      <c r="G153" s="374">
        <v>2.6</v>
      </c>
      <c r="H153" s="374">
        <v>2.4</v>
      </c>
      <c r="I153" s="377" t="s">
        <v>207</v>
      </c>
      <c r="J153" s="377" t="s">
        <v>207</v>
      </c>
      <c r="K153" s="378" t="s">
        <v>207</v>
      </c>
    </row>
    <row r="154" spans="2:11" ht="16">
      <c r="B154" s="381" t="s">
        <v>320</v>
      </c>
      <c r="C154" s="374">
        <v>0.9</v>
      </c>
      <c r="D154" s="374">
        <v>0.5</v>
      </c>
      <c r="E154" s="374">
        <v>0.4</v>
      </c>
      <c r="F154" s="374">
        <v>0.9</v>
      </c>
      <c r="G154" s="374">
        <v>0.5</v>
      </c>
      <c r="H154" s="374">
        <v>0.4</v>
      </c>
      <c r="I154" s="377" t="s">
        <v>207</v>
      </c>
      <c r="J154" s="377" t="s">
        <v>207</v>
      </c>
      <c r="K154" s="378" t="s">
        <v>207</v>
      </c>
    </row>
    <row r="155" spans="2:11" ht="16">
      <c r="B155" s="381" t="s">
        <v>321</v>
      </c>
      <c r="C155" s="374">
        <v>26</v>
      </c>
      <c r="D155" s="374">
        <v>13</v>
      </c>
      <c r="E155" s="374">
        <v>13</v>
      </c>
      <c r="F155" s="374">
        <v>26</v>
      </c>
      <c r="G155" s="374">
        <v>13</v>
      </c>
      <c r="H155" s="374">
        <v>13</v>
      </c>
      <c r="I155" s="377" t="s">
        <v>207</v>
      </c>
      <c r="J155" s="377" t="s">
        <v>207</v>
      </c>
      <c r="K155" s="378" t="s">
        <v>207</v>
      </c>
    </row>
    <row r="156" spans="2:11" ht="16">
      <c r="B156" s="381" t="s">
        <v>322</v>
      </c>
      <c r="C156" s="374">
        <v>0.1</v>
      </c>
      <c r="D156" s="374">
        <v>0.1</v>
      </c>
      <c r="E156" s="374">
        <v>0</v>
      </c>
      <c r="F156" s="374">
        <v>0.1</v>
      </c>
      <c r="G156" s="374">
        <v>0.1</v>
      </c>
      <c r="H156" s="374">
        <v>0</v>
      </c>
      <c r="I156" s="377" t="s">
        <v>207</v>
      </c>
      <c r="J156" s="377" t="s">
        <v>207</v>
      </c>
      <c r="K156" s="378" t="s">
        <v>207</v>
      </c>
    </row>
    <row r="157" spans="2:11" ht="16">
      <c r="B157" s="381" t="s">
        <v>323</v>
      </c>
      <c r="C157" s="374">
        <v>39.4</v>
      </c>
      <c r="D157" s="374">
        <v>20.2</v>
      </c>
      <c r="E157" s="374">
        <v>19.2</v>
      </c>
      <c r="F157" s="374">
        <v>39.4</v>
      </c>
      <c r="G157" s="374">
        <v>20.2</v>
      </c>
      <c r="H157" s="374">
        <v>19.2</v>
      </c>
      <c r="I157" s="377" t="s">
        <v>207</v>
      </c>
      <c r="J157" s="377" t="s">
        <v>207</v>
      </c>
      <c r="K157" s="378" t="s">
        <v>207</v>
      </c>
    </row>
    <row r="158" spans="2:11" ht="16">
      <c r="B158" s="381" t="s">
        <v>324</v>
      </c>
      <c r="C158" s="374">
        <v>0.1</v>
      </c>
      <c r="D158" s="374">
        <v>0.1</v>
      </c>
      <c r="E158" s="374">
        <v>0</v>
      </c>
      <c r="F158" s="374">
        <v>0.1</v>
      </c>
      <c r="G158" s="374">
        <v>0.1</v>
      </c>
      <c r="H158" s="374">
        <v>0</v>
      </c>
      <c r="I158" s="377" t="s">
        <v>207</v>
      </c>
      <c r="J158" s="377" t="s">
        <v>207</v>
      </c>
      <c r="K158" s="378" t="s">
        <v>207</v>
      </c>
    </row>
    <row r="159" spans="2:11" ht="16">
      <c r="B159" s="381" t="s">
        <v>325</v>
      </c>
      <c r="C159" s="374" t="s">
        <v>207</v>
      </c>
      <c r="D159" s="374" t="s">
        <v>207</v>
      </c>
      <c r="E159" s="374" t="s">
        <v>207</v>
      </c>
      <c r="F159" s="374" t="s">
        <v>207</v>
      </c>
      <c r="G159" s="374" t="s">
        <v>207</v>
      </c>
      <c r="H159" s="374" t="s">
        <v>207</v>
      </c>
      <c r="I159" s="377" t="s">
        <v>207</v>
      </c>
      <c r="J159" s="377" t="s">
        <v>207</v>
      </c>
      <c r="K159" s="378" t="s">
        <v>207</v>
      </c>
    </row>
    <row r="160" spans="2:11" ht="16">
      <c r="B160" s="381" t="s">
        <v>326</v>
      </c>
      <c r="C160" s="374">
        <v>1.3</v>
      </c>
      <c r="D160" s="374">
        <v>0.6</v>
      </c>
      <c r="E160" s="374">
        <v>0.70000000000000007</v>
      </c>
      <c r="F160" s="374">
        <v>1.3</v>
      </c>
      <c r="G160" s="374">
        <v>0.6</v>
      </c>
      <c r="H160" s="374">
        <v>0.70000000000000007</v>
      </c>
      <c r="I160" s="377" t="s">
        <v>207</v>
      </c>
      <c r="J160" s="377" t="s">
        <v>207</v>
      </c>
      <c r="K160" s="378" t="s">
        <v>207</v>
      </c>
    </row>
    <row r="161" spans="2:11" ht="16">
      <c r="B161" s="381" t="s">
        <v>327</v>
      </c>
      <c r="C161" s="374">
        <v>2.5</v>
      </c>
      <c r="D161" s="374">
        <v>1.2</v>
      </c>
      <c r="E161" s="374">
        <v>1.3</v>
      </c>
      <c r="F161" s="374">
        <v>2.5</v>
      </c>
      <c r="G161" s="374">
        <v>1.2</v>
      </c>
      <c r="H161" s="374">
        <v>1.3</v>
      </c>
      <c r="I161" s="377" t="s">
        <v>207</v>
      </c>
      <c r="J161" s="377" t="s">
        <v>207</v>
      </c>
      <c r="K161" s="378" t="s">
        <v>207</v>
      </c>
    </row>
    <row r="162" spans="2:11" ht="16">
      <c r="B162" s="381" t="s">
        <v>328</v>
      </c>
      <c r="C162" s="374">
        <v>17.7</v>
      </c>
      <c r="D162" s="374">
        <v>9.1</v>
      </c>
      <c r="E162" s="374">
        <v>8.6</v>
      </c>
      <c r="F162" s="374">
        <v>17.7</v>
      </c>
      <c r="G162" s="374">
        <v>9.1</v>
      </c>
      <c r="H162" s="374">
        <v>8.6</v>
      </c>
      <c r="I162" s="377" t="s">
        <v>207</v>
      </c>
      <c r="J162" s="377" t="s">
        <v>207</v>
      </c>
      <c r="K162" s="378" t="s">
        <v>207</v>
      </c>
    </row>
    <row r="163" spans="2:11" ht="16">
      <c r="B163" s="381" t="s">
        <v>329</v>
      </c>
      <c r="C163" s="374">
        <v>10</v>
      </c>
      <c r="D163" s="374">
        <v>5.0999999999999996</v>
      </c>
      <c r="E163" s="374">
        <v>4.9000000000000004</v>
      </c>
      <c r="F163" s="374">
        <v>10</v>
      </c>
      <c r="G163" s="374">
        <v>5.0999999999999996</v>
      </c>
      <c r="H163" s="374">
        <v>4.9000000000000004</v>
      </c>
      <c r="I163" s="377" t="s">
        <v>207</v>
      </c>
      <c r="J163" s="377" t="s">
        <v>207</v>
      </c>
      <c r="K163" s="378" t="s">
        <v>207</v>
      </c>
    </row>
    <row r="164" spans="2:11" ht="16">
      <c r="B164" s="381" t="s">
        <v>330</v>
      </c>
      <c r="C164" s="374">
        <v>1.5</v>
      </c>
      <c r="D164" s="374">
        <v>0.8</v>
      </c>
      <c r="E164" s="374">
        <v>0.7</v>
      </c>
      <c r="F164" s="374">
        <v>1.5</v>
      </c>
      <c r="G164" s="374">
        <v>0.8</v>
      </c>
      <c r="H164" s="374">
        <v>0.7</v>
      </c>
      <c r="I164" s="377" t="s">
        <v>207</v>
      </c>
      <c r="J164" s="377" t="s">
        <v>207</v>
      </c>
      <c r="K164" s="378" t="s">
        <v>207</v>
      </c>
    </row>
    <row r="165" spans="2:11" ht="16">
      <c r="B165" s="381" t="s">
        <v>331</v>
      </c>
      <c r="C165" s="374">
        <v>4.8</v>
      </c>
      <c r="D165" s="374">
        <v>2.4</v>
      </c>
      <c r="E165" s="374">
        <v>2.4</v>
      </c>
      <c r="F165" s="374">
        <v>4.8</v>
      </c>
      <c r="G165" s="374">
        <v>2.4</v>
      </c>
      <c r="H165" s="374">
        <v>2.4</v>
      </c>
      <c r="I165" s="377" t="s">
        <v>207</v>
      </c>
      <c r="J165" s="377" t="s">
        <v>207</v>
      </c>
      <c r="K165" s="378" t="s">
        <v>207</v>
      </c>
    </row>
    <row r="166" spans="2:11" ht="16">
      <c r="B166" s="381" t="s">
        <v>332</v>
      </c>
      <c r="C166" s="374">
        <v>0.8</v>
      </c>
      <c r="D166" s="374">
        <v>0.4</v>
      </c>
      <c r="E166" s="374">
        <v>0.4</v>
      </c>
      <c r="F166" s="374">
        <v>0.8</v>
      </c>
      <c r="G166" s="374">
        <v>0.4</v>
      </c>
      <c r="H166" s="374">
        <v>0.4</v>
      </c>
      <c r="I166" s="377" t="s">
        <v>207</v>
      </c>
      <c r="J166" s="377" t="s">
        <v>207</v>
      </c>
      <c r="K166" s="378" t="s">
        <v>207</v>
      </c>
    </row>
    <row r="167" spans="2:11" ht="16">
      <c r="B167" s="373" t="s">
        <v>878</v>
      </c>
      <c r="C167" s="375">
        <v>166.5</v>
      </c>
      <c r="D167" s="375">
        <v>84.9</v>
      </c>
      <c r="E167" s="375">
        <v>81.599999999999994</v>
      </c>
      <c r="F167" s="375">
        <v>166.5</v>
      </c>
      <c r="G167" s="375">
        <v>84.9</v>
      </c>
      <c r="H167" s="375">
        <v>81.599999999999994</v>
      </c>
      <c r="I167" s="377" t="s">
        <v>207</v>
      </c>
      <c r="J167" s="377" t="s">
        <v>207</v>
      </c>
      <c r="K167" s="378" t="s">
        <v>207</v>
      </c>
    </row>
    <row r="168" spans="2:11" ht="16">
      <c r="B168" s="381" t="s">
        <v>333</v>
      </c>
      <c r="C168" s="374">
        <v>57</v>
      </c>
      <c r="D168" s="374">
        <v>28.8</v>
      </c>
      <c r="E168" s="374">
        <v>28.2</v>
      </c>
      <c r="F168" s="374">
        <v>57</v>
      </c>
      <c r="G168" s="374">
        <v>28.8</v>
      </c>
      <c r="H168" s="374">
        <v>28.2</v>
      </c>
      <c r="I168" s="377" t="s">
        <v>207</v>
      </c>
      <c r="J168" s="377" t="s">
        <v>207</v>
      </c>
      <c r="K168" s="378" t="s">
        <v>207</v>
      </c>
    </row>
    <row r="169" spans="2:11" ht="16">
      <c r="B169" s="381" t="s">
        <v>334</v>
      </c>
      <c r="C169" s="374">
        <v>31.5</v>
      </c>
      <c r="D169" s="374">
        <v>16</v>
      </c>
      <c r="E169" s="374">
        <v>15.5</v>
      </c>
      <c r="F169" s="374">
        <v>31.5</v>
      </c>
      <c r="G169" s="374">
        <v>16</v>
      </c>
      <c r="H169" s="374">
        <v>15.5</v>
      </c>
      <c r="I169" s="377" t="s">
        <v>207</v>
      </c>
      <c r="J169" s="377" t="s">
        <v>207</v>
      </c>
      <c r="K169" s="378" t="s">
        <v>207</v>
      </c>
    </row>
    <row r="170" spans="2:11" ht="16">
      <c r="B170" s="381" t="s">
        <v>335</v>
      </c>
      <c r="C170" s="374">
        <v>5</v>
      </c>
      <c r="D170" s="374">
        <v>2.6</v>
      </c>
      <c r="E170" s="374">
        <v>2.4</v>
      </c>
      <c r="F170" s="374">
        <v>5</v>
      </c>
      <c r="G170" s="374">
        <v>2.6</v>
      </c>
      <c r="H170" s="374">
        <v>2.4</v>
      </c>
      <c r="I170" s="377" t="s">
        <v>207</v>
      </c>
      <c r="J170" s="377" t="s">
        <v>207</v>
      </c>
      <c r="K170" s="378" t="s">
        <v>207</v>
      </c>
    </row>
    <row r="171" spans="2:11" ht="16">
      <c r="B171" s="381" t="s">
        <v>336</v>
      </c>
      <c r="C171" s="374">
        <v>25.1</v>
      </c>
      <c r="D171" s="374">
        <v>13.5</v>
      </c>
      <c r="E171" s="374">
        <v>11.600000000000001</v>
      </c>
      <c r="F171" s="374">
        <v>25.1</v>
      </c>
      <c r="G171" s="374">
        <v>13.5</v>
      </c>
      <c r="H171" s="374">
        <v>11.600000000000001</v>
      </c>
      <c r="I171" s="377" t="s">
        <v>207</v>
      </c>
      <c r="J171" s="377" t="s">
        <v>207</v>
      </c>
      <c r="K171" s="378" t="s">
        <v>207</v>
      </c>
    </row>
    <row r="172" spans="2:11" ht="16">
      <c r="B172" s="381" t="s">
        <v>337</v>
      </c>
      <c r="C172" s="374">
        <v>3.6</v>
      </c>
      <c r="D172" s="374">
        <v>1.8</v>
      </c>
      <c r="E172" s="374">
        <v>1.8</v>
      </c>
      <c r="F172" s="374">
        <v>3.6</v>
      </c>
      <c r="G172" s="374">
        <v>1.8</v>
      </c>
      <c r="H172" s="374">
        <v>1.8</v>
      </c>
      <c r="I172" s="377" t="s">
        <v>207</v>
      </c>
      <c r="J172" s="377" t="s">
        <v>207</v>
      </c>
      <c r="K172" s="378" t="s">
        <v>207</v>
      </c>
    </row>
    <row r="173" spans="2:11" ht="16">
      <c r="B173" s="381" t="s">
        <v>338</v>
      </c>
      <c r="C173" s="374">
        <v>19.399999999999999</v>
      </c>
      <c r="D173" s="374">
        <v>9.6999999999999993</v>
      </c>
      <c r="E173" s="374">
        <v>9.6999999999999993</v>
      </c>
      <c r="F173" s="374">
        <v>19.399999999999999</v>
      </c>
      <c r="G173" s="374">
        <v>9.6999999999999993</v>
      </c>
      <c r="H173" s="374">
        <v>9.6999999999999993</v>
      </c>
      <c r="I173" s="377" t="s">
        <v>207</v>
      </c>
      <c r="J173" s="377" t="s">
        <v>207</v>
      </c>
      <c r="K173" s="378" t="s">
        <v>207</v>
      </c>
    </row>
    <row r="174" spans="2:11" ht="16">
      <c r="B174" s="381" t="s">
        <v>339</v>
      </c>
      <c r="C174" s="374">
        <v>12.5</v>
      </c>
      <c r="D174" s="374">
        <v>6.3</v>
      </c>
      <c r="E174" s="374">
        <v>6.2</v>
      </c>
      <c r="F174" s="374">
        <v>12.5</v>
      </c>
      <c r="G174" s="374">
        <v>6.3</v>
      </c>
      <c r="H174" s="374">
        <v>6.2</v>
      </c>
      <c r="I174" s="377" t="s">
        <v>207</v>
      </c>
      <c r="J174" s="377" t="s">
        <v>207</v>
      </c>
      <c r="K174" s="378" t="s">
        <v>207</v>
      </c>
    </row>
    <row r="175" spans="2:11" ht="16">
      <c r="B175" s="381" t="s">
        <v>340</v>
      </c>
      <c r="C175" s="374">
        <v>12.4</v>
      </c>
      <c r="D175" s="374">
        <v>6.2</v>
      </c>
      <c r="E175" s="374">
        <v>6.2</v>
      </c>
      <c r="F175" s="374">
        <v>12.4</v>
      </c>
      <c r="G175" s="374">
        <v>6.2</v>
      </c>
      <c r="H175" s="374">
        <v>6.2</v>
      </c>
      <c r="I175" s="377" t="s">
        <v>207</v>
      </c>
      <c r="J175" s="377" t="s">
        <v>207</v>
      </c>
      <c r="K175" s="378" t="s">
        <v>207</v>
      </c>
    </row>
    <row r="176" spans="2:11" ht="16">
      <c r="B176" s="373" t="s">
        <v>341</v>
      </c>
      <c r="C176" s="375">
        <v>101.8</v>
      </c>
      <c r="D176" s="375">
        <v>48.9</v>
      </c>
      <c r="E176" s="375">
        <v>52.9</v>
      </c>
      <c r="F176" s="375">
        <v>101.8</v>
      </c>
      <c r="G176" s="375">
        <v>48.9</v>
      </c>
      <c r="H176" s="375">
        <v>52.9</v>
      </c>
      <c r="I176" s="377" t="s">
        <v>207</v>
      </c>
      <c r="J176" s="377" t="s">
        <v>207</v>
      </c>
      <c r="K176" s="378" t="s">
        <v>207</v>
      </c>
    </row>
    <row r="177" spans="2:11" ht="16">
      <c r="B177" s="381" t="s">
        <v>342</v>
      </c>
      <c r="C177" s="374">
        <v>22.3</v>
      </c>
      <c r="D177" s="374">
        <v>11.2</v>
      </c>
      <c r="E177" s="374">
        <v>11.100000000000001</v>
      </c>
      <c r="F177" s="374">
        <v>22.3</v>
      </c>
      <c r="G177" s="374">
        <v>11.2</v>
      </c>
      <c r="H177" s="374">
        <v>11.100000000000001</v>
      </c>
      <c r="I177" s="377" t="s">
        <v>207</v>
      </c>
      <c r="J177" s="377" t="s">
        <v>207</v>
      </c>
      <c r="K177" s="378" t="s">
        <v>207</v>
      </c>
    </row>
    <row r="178" spans="2:11" ht="16">
      <c r="B178" s="381" t="s">
        <v>343</v>
      </c>
      <c r="C178" s="374">
        <v>2.1</v>
      </c>
      <c r="D178" s="374">
        <v>1</v>
      </c>
      <c r="E178" s="374">
        <v>1.1000000000000001</v>
      </c>
      <c r="F178" s="374">
        <v>2.1</v>
      </c>
      <c r="G178" s="374">
        <v>1</v>
      </c>
      <c r="H178" s="374">
        <v>1.1000000000000001</v>
      </c>
      <c r="I178" s="377" t="s">
        <v>207</v>
      </c>
      <c r="J178" s="377" t="s">
        <v>207</v>
      </c>
      <c r="K178" s="378" t="s">
        <v>207</v>
      </c>
    </row>
    <row r="179" spans="2:11" ht="16">
      <c r="B179" s="373" t="s">
        <v>344</v>
      </c>
      <c r="C179" s="382">
        <v>244.6</v>
      </c>
      <c r="D179" s="382">
        <v>122.4</v>
      </c>
      <c r="E179" s="382">
        <v>122.19999999999999</v>
      </c>
      <c r="F179" s="382">
        <v>244.6</v>
      </c>
      <c r="G179" s="382">
        <v>122.4</v>
      </c>
      <c r="H179" s="382">
        <v>122.19999999999999</v>
      </c>
      <c r="I179" s="377" t="s">
        <v>207</v>
      </c>
      <c r="J179" s="377" t="s">
        <v>207</v>
      </c>
      <c r="K179" s="378" t="s">
        <v>207</v>
      </c>
    </row>
    <row r="180" spans="2:11" ht="16">
      <c r="B180" s="381" t="s">
        <v>345</v>
      </c>
      <c r="C180" s="383">
        <v>76.599999999999994</v>
      </c>
      <c r="D180" s="384">
        <v>38.700000000000003</v>
      </c>
      <c r="E180" s="383">
        <v>37.899999999999991</v>
      </c>
      <c r="F180" s="383">
        <v>76.599999999999994</v>
      </c>
      <c r="G180" s="384">
        <v>38.700000000000003</v>
      </c>
      <c r="H180" s="383">
        <v>37.899999999999991</v>
      </c>
      <c r="I180" s="377" t="s">
        <v>207</v>
      </c>
      <c r="J180" s="377" t="s">
        <v>207</v>
      </c>
      <c r="K180" s="378" t="s">
        <v>207</v>
      </c>
    </row>
    <row r="181" spans="2:11" ht="16">
      <c r="B181" s="381" t="s">
        <v>346</v>
      </c>
      <c r="C181" s="383">
        <v>14.4</v>
      </c>
      <c r="D181" s="384">
        <v>7.1</v>
      </c>
      <c r="E181" s="383">
        <v>7.3000000000000007</v>
      </c>
      <c r="F181" s="383">
        <v>14.4</v>
      </c>
      <c r="G181" s="384">
        <v>7.1</v>
      </c>
      <c r="H181" s="383">
        <v>7.3000000000000007</v>
      </c>
      <c r="I181" s="377" t="s">
        <v>207</v>
      </c>
      <c r="J181" s="377" t="s">
        <v>207</v>
      </c>
      <c r="K181" s="378" t="s">
        <v>207</v>
      </c>
    </row>
    <row r="182" spans="2:11" ht="16">
      <c r="B182" s="381" t="s">
        <v>347</v>
      </c>
      <c r="C182" s="383">
        <v>8.6</v>
      </c>
      <c r="D182" s="384">
        <v>4.2</v>
      </c>
      <c r="E182" s="383">
        <v>4.3999999999999995</v>
      </c>
      <c r="F182" s="383">
        <v>8.6</v>
      </c>
      <c r="G182" s="384">
        <v>4.2</v>
      </c>
      <c r="H182" s="383">
        <v>4.3999999999999995</v>
      </c>
      <c r="I182" s="377" t="s">
        <v>207</v>
      </c>
      <c r="J182" s="377" t="s">
        <v>207</v>
      </c>
      <c r="K182" s="378" t="s">
        <v>207</v>
      </c>
    </row>
    <row r="183" spans="2:11" ht="16">
      <c r="B183" s="381" t="s">
        <v>348</v>
      </c>
      <c r="C183" s="383">
        <v>6.7</v>
      </c>
      <c r="D183" s="384">
        <v>3.3</v>
      </c>
      <c r="E183" s="383">
        <v>3.4000000000000004</v>
      </c>
      <c r="F183" s="383">
        <v>6.7</v>
      </c>
      <c r="G183" s="384">
        <v>3.3</v>
      </c>
      <c r="H183" s="383">
        <v>3.4000000000000004</v>
      </c>
      <c r="I183" s="377" t="s">
        <v>207</v>
      </c>
      <c r="J183" s="377" t="s">
        <v>207</v>
      </c>
      <c r="K183" s="378" t="s">
        <v>207</v>
      </c>
    </row>
    <row r="184" spans="2:11" ht="16">
      <c r="B184" s="381" t="s">
        <v>349</v>
      </c>
      <c r="C184" s="383">
        <v>46.2</v>
      </c>
      <c r="D184" s="384">
        <v>23.3</v>
      </c>
      <c r="E184" s="383">
        <v>22.900000000000002</v>
      </c>
      <c r="F184" s="383">
        <v>46.2</v>
      </c>
      <c r="G184" s="384">
        <v>23.3</v>
      </c>
      <c r="H184" s="383">
        <v>22.900000000000002</v>
      </c>
      <c r="I184" s="377" t="s">
        <v>207</v>
      </c>
      <c r="J184" s="377" t="s">
        <v>207</v>
      </c>
      <c r="K184" s="378" t="s">
        <v>207</v>
      </c>
    </row>
    <row r="185" spans="2:11" ht="16">
      <c r="B185" s="381" t="s">
        <v>350</v>
      </c>
      <c r="C185" s="383">
        <v>10.199999999999999</v>
      </c>
      <c r="D185" s="384">
        <v>5.2</v>
      </c>
      <c r="E185" s="383">
        <v>4.9999999999999991</v>
      </c>
      <c r="F185" s="383">
        <v>10.199999999999999</v>
      </c>
      <c r="G185" s="384">
        <v>5.2</v>
      </c>
      <c r="H185" s="383">
        <v>4.9999999999999991</v>
      </c>
      <c r="I185" s="377" t="s">
        <v>207</v>
      </c>
      <c r="J185" s="377" t="s">
        <v>207</v>
      </c>
      <c r="K185" s="378" t="s">
        <v>207</v>
      </c>
    </row>
    <row r="186" spans="2:11" ht="16">
      <c r="B186" s="381" t="s">
        <v>351</v>
      </c>
      <c r="C186" s="383">
        <v>7</v>
      </c>
      <c r="D186" s="384">
        <v>3.6</v>
      </c>
      <c r="E186" s="383">
        <v>3.4</v>
      </c>
      <c r="F186" s="383">
        <v>7</v>
      </c>
      <c r="G186" s="384">
        <v>3.6</v>
      </c>
      <c r="H186" s="383">
        <v>3.4</v>
      </c>
      <c r="I186" s="377" t="s">
        <v>207</v>
      </c>
      <c r="J186" s="377" t="s">
        <v>207</v>
      </c>
      <c r="K186" s="378" t="s">
        <v>207</v>
      </c>
    </row>
    <row r="187" spans="2:11" ht="16">
      <c r="B187" s="381" t="s">
        <v>352</v>
      </c>
      <c r="C187" s="383">
        <v>12.9</v>
      </c>
      <c r="D187" s="384">
        <v>6.4</v>
      </c>
      <c r="E187" s="383">
        <v>6.5</v>
      </c>
      <c r="F187" s="383">
        <v>12.9</v>
      </c>
      <c r="G187" s="384">
        <v>6.4</v>
      </c>
      <c r="H187" s="383">
        <v>6.5</v>
      </c>
      <c r="I187" s="377" t="s">
        <v>207</v>
      </c>
      <c r="J187" s="377" t="s">
        <v>207</v>
      </c>
      <c r="K187" s="378" t="s">
        <v>207</v>
      </c>
    </row>
    <row r="188" spans="2:11" ht="16">
      <c r="B188" s="381" t="s">
        <v>353</v>
      </c>
      <c r="C188" s="383">
        <v>32.5</v>
      </c>
      <c r="D188" s="384">
        <v>16.100000000000001</v>
      </c>
      <c r="E188" s="383">
        <v>16.399999999999999</v>
      </c>
      <c r="F188" s="383">
        <v>32.5</v>
      </c>
      <c r="G188" s="384">
        <v>16.100000000000001</v>
      </c>
      <c r="H188" s="383">
        <v>16.399999999999999</v>
      </c>
      <c r="I188" s="377" t="s">
        <v>207</v>
      </c>
      <c r="J188" s="377" t="s">
        <v>207</v>
      </c>
      <c r="K188" s="378" t="s">
        <v>207</v>
      </c>
    </row>
    <row r="189" spans="2:11" ht="16">
      <c r="B189" s="381" t="s">
        <v>354</v>
      </c>
      <c r="C189" s="383">
        <v>29.5</v>
      </c>
      <c r="D189" s="384">
        <v>14.5</v>
      </c>
      <c r="E189" s="383">
        <v>15</v>
      </c>
      <c r="F189" s="383">
        <v>29.5</v>
      </c>
      <c r="G189" s="384">
        <v>14.5</v>
      </c>
      <c r="H189" s="383">
        <v>15</v>
      </c>
      <c r="I189" s="377" t="s">
        <v>207</v>
      </c>
      <c r="J189" s="377" t="s">
        <v>207</v>
      </c>
      <c r="K189" s="378" t="s">
        <v>207</v>
      </c>
    </row>
    <row r="190" spans="2:11" ht="16">
      <c r="B190" s="373" t="s">
        <v>355</v>
      </c>
      <c r="C190" s="382">
        <v>219.5</v>
      </c>
      <c r="D190" s="382">
        <v>108.3</v>
      </c>
      <c r="E190" s="382">
        <v>111.2</v>
      </c>
      <c r="F190" s="382">
        <v>219.5</v>
      </c>
      <c r="G190" s="382">
        <v>108.3</v>
      </c>
      <c r="H190" s="382">
        <v>111.2</v>
      </c>
      <c r="I190" s="377" t="s">
        <v>207</v>
      </c>
      <c r="J190" s="377" t="s">
        <v>207</v>
      </c>
      <c r="K190" s="378" t="s">
        <v>207</v>
      </c>
    </row>
    <row r="191" spans="2:11" ht="16">
      <c r="B191" s="381" t="s">
        <v>356</v>
      </c>
      <c r="C191" s="383">
        <v>25.3</v>
      </c>
      <c r="D191" s="384">
        <v>12.4</v>
      </c>
      <c r="E191" s="383">
        <v>12.9</v>
      </c>
      <c r="F191" s="383">
        <v>25.3</v>
      </c>
      <c r="G191" s="384">
        <v>12.4</v>
      </c>
      <c r="H191" s="383">
        <v>12.9</v>
      </c>
      <c r="I191" s="377" t="s">
        <v>207</v>
      </c>
      <c r="J191" s="377" t="s">
        <v>207</v>
      </c>
      <c r="K191" s="378" t="s">
        <v>207</v>
      </c>
    </row>
    <row r="192" spans="2:11" ht="16">
      <c r="B192" s="381" t="s">
        <v>357</v>
      </c>
      <c r="C192" s="383">
        <v>32.299999999999997</v>
      </c>
      <c r="D192" s="384">
        <v>15.7</v>
      </c>
      <c r="E192" s="383">
        <v>16.599999999999998</v>
      </c>
      <c r="F192" s="383">
        <v>32.299999999999997</v>
      </c>
      <c r="G192" s="384">
        <v>15.7</v>
      </c>
      <c r="H192" s="383">
        <v>16.599999999999998</v>
      </c>
      <c r="I192" s="377" t="s">
        <v>207</v>
      </c>
      <c r="J192" s="377" t="s">
        <v>207</v>
      </c>
      <c r="K192" s="378" t="s">
        <v>207</v>
      </c>
    </row>
    <row r="193" spans="2:11" ht="16">
      <c r="B193" s="381" t="s">
        <v>358</v>
      </c>
      <c r="C193" s="383">
        <v>42.3</v>
      </c>
      <c r="D193" s="384">
        <v>20.9</v>
      </c>
      <c r="E193" s="383">
        <v>21.4</v>
      </c>
      <c r="F193" s="383">
        <v>42.3</v>
      </c>
      <c r="G193" s="384">
        <v>20.9</v>
      </c>
      <c r="H193" s="383">
        <v>21.4</v>
      </c>
      <c r="I193" s="377" t="s">
        <v>207</v>
      </c>
      <c r="J193" s="377" t="s">
        <v>207</v>
      </c>
      <c r="K193" s="378" t="s">
        <v>207</v>
      </c>
    </row>
    <row r="194" spans="2:11" ht="16">
      <c r="B194" s="381" t="s">
        <v>359</v>
      </c>
      <c r="C194" s="383">
        <v>87.3</v>
      </c>
      <c r="D194" s="384">
        <v>43.5</v>
      </c>
      <c r="E194" s="383">
        <v>43.8</v>
      </c>
      <c r="F194" s="383">
        <v>87.3</v>
      </c>
      <c r="G194" s="384">
        <v>43.5</v>
      </c>
      <c r="H194" s="383">
        <v>43.8</v>
      </c>
      <c r="I194" s="377" t="s">
        <v>207</v>
      </c>
      <c r="J194" s="377" t="s">
        <v>207</v>
      </c>
      <c r="K194" s="378" t="s">
        <v>207</v>
      </c>
    </row>
    <row r="195" spans="2:11" ht="16">
      <c r="B195" s="381" t="s">
        <v>360</v>
      </c>
      <c r="C195" s="383">
        <v>18.100000000000001</v>
      </c>
      <c r="D195" s="384">
        <v>8.8000000000000007</v>
      </c>
      <c r="E195" s="383">
        <v>9.3000000000000007</v>
      </c>
      <c r="F195" s="383">
        <v>18.100000000000001</v>
      </c>
      <c r="G195" s="384">
        <v>8.8000000000000007</v>
      </c>
      <c r="H195" s="383">
        <v>9.3000000000000007</v>
      </c>
      <c r="I195" s="377" t="s">
        <v>207</v>
      </c>
      <c r="J195" s="377" t="s">
        <v>207</v>
      </c>
      <c r="K195" s="378" t="s">
        <v>207</v>
      </c>
    </row>
    <row r="196" spans="2:11" ht="16">
      <c r="B196" s="381" t="s">
        <v>361</v>
      </c>
      <c r="C196" s="383">
        <v>14.2</v>
      </c>
      <c r="D196" s="384">
        <v>7</v>
      </c>
      <c r="E196" s="383">
        <v>7.1999999999999993</v>
      </c>
      <c r="F196" s="383">
        <v>14.2</v>
      </c>
      <c r="G196" s="384">
        <v>7</v>
      </c>
      <c r="H196" s="383">
        <v>7.1999999999999993</v>
      </c>
      <c r="I196" s="377" t="s">
        <v>207</v>
      </c>
      <c r="J196" s="377" t="s">
        <v>207</v>
      </c>
      <c r="K196" s="378" t="s">
        <v>207</v>
      </c>
    </row>
    <row r="197" spans="2:11" ht="16">
      <c r="B197" s="373" t="s">
        <v>362</v>
      </c>
      <c r="C197" s="382">
        <v>178.3</v>
      </c>
      <c r="D197" s="382">
        <v>88.2</v>
      </c>
      <c r="E197" s="382">
        <v>90.100000000000009</v>
      </c>
      <c r="F197" s="382">
        <v>178.3</v>
      </c>
      <c r="G197" s="382">
        <v>88.2</v>
      </c>
      <c r="H197" s="382">
        <v>90.100000000000009</v>
      </c>
      <c r="I197" s="377" t="s">
        <v>207</v>
      </c>
      <c r="J197" s="377" t="s">
        <v>207</v>
      </c>
      <c r="K197" s="378" t="s">
        <v>207</v>
      </c>
    </row>
    <row r="198" spans="2:11" ht="16">
      <c r="B198" s="373" t="s">
        <v>363</v>
      </c>
      <c r="C198" s="382">
        <v>221.1</v>
      </c>
      <c r="D198" s="382">
        <v>109.7</v>
      </c>
      <c r="E198" s="382">
        <v>111.39999999999999</v>
      </c>
      <c r="F198" s="382">
        <v>221.1</v>
      </c>
      <c r="G198" s="382">
        <v>109.7</v>
      </c>
      <c r="H198" s="382">
        <v>111.39999999999999</v>
      </c>
      <c r="I198" s="377" t="s">
        <v>207</v>
      </c>
      <c r="J198" s="377" t="s">
        <v>207</v>
      </c>
      <c r="K198" s="378" t="s">
        <v>207</v>
      </c>
    </row>
    <row r="199" spans="2:11" ht="16">
      <c r="B199" s="373" t="s">
        <v>364</v>
      </c>
      <c r="C199" s="382">
        <v>200</v>
      </c>
      <c r="D199" s="382">
        <v>99.2</v>
      </c>
      <c r="E199" s="382">
        <v>100.8</v>
      </c>
      <c r="F199" s="382">
        <v>200</v>
      </c>
      <c r="G199" s="382">
        <v>99.2</v>
      </c>
      <c r="H199" s="382">
        <v>100.8</v>
      </c>
      <c r="I199" s="377" t="s">
        <v>207</v>
      </c>
      <c r="J199" s="377" t="s">
        <v>207</v>
      </c>
      <c r="K199" s="378" t="s">
        <v>207</v>
      </c>
    </row>
    <row r="200" spans="2:11" ht="16">
      <c r="B200" s="381" t="s">
        <v>365</v>
      </c>
      <c r="C200" s="383">
        <v>25.5</v>
      </c>
      <c r="D200" s="384">
        <v>12.5</v>
      </c>
      <c r="E200" s="383">
        <v>13</v>
      </c>
      <c r="F200" s="383">
        <v>25.5</v>
      </c>
      <c r="G200" s="384">
        <v>12.5</v>
      </c>
      <c r="H200" s="383">
        <v>13</v>
      </c>
      <c r="I200" s="377" t="s">
        <v>207</v>
      </c>
      <c r="J200" s="377" t="s">
        <v>207</v>
      </c>
      <c r="K200" s="378" t="s">
        <v>207</v>
      </c>
    </row>
    <row r="201" spans="2:11" ht="16">
      <c r="B201" s="373" t="s">
        <v>366</v>
      </c>
      <c r="C201" s="382">
        <v>20.5</v>
      </c>
      <c r="D201" s="382">
        <v>10.4</v>
      </c>
      <c r="E201" s="382">
        <v>10.1</v>
      </c>
      <c r="F201" s="382">
        <v>20.5</v>
      </c>
      <c r="G201" s="382">
        <v>10.4</v>
      </c>
      <c r="H201" s="382">
        <v>10.1</v>
      </c>
      <c r="I201" s="377" t="s">
        <v>207</v>
      </c>
      <c r="J201" s="377" t="s">
        <v>207</v>
      </c>
      <c r="K201" s="378" t="s">
        <v>207</v>
      </c>
    </row>
    <row r="202" spans="2:11" ht="16">
      <c r="B202" s="381" t="s">
        <v>367</v>
      </c>
      <c r="C202" s="383">
        <v>17.2</v>
      </c>
      <c r="D202" s="384">
        <v>8.3000000000000007</v>
      </c>
      <c r="E202" s="383">
        <v>8.8999999999999986</v>
      </c>
      <c r="F202" s="383">
        <v>17.2</v>
      </c>
      <c r="G202" s="384">
        <v>8.3000000000000007</v>
      </c>
      <c r="H202" s="383">
        <v>8.8999999999999986</v>
      </c>
      <c r="I202" s="377" t="s">
        <v>207</v>
      </c>
      <c r="J202" s="377" t="s">
        <v>207</v>
      </c>
      <c r="K202" s="378" t="s">
        <v>207</v>
      </c>
    </row>
    <row r="203" spans="2:11" ht="16">
      <c r="B203" s="381" t="s">
        <v>368</v>
      </c>
      <c r="C203" s="383">
        <v>1.7</v>
      </c>
      <c r="D203" s="384">
        <v>1.1000000000000001</v>
      </c>
      <c r="E203" s="383">
        <v>0.59999999999999987</v>
      </c>
      <c r="F203" s="383">
        <v>1.7</v>
      </c>
      <c r="G203" s="384">
        <v>1.1000000000000001</v>
      </c>
      <c r="H203" s="383">
        <v>0.59999999999999987</v>
      </c>
      <c r="I203" s="377" t="s">
        <v>207</v>
      </c>
      <c r="J203" s="377" t="s">
        <v>207</v>
      </c>
      <c r="K203" s="378" t="s">
        <v>207</v>
      </c>
    </row>
    <row r="204" spans="2:11" ht="16">
      <c r="B204" s="381" t="s">
        <v>369</v>
      </c>
      <c r="C204" s="383">
        <v>0.4</v>
      </c>
      <c r="D204" s="384">
        <v>0.4</v>
      </c>
      <c r="E204" s="383">
        <v>0</v>
      </c>
      <c r="F204" s="383">
        <v>0.4</v>
      </c>
      <c r="G204" s="384">
        <v>0.4</v>
      </c>
      <c r="H204" s="383">
        <v>0</v>
      </c>
      <c r="I204" s="377" t="s">
        <v>207</v>
      </c>
      <c r="J204" s="377" t="s">
        <v>207</v>
      </c>
      <c r="K204" s="378" t="s">
        <v>207</v>
      </c>
    </row>
    <row r="205" spans="2:11" ht="16">
      <c r="B205" s="381" t="s">
        <v>370</v>
      </c>
      <c r="C205" s="383">
        <v>1.2</v>
      </c>
      <c r="D205" s="384">
        <v>0.6</v>
      </c>
      <c r="E205" s="383">
        <v>0.6</v>
      </c>
      <c r="F205" s="383">
        <v>1.2</v>
      </c>
      <c r="G205" s="384">
        <v>0.6</v>
      </c>
      <c r="H205" s="383">
        <v>0.6</v>
      </c>
      <c r="I205" s="377" t="s">
        <v>207</v>
      </c>
      <c r="J205" s="377" t="s">
        <v>207</v>
      </c>
      <c r="K205" s="378" t="s">
        <v>207</v>
      </c>
    </row>
    <row r="206" spans="2:11" ht="16">
      <c r="B206" s="373" t="s">
        <v>371</v>
      </c>
      <c r="C206" s="382">
        <v>286.3</v>
      </c>
      <c r="D206" s="382">
        <v>142.6</v>
      </c>
      <c r="E206" s="382">
        <v>143.70000000000002</v>
      </c>
      <c r="F206" s="382">
        <v>286.3</v>
      </c>
      <c r="G206" s="382">
        <v>142.6</v>
      </c>
      <c r="H206" s="382">
        <v>143.70000000000002</v>
      </c>
      <c r="I206" s="377" t="s">
        <v>207</v>
      </c>
      <c r="J206" s="377" t="s">
        <v>207</v>
      </c>
      <c r="K206" s="378" t="s">
        <v>207</v>
      </c>
    </row>
    <row r="207" spans="2:11" ht="16">
      <c r="B207" s="381" t="s">
        <v>372</v>
      </c>
      <c r="C207" s="383">
        <v>11.1</v>
      </c>
      <c r="D207" s="384">
        <v>5.7</v>
      </c>
      <c r="E207" s="383">
        <v>5.3999999999999995</v>
      </c>
      <c r="F207" s="383">
        <v>11.1</v>
      </c>
      <c r="G207" s="384">
        <v>5.7</v>
      </c>
      <c r="H207" s="383">
        <v>5.3999999999999995</v>
      </c>
      <c r="I207" s="377" t="s">
        <v>207</v>
      </c>
      <c r="J207" s="377" t="s">
        <v>207</v>
      </c>
      <c r="K207" s="378" t="s">
        <v>207</v>
      </c>
    </row>
    <row r="208" spans="2:11" ht="16">
      <c r="B208" s="373" t="s">
        <v>373</v>
      </c>
      <c r="C208" s="382">
        <v>247.6</v>
      </c>
      <c r="D208" s="382">
        <v>120.5</v>
      </c>
      <c r="E208" s="382">
        <v>127.1</v>
      </c>
      <c r="F208" s="382">
        <v>247.6</v>
      </c>
      <c r="G208" s="382">
        <v>120.5</v>
      </c>
      <c r="H208" s="382">
        <v>127.1</v>
      </c>
      <c r="I208" s="377" t="s">
        <v>207</v>
      </c>
      <c r="J208" s="377" t="s">
        <v>207</v>
      </c>
      <c r="K208" s="378" t="s">
        <v>207</v>
      </c>
    </row>
    <row r="209" spans="1:11" ht="16">
      <c r="B209" s="373"/>
      <c r="C209" s="385"/>
      <c r="D209" s="386"/>
      <c r="E209" s="386"/>
      <c r="F209" s="387"/>
      <c r="G209" s="387"/>
      <c r="H209" s="387"/>
      <c r="I209" s="387"/>
      <c r="J209" s="387"/>
      <c r="K209" s="388"/>
    </row>
    <row r="210" spans="1:11" ht="16">
      <c r="A210" t="s">
        <v>829</v>
      </c>
      <c r="B210" s="373" t="s">
        <v>374</v>
      </c>
      <c r="C210" s="382">
        <v>572.6</v>
      </c>
      <c r="D210" s="382">
        <v>284.5</v>
      </c>
      <c r="E210" s="382">
        <v>288.10000000000002</v>
      </c>
      <c r="F210" s="382">
        <v>526.20000000000005</v>
      </c>
      <c r="G210" s="382">
        <v>260.7</v>
      </c>
      <c r="H210" s="382">
        <v>265.50000000000006</v>
      </c>
      <c r="I210" s="382">
        <v>46.399999999999977</v>
      </c>
      <c r="J210" s="382">
        <v>23.800000000000004</v>
      </c>
      <c r="K210" s="389">
        <v>22.599999999999973</v>
      </c>
    </row>
    <row r="211" spans="1:11" ht="16">
      <c r="B211" s="379" t="s">
        <v>298</v>
      </c>
      <c r="C211" s="383"/>
      <c r="D211" s="383"/>
      <c r="E211" s="383"/>
      <c r="F211" s="383"/>
      <c r="G211" s="383"/>
      <c r="H211" s="383"/>
      <c r="I211" s="383"/>
      <c r="J211" s="383"/>
      <c r="K211" s="390"/>
    </row>
    <row r="212" spans="1:11" ht="16">
      <c r="B212" s="373" t="s">
        <v>375</v>
      </c>
      <c r="C212" s="382">
        <v>16.899999999999999</v>
      </c>
      <c r="D212" s="382">
        <v>8.4</v>
      </c>
      <c r="E212" s="382">
        <v>8.4999999999999982</v>
      </c>
      <c r="F212" s="382">
        <v>8.8000000000000007</v>
      </c>
      <c r="G212" s="391">
        <v>4.3</v>
      </c>
      <c r="H212" s="382">
        <v>4.5000000000000009</v>
      </c>
      <c r="I212" s="382">
        <v>8.0999999999999979</v>
      </c>
      <c r="J212" s="382">
        <v>4.1000000000000005</v>
      </c>
      <c r="K212" s="392">
        <v>3.9999999999999973</v>
      </c>
    </row>
    <row r="213" spans="1:11" ht="16">
      <c r="B213" s="381" t="s">
        <v>376</v>
      </c>
      <c r="C213" s="383">
        <v>1.6</v>
      </c>
      <c r="D213" s="384">
        <v>0.8</v>
      </c>
      <c r="E213" s="383">
        <v>0.8</v>
      </c>
      <c r="F213" s="383">
        <v>1.6</v>
      </c>
      <c r="G213" s="384">
        <v>0.8</v>
      </c>
      <c r="H213" s="383">
        <v>0.8</v>
      </c>
      <c r="I213" s="377" t="s">
        <v>207</v>
      </c>
      <c r="J213" s="377" t="s">
        <v>207</v>
      </c>
      <c r="K213" s="378" t="s">
        <v>207</v>
      </c>
    </row>
    <row r="214" spans="1:11" ht="16">
      <c r="B214" s="381" t="s">
        <v>377</v>
      </c>
      <c r="C214" s="383">
        <v>1.4</v>
      </c>
      <c r="D214" s="384">
        <v>0.7</v>
      </c>
      <c r="E214" s="383">
        <v>0.7</v>
      </c>
      <c r="F214" s="383">
        <v>1.4</v>
      </c>
      <c r="G214" s="384">
        <v>0.7</v>
      </c>
      <c r="H214" s="383">
        <v>0.7</v>
      </c>
      <c r="I214" s="377" t="s">
        <v>207</v>
      </c>
      <c r="J214" s="377" t="s">
        <v>207</v>
      </c>
      <c r="K214" s="378" t="s">
        <v>207</v>
      </c>
    </row>
    <row r="215" spans="1:11" ht="16">
      <c r="B215" s="381" t="s">
        <v>879</v>
      </c>
      <c r="C215" s="383">
        <v>3.7</v>
      </c>
      <c r="D215" s="384">
        <v>1.8</v>
      </c>
      <c r="E215" s="383">
        <v>1.9000000000000001</v>
      </c>
      <c r="F215" s="383">
        <v>3.7</v>
      </c>
      <c r="G215" s="384">
        <v>1.8</v>
      </c>
      <c r="H215" s="383">
        <v>1.9000000000000001</v>
      </c>
      <c r="I215" s="377" t="s">
        <v>207</v>
      </c>
      <c r="J215" s="377" t="s">
        <v>207</v>
      </c>
      <c r="K215" s="378" t="s">
        <v>207</v>
      </c>
    </row>
    <row r="216" spans="1:11" ht="16">
      <c r="B216" s="381" t="s">
        <v>378</v>
      </c>
      <c r="C216" s="383">
        <v>2.1</v>
      </c>
      <c r="D216" s="384">
        <v>1</v>
      </c>
      <c r="E216" s="383">
        <v>1.1000000000000001</v>
      </c>
      <c r="F216" s="383">
        <v>2.1</v>
      </c>
      <c r="G216" s="384">
        <v>1</v>
      </c>
      <c r="H216" s="383">
        <v>1.1000000000000001</v>
      </c>
      <c r="I216" s="377" t="s">
        <v>207</v>
      </c>
      <c r="J216" s="377" t="s">
        <v>207</v>
      </c>
      <c r="K216" s="378" t="s">
        <v>207</v>
      </c>
    </row>
    <row r="217" spans="1:11" ht="16">
      <c r="B217" s="381"/>
      <c r="C217" s="393"/>
      <c r="D217" s="393"/>
      <c r="E217" s="393"/>
      <c r="F217" s="393"/>
      <c r="G217" s="393"/>
      <c r="H217" s="393"/>
      <c r="I217" s="393"/>
      <c r="J217" s="393"/>
      <c r="K217" s="394"/>
    </row>
    <row r="218" spans="1:11" ht="16">
      <c r="B218" s="373" t="s">
        <v>379</v>
      </c>
      <c r="C218" s="382">
        <v>212.6</v>
      </c>
      <c r="D218" s="382">
        <v>106.7</v>
      </c>
      <c r="E218" s="382">
        <v>105.89999999999999</v>
      </c>
      <c r="F218" s="382">
        <v>174.3</v>
      </c>
      <c r="G218" s="391">
        <v>87</v>
      </c>
      <c r="H218" s="382">
        <v>87.300000000000011</v>
      </c>
      <c r="I218" s="382">
        <v>38.299999999999983</v>
      </c>
      <c r="J218" s="382">
        <v>19.700000000000003</v>
      </c>
      <c r="K218" s="392">
        <v>18.59999999999998</v>
      </c>
    </row>
    <row r="219" spans="1:11" ht="16">
      <c r="B219" s="381" t="s">
        <v>380</v>
      </c>
      <c r="C219" s="383">
        <v>100.2</v>
      </c>
      <c r="D219" s="384">
        <v>49.5</v>
      </c>
      <c r="E219" s="383">
        <v>50.7</v>
      </c>
      <c r="F219" s="383">
        <v>100.2</v>
      </c>
      <c r="G219" s="384">
        <v>49.5</v>
      </c>
      <c r="H219" s="383">
        <v>50.7</v>
      </c>
      <c r="I219" s="377" t="s">
        <v>207</v>
      </c>
      <c r="J219" s="377" t="s">
        <v>207</v>
      </c>
      <c r="K219" s="378" t="s">
        <v>207</v>
      </c>
    </row>
    <row r="220" spans="1:11" ht="16">
      <c r="B220" s="381" t="s">
        <v>381</v>
      </c>
      <c r="C220" s="383">
        <v>4.4000000000000004</v>
      </c>
      <c r="D220" s="384">
        <v>2.2000000000000002</v>
      </c>
      <c r="E220" s="383">
        <v>2.2000000000000002</v>
      </c>
      <c r="F220" s="383">
        <v>4.4000000000000004</v>
      </c>
      <c r="G220" s="384">
        <v>2.2000000000000002</v>
      </c>
      <c r="H220" s="383">
        <v>2.2000000000000002</v>
      </c>
      <c r="I220" s="377" t="s">
        <v>207</v>
      </c>
      <c r="J220" s="377" t="s">
        <v>207</v>
      </c>
      <c r="K220" s="378" t="s">
        <v>207</v>
      </c>
    </row>
    <row r="221" spans="1:11" ht="16">
      <c r="B221" s="381" t="s">
        <v>382</v>
      </c>
      <c r="C221" s="383">
        <v>8.3000000000000007</v>
      </c>
      <c r="D221" s="384">
        <v>4.3</v>
      </c>
      <c r="E221" s="383">
        <v>4.0000000000000009</v>
      </c>
      <c r="F221" s="383">
        <v>8.3000000000000007</v>
      </c>
      <c r="G221" s="384">
        <v>4.3</v>
      </c>
      <c r="H221" s="383">
        <v>4.0000000000000009</v>
      </c>
      <c r="I221" s="377" t="s">
        <v>207</v>
      </c>
      <c r="J221" s="377" t="s">
        <v>207</v>
      </c>
      <c r="K221" s="378" t="s">
        <v>207</v>
      </c>
    </row>
    <row r="222" spans="1:11" ht="16">
      <c r="B222" s="381" t="s">
        <v>383</v>
      </c>
      <c r="C222" s="383">
        <v>5</v>
      </c>
      <c r="D222" s="384">
        <v>2.6</v>
      </c>
      <c r="E222" s="383">
        <v>2.4</v>
      </c>
      <c r="F222" s="383">
        <v>5</v>
      </c>
      <c r="G222" s="384">
        <v>2.6</v>
      </c>
      <c r="H222" s="383">
        <v>2.4</v>
      </c>
      <c r="I222" s="377" t="s">
        <v>207</v>
      </c>
      <c r="J222" s="377" t="s">
        <v>207</v>
      </c>
      <c r="K222" s="378" t="s">
        <v>207</v>
      </c>
    </row>
    <row r="223" spans="1:11" ht="16">
      <c r="B223" s="381" t="s">
        <v>384</v>
      </c>
      <c r="C223" s="383">
        <v>2.9</v>
      </c>
      <c r="D223" s="384">
        <v>1.5</v>
      </c>
      <c r="E223" s="383">
        <v>1.4</v>
      </c>
      <c r="F223" s="383">
        <v>2.9</v>
      </c>
      <c r="G223" s="384">
        <v>1.5</v>
      </c>
      <c r="H223" s="383">
        <v>1.4</v>
      </c>
      <c r="I223" s="377" t="s">
        <v>207</v>
      </c>
      <c r="J223" s="377" t="s">
        <v>207</v>
      </c>
      <c r="K223" s="378" t="s">
        <v>207</v>
      </c>
    </row>
    <row r="224" spans="1:11" ht="16">
      <c r="B224" s="381" t="s">
        <v>385</v>
      </c>
      <c r="C224" s="383">
        <v>9.9</v>
      </c>
      <c r="D224" s="384">
        <v>5</v>
      </c>
      <c r="E224" s="383">
        <v>4.9000000000000004</v>
      </c>
      <c r="F224" s="383">
        <v>9.9</v>
      </c>
      <c r="G224" s="384">
        <v>5</v>
      </c>
      <c r="H224" s="383">
        <v>4.9000000000000004</v>
      </c>
      <c r="I224" s="377" t="s">
        <v>207</v>
      </c>
      <c r="J224" s="377" t="s">
        <v>207</v>
      </c>
      <c r="K224" s="378" t="s">
        <v>207</v>
      </c>
    </row>
    <row r="225" spans="1:11" ht="16">
      <c r="B225" s="381" t="s">
        <v>386</v>
      </c>
      <c r="C225" s="383">
        <v>10.5</v>
      </c>
      <c r="D225" s="384">
        <v>5.0999999999999996</v>
      </c>
      <c r="E225" s="383">
        <v>5.4</v>
      </c>
      <c r="F225" s="383">
        <v>10.5</v>
      </c>
      <c r="G225" s="384">
        <v>5.0999999999999996</v>
      </c>
      <c r="H225" s="383">
        <v>5.4</v>
      </c>
      <c r="I225" s="377" t="s">
        <v>207</v>
      </c>
      <c r="J225" s="377" t="s">
        <v>207</v>
      </c>
      <c r="K225" s="378" t="s">
        <v>207</v>
      </c>
    </row>
    <row r="226" spans="1:11" ht="16">
      <c r="B226" s="381" t="s">
        <v>387</v>
      </c>
      <c r="C226" s="383">
        <v>12.7</v>
      </c>
      <c r="D226" s="384">
        <v>6.5</v>
      </c>
      <c r="E226" s="383">
        <v>6.1999999999999993</v>
      </c>
      <c r="F226" s="383">
        <v>12.7</v>
      </c>
      <c r="G226" s="384">
        <v>6.5</v>
      </c>
      <c r="H226" s="383">
        <v>6.1999999999999993</v>
      </c>
      <c r="I226" s="377" t="s">
        <v>207</v>
      </c>
      <c r="J226" s="377" t="s">
        <v>207</v>
      </c>
      <c r="K226" s="378" t="s">
        <v>207</v>
      </c>
    </row>
    <row r="227" spans="1:11" ht="16">
      <c r="B227" s="381" t="s">
        <v>388</v>
      </c>
      <c r="C227" s="383">
        <v>20.399999999999999</v>
      </c>
      <c r="D227" s="384">
        <v>10.3</v>
      </c>
      <c r="E227" s="383">
        <v>10.099999999999998</v>
      </c>
      <c r="F227" s="383">
        <v>20.399999999999999</v>
      </c>
      <c r="G227" s="384">
        <v>10.3</v>
      </c>
      <c r="H227" s="383">
        <v>10.099999999999998</v>
      </c>
      <c r="I227" s="377" t="s">
        <v>207</v>
      </c>
      <c r="J227" s="377" t="s">
        <v>207</v>
      </c>
      <c r="K227" s="378" t="s">
        <v>207</v>
      </c>
    </row>
    <row r="228" spans="1:11" ht="16">
      <c r="B228" s="381"/>
      <c r="C228" s="386"/>
      <c r="D228" s="386"/>
      <c r="E228" s="386"/>
      <c r="F228" s="386"/>
      <c r="G228" s="386"/>
      <c r="H228" s="386"/>
      <c r="I228" s="386"/>
      <c r="J228" s="386"/>
      <c r="K228" s="395"/>
    </row>
    <row r="229" spans="1:11" ht="16">
      <c r="B229" s="373" t="s">
        <v>389</v>
      </c>
      <c r="C229" s="382">
        <v>343.1</v>
      </c>
      <c r="D229" s="382">
        <v>169.4</v>
      </c>
      <c r="E229" s="382">
        <v>173.70000000000002</v>
      </c>
      <c r="F229" s="382">
        <v>343.1</v>
      </c>
      <c r="G229" s="382">
        <v>169.4</v>
      </c>
      <c r="H229" s="382">
        <v>173.70000000000002</v>
      </c>
      <c r="I229" s="377" t="s">
        <v>207</v>
      </c>
      <c r="J229" s="377" t="s">
        <v>207</v>
      </c>
      <c r="K229" s="378" t="s">
        <v>207</v>
      </c>
    </row>
    <row r="230" spans="1:11" ht="16">
      <c r="B230" s="381" t="s">
        <v>389</v>
      </c>
      <c r="C230" s="383">
        <v>306.10000000000002</v>
      </c>
      <c r="D230" s="384">
        <v>151</v>
      </c>
      <c r="E230" s="383">
        <v>155.10000000000002</v>
      </c>
      <c r="F230" s="383">
        <v>306.10000000000002</v>
      </c>
      <c r="G230" s="384">
        <v>151</v>
      </c>
      <c r="H230" s="383">
        <v>155.10000000000002</v>
      </c>
      <c r="I230" s="377" t="s">
        <v>207</v>
      </c>
      <c r="J230" s="377" t="s">
        <v>207</v>
      </c>
      <c r="K230" s="378" t="s">
        <v>207</v>
      </c>
    </row>
    <row r="231" spans="1:11" ht="16">
      <c r="B231" s="381" t="s">
        <v>390</v>
      </c>
      <c r="C231" s="383">
        <v>13.6</v>
      </c>
      <c r="D231" s="384">
        <v>6.7</v>
      </c>
      <c r="E231" s="383">
        <v>6.8999999999999995</v>
      </c>
      <c r="F231" s="383">
        <v>13.6</v>
      </c>
      <c r="G231" s="384">
        <v>6.7</v>
      </c>
      <c r="H231" s="383">
        <v>6.8999999999999995</v>
      </c>
      <c r="I231" s="377" t="s">
        <v>207</v>
      </c>
      <c r="J231" s="377" t="s">
        <v>207</v>
      </c>
      <c r="K231" s="378" t="s">
        <v>207</v>
      </c>
    </row>
    <row r="232" spans="1:11" ht="16">
      <c r="B232" s="381" t="s">
        <v>391</v>
      </c>
      <c r="C232" s="383">
        <v>23.4</v>
      </c>
      <c r="D232" s="384">
        <v>11.7</v>
      </c>
      <c r="E232" s="383">
        <v>11.7</v>
      </c>
      <c r="F232" s="383">
        <v>23.4</v>
      </c>
      <c r="G232" s="384">
        <v>11.7</v>
      </c>
      <c r="H232" s="383">
        <v>11.7</v>
      </c>
      <c r="I232" s="377" t="s">
        <v>207</v>
      </c>
      <c r="J232" s="377" t="s">
        <v>207</v>
      </c>
      <c r="K232" s="378" t="s">
        <v>207</v>
      </c>
    </row>
    <row r="233" spans="1:11" ht="16">
      <c r="B233" s="381"/>
      <c r="C233" s="396"/>
      <c r="D233" s="396"/>
      <c r="E233" s="396"/>
      <c r="F233" s="397"/>
      <c r="G233" s="398"/>
      <c r="H233" s="398"/>
      <c r="I233" s="398"/>
      <c r="J233" s="398"/>
      <c r="K233" s="399"/>
    </row>
    <row r="234" spans="1:11" ht="16">
      <c r="A234" t="s">
        <v>829</v>
      </c>
      <c r="B234" s="373" t="s">
        <v>880</v>
      </c>
      <c r="C234" s="400">
        <v>1284.2</v>
      </c>
      <c r="D234" s="400">
        <v>641.4</v>
      </c>
      <c r="E234" s="400">
        <v>642.80000000000007</v>
      </c>
      <c r="F234" s="382">
        <v>587.79999999999995</v>
      </c>
      <c r="G234" s="382">
        <v>289.39999999999998</v>
      </c>
      <c r="H234" s="400">
        <v>298.39999999999998</v>
      </c>
      <c r="I234" s="382">
        <v>696.39999999999986</v>
      </c>
      <c r="J234" s="382">
        <v>351.99999999999994</v>
      </c>
      <c r="K234" s="389">
        <v>344.4</v>
      </c>
    </row>
    <row r="235" spans="1:11" ht="16">
      <c r="B235" s="379" t="s">
        <v>298</v>
      </c>
      <c r="C235" s="374"/>
      <c r="D235" s="374"/>
      <c r="E235" s="374"/>
      <c r="F235" s="374"/>
      <c r="G235" s="374"/>
      <c r="H235" s="374"/>
      <c r="I235" s="374"/>
      <c r="J235" s="374"/>
      <c r="K235" s="380"/>
    </row>
    <row r="236" spans="1:11" ht="16">
      <c r="B236" s="373" t="s">
        <v>392</v>
      </c>
      <c r="C236" s="382">
        <v>334</v>
      </c>
      <c r="D236" s="382">
        <v>163.1</v>
      </c>
      <c r="E236" s="382">
        <v>170.9</v>
      </c>
      <c r="F236" s="382">
        <v>334</v>
      </c>
      <c r="G236" s="382">
        <v>163.1</v>
      </c>
      <c r="H236" s="382">
        <v>170.9</v>
      </c>
      <c r="I236" s="377" t="s">
        <v>207</v>
      </c>
      <c r="J236" s="377" t="s">
        <v>207</v>
      </c>
      <c r="K236" s="378" t="s">
        <v>207</v>
      </c>
    </row>
    <row r="237" spans="1:11" ht="16">
      <c r="B237" s="401" t="s">
        <v>393</v>
      </c>
      <c r="C237" s="374"/>
      <c r="D237" s="374"/>
      <c r="E237" s="374"/>
      <c r="F237" s="374"/>
      <c r="G237" s="374"/>
      <c r="H237" s="374"/>
      <c r="I237" s="402"/>
      <c r="J237" s="402"/>
      <c r="K237" s="403"/>
    </row>
    <row r="238" spans="1:11" ht="16">
      <c r="B238" s="404" t="s">
        <v>364</v>
      </c>
      <c r="C238" s="383">
        <v>152.5</v>
      </c>
      <c r="D238" s="383">
        <v>74.400000000000006</v>
      </c>
      <c r="E238" s="383">
        <v>78.099999999999994</v>
      </c>
      <c r="F238" s="383">
        <v>152.5</v>
      </c>
      <c r="G238" s="383">
        <v>74.400000000000006</v>
      </c>
      <c r="H238" s="383">
        <v>78.099999999999994</v>
      </c>
      <c r="I238" s="377" t="s">
        <v>207</v>
      </c>
      <c r="J238" s="377" t="s">
        <v>207</v>
      </c>
      <c r="K238" s="378" t="s">
        <v>207</v>
      </c>
    </row>
    <row r="239" spans="1:11" ht="16">
      <c r="B239" s="404" t="s">
        <v>881</v>
      </c>
      <c r="C239" s="383">
        <v>181.5</v>
      </c>
      <c r="D239" s="383">
        <v>88.7</v>
      </c>
      <c r="E239" s="383">
        <v>92.8</v>
      </c>
      <c r="F239" s="383">
        <v>181.5</v>
      </c>
      <c r="G239" s="383">
        <v>88.7</v>
      </c>
      <c r="H239" s="383">
        <v>92.8</v>
      </c>
      <c r="I239" s="377" t="s">
        <v>207</v>
      </c>
      <c r="J239" s="377" t="s">
        <v>207</v>
      </c>
      <c r="K239" s="378" t="s">
        <v>207</v>
      </c>
    </row>
    <row r="240" spans="1:11" ht="16">
      <c r="B240" s="381" t="s">
        <v>394</v>
      </c>
      <c r="C240" s="383">
        <v>0.4</v>
      </c>
      <c r="D240" s="384">
        <v>0.2</v>
      </c>
      <c r="E240" s="383">
        <v>0.2</v>
      </c>
      <c r="F240" s="383">
        <v>0.4</v>
      </c>
      <c r="G240" s="384">
        <v>0.2</v>
      </c>
      <c r="H240" s="383">
        <v>0.2</v>
      </c>
      <c r="I240" s="377" t="s">
        <v>207</v>
      </c>
      <c r="J240" s="377" t="s">
        <v>207</v>
      </c>
      <c r="K240" s="378" t="s">
        <v>207</v>
      </c>
    </row>
    <row r="241" spans="2:11" ht="16">
      <c r="B241" s="381" t="s">
        <v>395</v>
      </c>
      <c r="C241" s="383" t="s">
        <v>207</v>
      </c>
      <c r="D241" s="383" t="s">
        <v>207</v>
      </c>
      <c r="E241" s="383" t="s">
        <v>207</v>
      </c>
      <c r="F241" s="383" t="s">
        <v>207</v>
      </c>
      <c r="G241" s="383" t="s">
        <v>207</v>
      </c>
      <c r="H241" s="383" t="s">
        <v>207</v>
      </c>
      <c r="I241" s="377" t="s">
        <v>207</v>
      </c>
      <c r="J241" s="377" t="s">
        <v>207</v>
      </c>
      <c r="K241" s="378" t="s">
        <v>207</v>
      </c>
    </row>
    <row r="242" spans="2:11" ht="16">
      <c r="B242" s="381" t="s">
        <v>396</v>
      </c>
      <c r="C242" s="383">
        <v>4.4000000000000004</v>
      </c>
      <c r="D242" s="384">
        <v>2.2000000000000002</v>
      </c>
      <c r="E242" s="383">
        <v>2.2000000000000002</v>
      </c>
      <c r="F242" s="383">
        <v>4.4000000000000004</v>
      </c>
      <c r="G242" s="384">
        <v>2.2000000000000002</v>
      </c>
      <c r="H242" s="383">
        <v>2.2000000000000002</v>
      </c>
      <c r="I242" s="377" t="s">
        <v>207</v>
      </c>
      <c r="J242" s="377" t="s">
        <v>207</v>
      </c>
      <c r="K242" s="378" t="s">
        <v>207</v>
      </c>
    </row>
    <row r="243" spans="2:11" ht="16">
      <c r="B243" s="381" t="s">
        <v>397</v>
      </c>
      <c r="C243" s="383">
        <v>14.3</v>
      </c>
      <c r="D243" s="384">
        <v>7</v>
      </c>
      <c r="E243" s="383">
        <v>7.3000000000000007</v>
      </c>
      <c r="F243" s="383">
        <v>14.3</v>
      </c>
      <c r="G243" s="384">
        <v>7</v>
      </c>
      <c r="H243" s="383">
        <v>7.3000000000000007</v>
      </c>
      <c r="I243" s="377" t="s">
        <v>207</v>
      </c>
      <c r="J243" s="377" t="s">
        <v>207</v>
      </c>
      <c r="K243" s="378" t="s">
        <v>207</v>
      </c>
    </row>
    <row r="244" spans="2:11" ht="16">
      <c r="B244" s="381" t="s">
        <v>398</v>
      </c>
      <c r="C244" s="383">
        <v>4.8</v>
      </c>
      <c r="D244" s="384">
        <v>2.2999999999999998</v>
      </c>
      <c r="E244" s="383">
        <v>2.5</v>
      </c>
      <c r="F244" s="383">
        <v>4.8</v>
      </c>
      <c r="G244" s="384">
        <v>2.2999999999999998</v>
      </c>
      <c r="H244" s="383">
        <v>2.5</v>
      </c>
      <c r="I244" s="377" t="s">
        <v>207</v>
      </c>
      <c r="J244" s="377" t="s">
        <v>207</v>
      </c>
      <c r="K244" s="378" t="s">
        <v>207</v>
      </c>
    </row>
    <row r="245" spans="2:11" ht="16">
      <c r="B245" s="381" t="s">
        <v>399</v>
      </c>
      <c r="C245" s="383">
        <v>11.2</v>
      </c>
      <c r="D245" s="384">
        <v>5.5</v>
      </c>
      <c r="E245" s="383">
        <v>5.6999999999999993</v>
      </c>
      <c r="F245" s="383">
        <v>11.2</v>
      </c>
      <c r="G245" s="384">
        <v>5.5</v>
      </c>
      <c r="H245" s="383">
        <v>5.6999999999999993</v>
      </c>
      <c r="I245" s="377" t="s">
        <v>207</v>
      </c>
      <c r="J245" s="377" t="s">
        <v>207</v>
      </c>
      <c r="K245" s="378" t="s">
        <v>207</v>
      </c>
    </row>
    <row r="246" spans="2:11" ht="16">
      <c r="B246" s="381" t="s">
        <v>400</v>
      </c>
      <c r="C246" s="383">
        <v>8.5</v>
      </c>
      <c r="D246" s="384">
        <v>4.0999999999999996</v>
      </c>
      <c r="E246" s="383">
        <v>4.4000000000000004</v>
      </c>
      <c r="F246" s="383">
        <v>8.5</v>
      </c>
      <c r="G246" s="384">
        <v>4.0999999999999996</v>
      </c>
      <c r="H246" s="383">
        <v>4.4000000000000004</v>
      </c>
      <c r="I246" s="377" t="s">
        <v>207</v>
      </c>
      <c r="J246" s="377" t="s">
        <v>207</v>
      </c>
      <c r="K246" s="378" t="s">
        <v>207</v>
      </c>
    </row>
    <row r="247" spans="2:11" ht="16">
      <c r="B247" s="381"/>
      <c r="C247" s="386"/>
      <c r="D247" s="386"/>
      <c r="E247" s="386"/>
      <c r="F247" s="386"/>
      <c r="G247" s="386"/>
      <c r="H247" s="386"/>
      <c r="I247" s="386"/>
      <c r="J247" s="386"/>
      <c r="K247" s="395"/>
    </row>
    <row r="248" spans="2:11" ht="16">
      <c r="B248" s="373" t="s">
        <v>882</v>
      </c>
      <c r="C248" s="382">
        <v>97.6</v>
      </c>
      <c r="D248" s="382">
        <v>48.1</v>
      </c>
      <c r="E248" s="382">
        <v>49.499999999999993</v>
      </c>
      <c r="F248" s="382">
        <v>21.9</v>
      </c>
      <c r="G248" s="391">
        <v>10.6</v>
      </c>
      <c r="H248" s="382">
        <v>11.299999999999999</v>
      </c>
      <c r="I248" s="382">
        <v>75.699999999999989</v>
      </c>
      <c r="J248" s="382">
        <v>37.5</v>
      </c>
      <c r="K248" s="392">
        <v>38.199999999999989</v>
      </c>
    </row>
    <row r="249" spans="2:11" ht="16">
      <c r="B249" s="381" t="s">
        <v>883</v>
      </c>
      <c r="C249" s="383">
        <v>21.9</v>
      </c>
      <c r="D249" s="384">
        <v>10.6</v>
      </c>
      <c r="E249" s="383">
        <v>11.299999999999999</v>
      </c>
      <c r="F249" s="383">
        <v>21.9</v>
      </c>
      <c r="G249" s="384">
        <v>10.6</v>
      </c>
      <c r="H249" s="383">
        <v>11.299999999999999</v>
      </c>
      <c r="I249" s="377" t="s">
        <v>207</v>
      </c>
      <c r="J249" s="377" t="s">
        <v>207</v>
      </c>
      <c r="K249" s="378" t="s">
        <v>207</v>
      </c>
    </row>
    <row r="250" spans="2:11" ht="16">
      <c r="B250" s="381"/>
      <c r="C250" s="393"/>
      <c r="D250" s="393"/>
      <c r="E250" s="393"/>
      <c r="F250" s="393"/>
      <c r="G250" s="393"/>
      <c r="H250" s="393"/>
      <c r="I250" s="393"/>
      <c r="J250" s="393"/>
      <c r="K250" s="394"/>
    </row>
    <row r="251" spans="2:11" ht="16">
      <c r="B251" s="373" t="s">
        <v>401</v>
      </c>
      <c r="C251" s="382">
        <v>87.9</v>
      </c>
      <c r="D251" s="382">
        <v>43.4</v>
      </c>
      <c r="E251" s="382">
        <v>44.500000000000007</v>
      </c>
      <c r="F251" s="382">
        <v>21.4</v>
      </c>
      <c r="G251" s="391">
        <v>10.6</v>
      </c>
      <c r="H251" s="382">
        <v>10.799999999999999</v>
      </c>
      <c r="I251" s="382">
        <v>66.5</v>
      </c>
      <c r="J251" s="382">
        <v>32.799999999999997</v>
      </c>
      <c r="K251" s="392">
        <v>33.700000000000003</v>
      </c>
    </row>
    <row r="252" spans="2:11" ht="16">
      <c r="B252" s="381" t="s">
        <v>402</v>
      </c>
      <c r="C252" s="383">
        <v>12.8</v>
      </c>
      <c r="D252" s="384">
        <v>6.4</v>
      </c>
      <c r="E252" s="383">
        <v>6.4</v>
      </c>
      <c r="F252" s="383">
        <v>12.8</v>
      </c>
      <c r="G252" s="384">
        <v>6.4</v>
      </c>
      <c r="H252" s="383">
        <v>6.4</v>
      </c>
      <c r="I252" s="377" t="s">
        <v>207</v>
      </c>
      <c r="J252" s="377" t="s">
        <v>207</v>
      </c>
      <c r="K252" s="378" t="s">
        <v>207</v>
      </c>
    </row>
    <row r="253" spans="2:11" ht="16">
      <c r="B253" s="381" t="s">
        <v>403</v>
      </c>
      <c r="C253" s="383">
        <v>1.1000000000000001</v>
      </c>
      <c r="D253" s="384">
        <v>0.6</v>
      </c>
      <c r="E253" s="383">
        <v>0.50000000000000011</v>
      </c>
      <c r="F253" s="383">
        <v>1.1000000000000001</v>
      </c>
      <c r="G253" s="384">
        <v>0.6</v>
      </c>
      <c r="H253" s="383">
        <v>0.50000000000000011</v>
      </c>
      <c r="I253" s="377" t="s">
        <v>207</v>
      </c>
      <c r="J253" s="377" t="s">
        <v>207</v>
      </c>
      <c r="K253" s="378" t="s">
        <v>207</v>
      </c>
    </row>
    <row r="254" spans="2:11" ht="16">
      <c r="B254" s="381" t="s">
        <v>404</v>
      </c>
      <c r="C254" s="383">
        <v>0</v>
      </c>
      <c r="D254" s="384">
        <v>0</v>
      </c>
      <c r="E254" s="383">
        <v>0</v>
      </c>
      <c r="F254" s="383">
        <v>0</v>
      </c>
      <c r="G254" s="384">
        <v>0</v>
      </c>
      <c r="H254" s="383">
        <v>0</v>
      </c>
      <c r="I254" s="377" t="s">
        <v>207</v>
      </c>
      <c r="J254" s="377" t="s">
        <v>207</v>
      </c>
      <c r="K254" s="378" t="s">
        <v>207</v>
      </c>
    </row>
    <row r="255" spans="2:11" ht="16">
      <c r="B255" s="381" t="s">
        <v>884</v>
      </c>
      <c r="C255" s="383">
        <v>0.6</v>
      </c>
      <c r="D255" s="384">
        <v>0.3</v>
      </c>
      <c r="E255" s="383">
        <v>0.3</v>
      </c>
      <c r="F255" s="383">
        <v>0.6</v>
      </c>
      <c r="G255" s="384">
        <v>0.3</v>
      </c>
      <c r="H255" s="383">
        <v>0.3</v>
      </c>
      <c r="I255" s="377" t="s">
        <v>207</v>
      </c>
      <c r="J255" s="377" t="s">
        <v>207</v>
      </c>
      <c r="K255" s="378" t="s">
        <v>207</v>
      </c>
    </row>
    <row r="256" spans="2:11" ht="16">
      <c r="B256" s="381" t="s">
        <v>885</v>
      </c>
      <c r="C256" s="383">
        <v>0.2</v>
      </c>
      <c r="D256" s="384">
        <v>0.1</v>
      </c>
      <c r="E256" s="383">
        <v>0.1</v>
      </c>
      <c r="F256" s="383">
        <v>0.2</v>
      </c>
      <c r="G256" s="384">
        <v>0.1</v>
      </c>
      <c r="H256" s="383">
        <v>0.1</v>
      </c>
      <c r="I256" s="377" t="s">
        <v>207</v>
      </c>
      <c r="J256" s="377" t="s">
        <v>207</v>
      </c>
      <c r="K256" s="378" t="s">
        <v>207</v>
      </c>
    </row>
    <row r="257" spans="2:11" ht="16">
      <c r="B257" s="381" t="s">
        <v>405</v>
      </c>
      <c r="C257" s="383">
        <v>0.2</v>
      </c>
      <c r="D257" s="384">
        <v>0.1</v>
      </c>
      <c r="E257" s="383">
        <v>0.1</v>
      </c>
      <c r="F257" s="383">
        <v>0.2</v>
      </c>
      <c r="G257" s="384">
        <v>0.1</v>
      </c>
      <c r="H257" s="383">
        <v>0.1</v>
      </c>
      <c r="I257" s="377" t="s">
        <v>207</v>
      </c>
      <c r="J257" s="377" t="s">
        <v>207</v>
      </c>
      <c r="K257" s="378" t="s">
        <v>207</v>
      </c>
    </row>
    <row r="258" spans="2:11" ht="16">
      <c r="B258" s="381" t="s">
        <v>406</v>
      </c>
      <c r="C258" s="383">
        <v>1.7</v>
      </c>
      <c r="D258" s="384">
        <v>0.8</v>
      </c>
      <c r="E258" s="383">
        <v>0.89999999999999991</v>
      </c>
      <c r="F258" s="383">
        <v>1.7</v>
      </c>
      <c r="G258" s="384">
        <v>0.8</v>
      </c>
      <c r="H258" s="383">
        <v>0.89999999999999991</v>
      </c>
      <c r="I258" s="377" t="s">
        <v>207</v>
      </c>
      <c r="J258" s="377" t="s">
        <v>207</v>
      </c>
      <c r="K258" s="378" t="s">
        <v>207</v>
      </c>
    </row>
    <row r="259" spans="2:11" ht="16">
      <c r="B259" s="381" t="s">
        <v>407</v>
      </c>
      <c r="C259" s="383">
        <v>0</v>
      </c>
      <c r="D259" s="384">
        <v>0</v>
      </c>
      <c r="E259" s="383">
        <v>0</v>
      </c>
      <c r="F259" s="383">
        <v>0</v>
      </c>
      <c r="G259" s="384">
        <v>0</v>
      </c>
      <c r="H259" s="383">
        <v>0</v>
      </c>
      <c r="I259" s="377" t="s">
        <v>207</v>
      </c>
      <c r="J259" s="377" t="s">
        <v>207</v>
      </c>
      <c r="K259" s="378" t="s">
        <v>207</v>
      </c>
    </row>
    <row r="260" spans="2:11" ht="16">
      <c r="B260" s="381" t="s">
        <v>408</v>
      </c>
      <c r="C260" s="383">
        <v>1.8</v>
      </c>
      <c r="D260" s="384">
        <v>0.9</v>
      </c>
      <c r="E260" s="383">
        <v>0.9</v>
      </c>
      <c r="F260" s="383">
        <v>1.8</v>
      </c>
      <c r="G260" s="384">
        <v>0.9</v>
      </c>
      <c r="H260" s="383">
        <v>0.9</v>
      </c>
      <c r="I260" s="377" t="s">
        <v>207</v>
      </c>
      <c r="J260" s="377" t="s">
        <v>207</v>
      </c>
      <c r="K260" s="378" t="s">
        <v>207</v>
      </c>
    </row>
    <row r="261" spans="2:11" ht="16">
      <c r="B261" s="381" t="s">
        <v>409</v>
      </c>
      <c r="C261" s="383">
        <v>3</v>
      </c>
      <c r="D261" s="384">
        <v>1.4</v>
      </c>
      <c r="E261" s="383">
        <v>1.6</v>
      </c>
      <c r="F261" s="383">
        <v>3</v>
      </c>
      <c r="G261" s="384">
        <v>1.4</v>
      </c>
      <c r="H261" s="383">
        <v>1.6</v>
      </c>
      <c r="I261" s="377" t="s">
        <v>207</v>
      </c>
      <c r="J261" s="377" t="s">
        <v>207</v>
      </c>
      <c r="K261" s="378" t="s">
        <v>207</v>
      </c>
    </row>
    <row r="262" spans="2:11" ht="16">
      <c r="B262" s="381"/>
      <c r="C262" s="405"/>
      <c r="D262" s="405"/>
      <c r="E262" s="405"/>
      <c r="F262" s="405"/>
      <c r="G262" s="405"/>
      <c r="H262" s="405"/>
      <c r="I262" s="405"/>
      <c r="J262" s="405"/>
      <c r="K262" s="406"/>
    </row>
    <row r="263" spans="2:11" ht="16">
      <c r="B263" s="373" t="s">
        <v>410</v>
      </c>
      <c r="C263" s="382">
        <v>175.5</v>
      </c>
      <c r="D263" s="382">
        <v>88.8</v>
      </c>
      <c r="E263" s="382">
        <v>86.7</v>
      </c>
      <c r="F263" s="382">
        <v>29.3</v>
      </c>
      <c r="G263" s="391">
        <v>14.6</v>
      </c>
      <c r="H263" s="382">
        <v>14.700000000000001</v>
      </c>
      <c r="I263" s="382">
        <v>146.19999999999999</v>
      </c>
      <c r="J263" s="382">
        <v>74.2</v>
      </c>
      <c r="K263" s="392">
        <v>71.999999999999986</v>
      </c>
    </row>
    <row r="264" spans="2:11" ht="16">
      <c r="B264" s="381" t="s">
        <v>411</v>
      </c>
      <c r="C264" s="383">
        <v>14.1</v>
      </c>
      <c r="D264" s="384">
        <v>6.9</v>
      </c>
      <c r="E264" s="383">
        <v>7.1999999999999993</v>
      </c>
      <c r="F264" s="383">
        <v>14.1</v>
      </c>
      <c r="G264" s="384">
        <v>6.9</v>
      </c>
      <c r="H264" s="383">
        <v>7.1999999999999993</v>
      </c>
      <c r="I264" s="377" t="s">
        <v>207</v>
      </c>
      <c r="J264" s="377" t="s">
        <v>207</v>
      </c>
      <c r="K264" s="378" t="s">
        <v>207</v>
      </c>
    </row>
    <row r="265" spans="2:11" ht="16">
      <c r="B265" s="381" t="s">
        <v>412</v>
      </c>
      <c r="C265" s="383">
        <v>15.2</v>
      </c>
      <c r="D265" s="384">
        <v>7.7</v>
      </c>
      <c r="E265" s="383">
        <v>7.4999999999999991</v>
      </c>
      <c r="F265" s="383">
        <v>15.2</v>
      </c>
      <c r="G265" s="384">
        <v>7.7</v>
      </c>
      <c r="H265" s="383">
        <v>7.4999999999999991</v>
      </c>
      <c r="I265" s="377" t="s">
        <v>207</v>
      </c>
      <c r="J265" s="377" t="s">
        <v>207</v>
      </c>
      <c r="K265" s="378" t="s">
        <v>207</v>
      </c>
    </row>
    <row r="266" spans="2:11" ht="16">
      <c r="B266" s="381"/>
      <c r="C266" s="393"/>
      <c r="D266" s="393"/>
      <c r="E266" s="393"/>
      <c r="F266" s="393"/>
      <c r="G266" s="393"/>
      <c r="H266" s="393"/>
      <c r="I266" s="393"/>
      <c r="J266" s="393"/>
      <c r="K266" s="394"/>
    </row>
    <row r="267" spans="2:11" ht="16">
      <c r="B267" s="373" t="s">
        <v>413</v>
      </c>
      <c r="C267" s="382">
        <v>217.2</v>
      </c>
      <c r="D267" s="382">
        <v>110.3</v>
      </c>
      <c r="E267" s="382">
        <v>106.89999999999999</v>
      </c>
      <c r="F267" s="382">
        <v>75.400000000000006</v>
      </c>
      <c r="G267" s="391">
        <v>37.9</v>
      </c>
      <c r="H267" s="382">
        <v>37.500000000000007</v>
      </c>
      <c r="I267" s="382">
        <v>141.79999999999998</v>
      </c>
      <c r="J267" s="382">
        <v>72.400000000000006</v>
      </c>
      <c r="K267" s="392">
        <v>69.399999999999977</v>
      </c>
    </row>
    <row r="268" spans="2:11" ht="16">
      <c r="B268" s="381" t="s">
        <v>414</v>
      </c>
      <c r="C268" s="383">
        <v>43.4</v>
      </c>
      <c r="D268" s="384">
        <v>21.8</v>
      </c>
      <c r="E268" s="383">
        <v>21.599999999999998</v>
      </c>
      <c r="F268" s="383">
        <v>43.4</v>
      </c>
      <c r="G268" s="384">
        <v>21.8</v>
      </c>
      <c r="H268" s="383">
        <v>21.599999999999998</v>
      </c>
      <c r="I268" s="377" t="s">
        <v>207</v>
      </c>
      <c r="J268" s="377" t="s">
        <v>207</v>
      </c>
      <c r="K268" s="378" t="s">
        <v>207</v>
      </c>
    </row>
    <row r="269" spans="2:11" ht="16">
      <c r="B269" s="381" t="s">
        <v>415</v>
      </c>
      <c r="C269" s="383">
        <v>0.4</v>
      </c>
      <c r="D269" s="384">
        <v>0.2</v>
      </c>
      <c r="E269" s="383">
        <v>0.2</v>
      </c>
      <c r="F269" s="383">
        <v>0.4</v>
      </c>
      <c r="G269" s="384">
        <v>0.2</v>
      </c>
      <c r="H269" s="383">
        <v>0.2</v>
      </c>
      <c r="I269" s="377" t="s">
        <v>207</v>
      </c>
      <c r="J269" s="377" t="s">
        <v>207</v>
      </c>
      <c r="K269" s="378" t="s">
        <v>207</v>
      </c>
    </row>
    <row r="270" spans="2:11" ht="16">
      <c r="B270" s="381" t="s">
        <v>416</v>
      </c>
      <c r="C270" s="383">
        <v>0.7</v>
      </c>
      <c r="D270" s="384">
        <v>0.3</v>
      </c>
      <c r="E270" s="383">
        <v>0.39999999999999997</v>
      </c>
      <c r="F270" s="383">
        <v>0.7</v>
      </c>
      <c r="G270" s="384">
        <v>0.3</v>
      </c>
      <c r="H270" s="383">
        <v>0.39999999999999997</v>
      </c>
      <c r="I270" s="377" t="s">
        <v>207</v>
      </c>
      <c r="J270" s="377" t="s">
        <v>207</v>
      </c>
      <c r="K270" s="378" t="s">
        <v>207</v>
      </c>
    </row>
    <row r="271" spans="2:11" ht="16">
      <c r="B271" s="381" t="s">
        <v>417</v>
      </c>
      <c r="C271" s="383">
        <v>8.4</v>
      </c>
      <c r="D271" s="384">
        <v>4.2</v>
      </c>
      <c r="E271" s="383">
        <v>4.2</v>
      </c>
      <c r="F271" s="383">
        <v>8.4</v>
      </c>
      <c r="G271" s="384">
        <v>4.2</v>
      </c>
      <c r="H271" s="383">
        <v>4.2</v>
      </c>
      <c r="I271" s="377" t="s">
        <v>207</v>
      </c>
      <c r="J271" s="377" t="s">
        <v>207</v>
      </c>
      <c r="K271" s="378" t="s">
        <v>207</v>
      </c>
    </row>
    <row r="272" spans="2:11" ht="16">
      <c r="B272" s="381" t="s">
        <v>418</v>
      </c>
      <c r="C272" s="383">
        <v>1.5</v>
      </c>
      <c r="D272" s="384">
        <v>0.8</v>
      </c>
      <c r="E272" s="383">
        <v>0.7</v>
      </c>
      <c r="F272" s="383">
        <v>1.5</v>
      </c>
      <c r="G272" s="384">
        <v>0.8</v>
      </c>
      <c r="H272" s="383">
        <v>0.7</v>
      </c>
      <c r="I272" s="377" t="s">
        <v>207</v>
      </c>
      <c r="J272" s="377" t="s">
        <v>207</v>
      </c>
      <c r="K272" s="378" t="s">
        <v>207</v>
      </c>
    </row>
    <row r="273" spans="2:11" ht="16">
      <c r="B273" s="381" t="s">
        <v>419</v>
      </c>
      <c r="C273" s="383">
        <v>7.3</v>
      </c>
      <c r="D273" s="384">
        <v>3.6</v>
      </c>
      <c r="E273" s="383">
        <v>3.6999999999999997</v>
      </c>
      <c r="F273" s="383">
        <v>7.3</v>
      </c>
      <c r="G273" s="384">
        <v>3.6</v>
      </c>
      <c r="H273" s="383">
        <v>3.6999999999999997</v>
      </c>
      <c r="I273" s="377" t="s">
        <v>207</v>
      </c>
      <c r="J273" s="377" t="s">
        <v>207</v>
      </c>
      <c r="K273" s="378" t="s">
        <v>207</v>
      </c>
    </row>
    <row r="274" spans="2:11" ht="16">
      <c r="B274" s="381" t="s">
        <v>420</v>
      </c>
      <c r="C274" s="383">
        <v>5.0999999999999996</v>
      </c>
      <c r="D274" s="384">
        <v>2.6</v>
      </c>
      <c r="E274" s="383">
        <v>2.4999999999999996</v>
      </c>
      <c r="F274" s="383">
        <v>5.0999999999999996</v>
      </c>
      <c r="G274" s="384">
        <v>2.6</v>
      </c>
      <c r="H274" s="383">
        <v>2.4999999999999996</v>
      </c>
      <c r="I274" s="377" t="s">
        <v>207</v>
      </c>
      <c r="J274" s="377" t="s">
        <v>207</v>
      </c>
      <c r="K274" s="378" t="s">
        <v>207</v>
      </c>
    </row>
    <row r="275" spans="2:11" ht="16">
      <c r="B275" s="381" t="s">
        <v>421</v>
      </c>
      <c r="C275" s="383">
        <v>8.6</v>
      </c>
      <c r="D275" s="384">
        <v>4.4000000000000004</v>
      </c>
      <c r="E275" s="383">
        <v>4.1999999999999993</v>
      </c>
      <c r="F275" s="383">
        <v>8.6</v>
      </c>
      <c r="G275" s="384">
        <v>4.4000000000000004</v>
      </c>
      <c r="H275" s="383">
        <v>4.1999999999999993</v>
      </c>
      <c r="I275" s="377" t="s">
        <v>207</v>
      </c>
      <c r="J275" s="377" t="s">
        <v>207</v>
      </c>
      <c r="K275" s="378" t="s">
        <v>207</v>
      </c>
    </row>
    <row r="276" spans="2:11" ht="16">
      <c r="B276" s="381"/>
      <c r="C276" s="405"/>
      <c r="D276" s="405"/>
      <c r="E276" s="405"/>
      <c r="F276" s="405"/>
      <c r="G276" s="405"/>
      <c r="H276" s="405"/>
      <c r="I276" s="405"/>
      <c r="J276" s="405"/>
      <c r="K276" s="406"/>
    </row>
    <row r="277" spans="2:11" ht="16">
      <c r="B277" s="373" t="s">
        <v>422</v>
      </c>
      <c r="C277" s="382">
        <v>100.4</v>
      </c>
      <c r="D277" s="382">
        <v>50.7</v>
      </c>
      <c r="E277" s="382">
        <v>49.7</v>
      </c>
      <c r="F277" s="382">
        <v>11.7</v>
      </c>
      <c r="G277" s="391">
        <v>5.7</v>
      </c>
      <c r="H277" s="382">
        <v>5.9999999999999991</v>
      </c>
      <c r="I277" s="382">
        <v>88.7</v>
      </c>
      <c r="J277" s="382">
        <v>45</v>
      </c>
      <c r="K277" s="392">
        <v>43.7</v>
      </c>
    </row>
    <row r="278" spans="2:11" ht="16">
      <c r="B278" s="381" t="s">
        <v>423</v>
      </c>
      <c r="C278" s="383">
        <v>11.7</v>
      </c>
      <c r="D278" s="384">
        <v>5.7</v>
      </c>
      <c r="E278" s="383">
        <v>5.9999999999999991</v>
      </c>
      <c r="F278" s="383">
        <v>11.7</v>
      </c>
      <c r="G278" s="384">
        <v>5.7</v>
      </c>
      <c r="H278" s="383">
        <v>5.9999999999999991</v>
      </c>
      <c r="I278" s="377" t="s">
        <v>207</v>
      </c>
      <c r="J278" s="377" t="s">
        <v>207</v>
      </c>
      <c r="K278" s="378" t="s">
        <v>207</v>
      </c>
    </row>
    <row r="279" spans="2:11" ht="16">
      <c r="B279" s="381"/>
      <c r="C279" s="393"/>
      <c r="D279" s="393"/>
      <c r="E279" s="393"/>
      <c r="F279" s="393"/>
      <c r="G279" s="393"/>
      <c r="H279" s="393"/>
      <c r="I279" s="393"/>
      <c r="J279" s="393"/>
      <c r="K279" s="394"/>
    </row>
    <row r="280" spans="2:11" ht="16">
      <c r="B280" s="373" t="s">
        <v>424</v>
      </c>
      <c r="C280" s="382">
        <v>35.1</v>
      </c>
      <c r="D280" s="382">
        <v>17.899999999999999</v>
      </c>
      <c r="E280" s="382">
        <v>17.200000000000003</v>
      </c>
      <c r="F280" s="382">
        <v>15.3</v>
      </c>
      <c r="G280" s="391">
        <v>7.6</v>
      </c>
      <c r="H280" s="382">
        <v>7.7000000000000011</v>
      </c>
      <c r="I280" s="382">
        <v>19.8</v>
      </c>
      <c r="J280" s="382">
        <v>10.299999999999999</v>
      </c>
      <c r="K280" s="389">
        <v>9.5000000000000018</v>
      </c>
    </row>
    <row r="281" spans="2:11" ht="16">
      <c r="B281" s="381" t="s">
        <v>425</v>
      </c>
      <c r="C281" s="383">
        <v>11.1</v>
      </c>
      <c r="D281" s="384">
        <v>5.4</v>
      </c>
      <c r="E281" s="383">
        <v>5.6999999999999993</v>
      </c>
      <c r="F281" s="383">
        <v>11.1</v>
      </c>
      <c r="G281" s="384">
        <v>5.4</v>
      </c>
      <c r="H281" s="383">
        <v>5.6999999999999993</v>
      </c>
      <c r="I281" s="377" t="s">
        <v>207</v>
      </c>
      <c r="J281" s="377" t="s">
        <v>207</v>
      </c>
      <c r="K281" s="378" t="s">
        <v>207</v>
      </c>
    </row>
    <row r="282" spans="2:11" ht="16">
      <c r="B282" s="381" t="s">
        <v>426</v>
      </c>
      <c r="C282" s="383">
        <v>0.8</v>
      </c>
      <c r="D282" s="384">
        <v>0.4</v>
      </c>
      <c r="E282" s="383">
        <v>0.4</v>
      </c>
      <c r="F282" s="383">
        <v>0.8</v>
      </c>
      <c r="G282" s="384">
        <v>0.4</v>
      </c>
      <c r="H282" s="383">
        <v>0.4</v>
      </c>
      <c r="I282" s="377" t="s">
        <v>207</v>
      </c>
      <c r="J282" s="377" t="s">
        <v>207</v>
      </c>
      <c r="K282" s="378" t="s">
        <v>207</v>
      </c>
    </row>
    <row r="283" spans="2:11" ht="16">
      <c r="B283" s="381" t="s">
        <v>427</v>
      </c>
      <c r="C283" s="383">
        <v>0.4</v>
      </c>
      <c r="D283" s="384">
        <v>0.2</v>
      </c>
      <c r="E283" s="383">
        <v>0.2</v>
      </c>
      <c r="F283" s="383">
        <v>0.4</v>
      </c>
      <c r="G283" s="384">
        <v>0.2</v>
      </c>
      <c r="H283" s="383">
        <v>0.2</v>
      </c>
      <c r="I283" s="377" t="s">
        <v>207</v>
      </c>
      <c r="J283" s="377" t="s">
        <v>207</v>
      </c>
      <c r="K283" s="378" t="s">
        <v>207</v>
      </c>
    </row>
    <row r="284" spans="2:11" ht="16">
      <c r="B284" s="381" t="s">
        <v>428</v>
      </c>
      <c r="C284" s="383">
        <v>0.5</v>
      </c>
      <c r="D284" s="384">
        <v>0.3</v>
      </c>
      <c r="E284" s="383">
        <v>0.2</v>
      </c>
      <c r="F284" s="383">
        <v>0.5</v>
      </c>
      <c r="G284" s="384">
        <v>0.3</v>
      </c>
      <c r="H284" s="383">
        <v>0.2</v>
      </c>
      <c r="I284" s="377" t="s">
        <v>207</v>
      </c>
      <c r="J284" s="377" t="s">
        <v>207</v>
      </c>
      <c r="K284" s="378" t="s">
        <v>207</v>
      </c>
    </row>
    <row r="285" spans="2:11" ht="16">
      <c r="B285" s="381" t="s">
        <v>429</v>
      </c>
      <c r="C285" s="383">
        <v>0.5</v>
      </c>
      <c r="D285" s="384">
        <v>0.2</v>
      </c>
      <c r="E285" s="383">
        <v>0.3</v>
      </c>
      <c r="F285" s="383">
        <v>0.5</v>
      </c>
      <c r="G285" s="384">
        <v>0.2</v>
      </c>
      <c r="H285" s="383">
        <v>0.3</v>
      </c>
      <c r="I285" s="377" t="s">
        <v>207</v>
      </c>
      <c r="J285" s="377" t="s">
        <v>207</v>
      </c>
      <c r="K285" s="378" t="s">
        <v>207</v>
      </c>
    </row>
    <row r="286" spans="2:11" ht="16">
      <c r="B286" s="381" t="s">
        <v>430</v>
      </c>
      <c r="C286" s="383">
        <v>2</v>
      </c>
      <c r="D286" s="384">
        <v>1.1000000000000001</v>
      </c>
      <c r="E286" s="383">
        <v>0.89999999999999991</v>
      </c>
      <c r="F286" s="383">
        <v>2</v>
      </c>
      <c r="G286" s="384">
        <v>1.1000000000000001</v>
      </c>
      <c r="H286" s="383">
        <v>0.89999999999999991</v>
      </c>
      <c r="I286" s="377" t="s">
        <v>207</v>
      </c>
      <c r="J286" s="377" t="s">
        <v>207</v>
      </c>
      <c r="K286" s="378" t="s">
        <v>207</v>
      </c>
    </row>
    <row r="287" spans="2:11" ht="16">
      <c r="B287" s="381"/>
      <c r="C287" s="405"/>
      <c r="D287" s="405"/>
      <c r="E287" s="405"/>
      <c r="F287" s="405"/>
      <c r="G287" s="405"/>
      <c r="H287" s="405"/>
      <c r="I287" s="405"/>
      <c r="J287" s="405"/>
      <c r="K287" s="406"/>
    </row>
    <row r="288" spans="2:11" ht="16">
      <c r="B288" s="373" t="s">
        <v>431</v>
      </c>
      <c r="C288" s="382">
        <v>58.3</v>
      </c>
      <c r="D288" s="382">
        <v>29.2</v>
      </c>
      <c r="E288" s="382">
        <v>29.099999999999998</v>
      </c>
      <c r="F288" s="382">
        <v>21.9</v>
      </c>
      <c r="G288" s="391">
        <v>10.9</v>
      </c>
      <c r="H288" s="382">
        <v>10.999999999999998</v>
      </c>
      <c r="I288" s="382">
        <v>36.4</v>
      </c>
      <c r="J288" s="382">
        <v>18.299999999999997</v>
      </c>
      <c r="K288" s="389">
        <v>18.100000000000001</v>
      </c>
    </row>
    <row r="289" spans="2:11" ht="16">
      <c r="B289" s="381" t="s">
        <v>432</v>
      </c>
      <c r="C289" s="383">
        <v>10.199999999999999</v>
      </c>
      <c r="D289" s="384">
        <v>5.0999999999999996</v>
      </c>
      <c r="E289" s="383">
        <v>5.0999999999999996</v>
      </c>
      <c r="F289" s="383">
        <v>10.199999999999999</v>
      </c>
      <c r="G289" s="384">
        <v>5.0999999999999996</v>
      </c>
      <c r="H289" s="383">
        <v>5.0999999999999996</v>
      </c>
      <c r="I289" s="377" t="s">
        <v>207</v>
      </c>
      <c r="J289" s="377" t="s">
        <v>207</v>
      </c>
      <c r="K289" s="378" t="s">
        <v>207</v>
      </c>
    </row>
    <row r="290" spans="2:11" ht="16">
      <c r="B290" s="381" t="s">
        <v>433</v>
      </c>
      <c r="C290" s="383">
        <v>1.3</v>
      </c>
      <c r="D290" s="384">
        <v>0.6</v>
      </c>
      <c r="E290" s="383">
        <v>0.70000000000000007</v>
      </c>
      <c r="F290" s="383">
        <v>1.3</v>
      </c>
      <c r="G290" s="384">
        <v>0.6</v>
      </c>
      <c r="H290" s="383">
        <v>0.70000000000000007</v>
      </c>
      <c r="I290" s="377" t="s">
        <v>207</v>
      </c>
      <c r="J290" s="377" t="s">
        <v>207</v>
      </c>
      <c r="K290" s="378" t="s">
        <v>207</v>
      </c>
    </row>
    <row r="291" spans="2:11" ht="16">
      <c r="B291" s="381" t="s">
        <v>434</v>
      </c>
      <c r="C291" s="383">
        <v>6.3</v>
      </c>
      <c r="D291" s="384">
        <v>3.2</v>
      </c>
      <c r="E291" s="383">
        <v>3.0999999999999996</v>
      </c>
      <c r="F291" s="383">
        <v>6.3</v>
      </c>
      <c r="G291" s="384">
        <v>3.2</v>
      </c>
      <c r="H291" s="383">
        <v>3.0999999999999996</v>
      </c>
      <c r="I291" s="377" t="s">
        <v>207</v>
      </c>
      <c r="J291" s="377" t="s">
        <v>207</v>
      </c>
      <c r="K291" s="378" t="s">
        <v>207</v>
      </c>
    </row>
    <row r="292" spans="2:11" ht="16">
      <c r="B292" s="381" t="s">
        <v>435</v>
      </c>
      <c r="C292" s="383">
        <v>0</v>
      </c>
      <c r="D292" s="384">
        <v>0</v>
      </c>
      <c r="E292" s="383">
        <v>0</v>
      </c>
      <c r="F292" s="383">
        <v>0</v>
      </c>
      <c r="G292" s="384">
        <v>0</v>
      </c>
      <c r="H292" s="383">
        <v>0</v>
      </c>
      <c r="I292" s="377" t="s">
        <v>207</v>
      </c>
      <c r="J292" s="377" t="s">
        <v>207</v>
      </c>
      <c r="K292" s="378" t="s">
        <v>207</v>
      </c>
    </row>
    <row r="293" spans="2:11" ht="16">
      <c r="B293" s="381" t="s">
        <v>436</v>
      </c>
      <c r="C293" s="383">
        <v>2</v>
      </c>
      <c r="D293" s="384">
        <v>1</v>
      </c>
      <c r="E293" s="383">
        <v>1</v>
      </c>
      <c r="F293" s="383">
        <v>2</v>
      </c>
      <c r="G293" s="384">
        <v>1</v>
      </c>
      <c r="H293" s="383">
        <v>1</v>
      </c>
      <c r="I293" s="377" t="s">
        <v>207</v>
      </c>
      <c r="J293" s="377" t="s">
        <v>207</v>
      </c>
      <c r="K293" s="378" t="s">
        <v>207</v>
      </c>
    </row>
    <row r="294" spans="2:11" ht="16">
      <c r="B294" s="381" t="s">
        <v>437</v>
      </c>
      <c r="C294" s="383">
        <v>1.5</v>
      </c>
      <c r="D294" s="384">
        <v>0.7</v>
      </c>
      <c r="E294" s="383">
        <v>0.8</v>
      </c>
      <c r="F294" s="383">
        <v>1.5</v>
      </c>
      <c r="G294" s="384">
        <v>0.7</v>
      </c>
      <c r="H294" s="383">
        <v>0.8</v>
      </c>
      <c r="I294" s="377" t="s">
        <v>207</v>
      </c>
      <c r="J294" s="377" t="s">
        <v>207</v>
      </c>
      <c r="K294" s="378" t="s">
        <v>207</v>
      </c>
    </row>
    <row r="295" spans="2:11" ht="16">
      <c r="B295" s="381" t="s">
        <v>438</v>
      </c>
      <c r="C295" s="383">
        <v>0.6</v>
      </c>
      <c r="D295" s="384">
        <v>0.3</v>
      </c>
      <c r="E295" s="383">
        <v>0.3</v>
      </c>
      <c r="F295" s="383">
        <v>0.6</v>
      </c>
      <c r="G295" s="384">
        <v>0.3</v>
      </c>
      <c r="H295" s="383">
        <v>0.3</v>
      </c>
      <c r="I295" s="377" t="s">
        <v>207</v>
      </c>
      <c r="J295" s="377" t="s">
        <v>207</v>
      </c>
      <c r="K295" s="378" t="s">
        <v>207</v>
      </c>
    </row>
    <row r="296" spans="2:11" ht="16">
      <c r="B296" s="381"/>
      <c r="C296" s="386"/>
      <c r="D296" s="386"/>
      <c r="E296" s="386"/>
      <c r="F296" s="386"/>
      <c r="G296" s="386"/>
      <c r="H296" s="386"/>
      <c r="I296" s="386"/>
      <c r="J296" s="386"/>
      <c r="K296" s="395"/>
    </row>
    <row r="297" spans="2:11" ht="16">
      <c r="B297" s="373" t="s">
        <v>439</v>
      </c>
      <c r="C297" s="382">
        <v>63.9</v>
      </c>
      <c r="D297" s="382">
        <v>32.4</v>
      </c>
      <c r="E297" s="382">
        <v>31.5</v>
      </c>
      <c r="F297" s="382">
        <v>25.8</v>
      </c>
      <c r="G297" s="391">
        <v>13</v>
      </c>
      <c r="H297" s="382">
        <v>12.8</v>
      </c>
      <c r="I297" s="382">
        <v>38.099999999999994</v>
      </c>
      <c r="J297" s="382">
        <v>19.399999999999999</v>
      </c>
      <c r="K297" s="389">
        <v>18.699999999999996</v>
      </c>
    </row>
    <row r="298" spans="2:11" ht="16">
      <c r="B298" s="381" t="s">
        <v>440</v>
      </c>
      <c r="C298" s="383">
        <v>19.3</v>
      </c>
      <c r="D298" s="384">
        <v>9.6999999999999993</v>
      </c>
      <c r="E298" s="383">
        <v>9.6000000000000014</v>
      </c>
      <c r="F298" s="383">
        <v>19.3</v>
      </c>
      <c r="G298" s="384">
        <v>9.6999999999999993</v>
      </c>
      <c r="H298" s="383">
        <v>9.6000000000000014</v>
      </c>
      <c r="I298" s="377" t="s">
        <v>207</v>
      </c>
      <c r="J298" s="377" t="s">
        <v>207</v>
      </c>
      <c r="K298" s="378" t="s">
        <v>207</v>
      </c>
    </row>
    <row r="299" spans="2:11" ht="16">
      <c r="B299" s="381" t="s">
        <v>441</v>
      </c>
      <c r="C299" s="383">
        <v>0.3</v>
      </c>
      <c r="D299" s="384">
        <v>0.2</v>
      </c>
      <c r="E299" s="383">
        <v>9.9999999999999978E-2</v>
      </c>
      <c r="F299" s="383">
        <v>0.3</v>
      </c>
      <c r="G299" s="384">
        <v>0.2</v>
      </c>
      <c r="H299" s="383">
        <v>9.9999999999999978E-2</v>
      </c>
      <c r="I299" s="377" t="s">
        <v>207</v>
      </c>
      <c r="J299" s="377" t="s">
        <v>207</v>
      </c>
      <c r="K299" s="378" t="s">
        <v>207</v>
      </c>
    </row>
    <row r="300" spans="2:11" ht="16">
      <c r="B300" s="381" t="s">
        <v>442</v>
      </c>
      <c r="C300" s="383">
        <v>0.1</v>
      </c>
      <c r="D300" s="384">
        <v>0.1</v>
      </c>
      <c r="E300" s="383">
        <v>0</v>
      </c>
      <c r="F300" s="383">
        <v>0.1</v>
      </c>
      <c r="G300" s="384">
        <v>0.1</v>
      </c>
      <c r="H300" s="383">
        <v>0</v>
      </c>
      <c r="I300" s="377" t="s">
        <v>207</v>
      </c>
      <c r="J300" s="377" t="s">
        <v>207</v>
      </c>
      <c r="K300" s="378" t="s">
        <v>207</v>
      </c>
    </row>
    <row r="301" spans="2:11" ht="16">
      <c r="B301" s="381" t="s">
        <v>443</v>
      </c>
      <c r="C301" s="383">
        <v>0.4</v>
      </c>
      <c r="D301" s="384">
        <v>0.2</v>
      </c>
      <c r="E301" s="383">
        <v>0.2</v>
      </c>
      <c r="F301" s="383">
        <v>0.4</v>
      </c>
      <c r="G301" s="384">
        <v>0.2</v>
      </c>
      <c r="H301" s="383">
        <v>0.2</v>
      </c>
      <c r="I301" s="377" t="s">
        <v>207</v>
      </c>
      <c r="J301" s="377" t="s">
        <v>207</v>
      </c>
      <c r="K301" s="378" t="s">
        <v>207</v>
      </c>
    </row>
    <row r="302" spans="2:11" ht="16">
      <c r="B302" s="381" t="s">
        <v>444</v>
      </c>
      <c r="C302" s="383">
        <v>4.3</v>
      </c>
      <c r="D302" s="384">
        <v>2.1</v>
      </c>
      <c r="E302" s="383">
        <v>2.1999999999999997</v>
      </c>
      <c r="F302" s="383">
        <v>4.3</v>
      </c>
      <c r="G302" s="384">
        <v>2.1</v>
      </c>
      <c r="H302" s="383">
        <v>2.1999999999999997</v>
      </c>
      <c r="I302" s="377" t="s">
        <v>207</v>
      </c>
      <c r="J302" s="377" t="s">
        <v>207</v>
      </c>
      <c r="K302" s="378" t="s">
        <v>207</v>
      </c>
    </row>
    <row r="303" spans="2:11" ht="16">
      <c r="B303" s="381" t="s">
        <v>445</v>
      </c>
      <c r="C303" s="383">
        <v>0.4</v>
      </c>
      <c r="D303" s="384">
        <v>0.2</v>
      </c>
      <c r="E303" s="383">
        <v>0.2</v>
      </c>
      <c r="F303" s="383">
        <v>0.4</v>
      </c>
      <c r="G303" s="384">
        <v>0.2</v>
      </c>
      <c r="H303" s="383">
        <v>0.2</v>
      </c>
      <c r="I303" s="377" t="s">
        <v>207</v>
      </c>
      <c r="J303" s="377" t="s">
        <v>207</v>
      </c>
      <c r="K303" s="378" t="s">
        <v>207</v>
      </c>
    </row>
    <row r="304" spans="2:11" ht="16">
      <c r="B304" s="381" t="s">
        <v>446</v>
      </c>
      <c r="C304" s="383">
        <v>1</v>
      </c>
      <c r="D304" s="384">
        <v>0.5</v>
      </c>
      <c r="E304" s="383">
        <v>0.5</v>
      </c>
      <c r="F304" s="383">
        <v>1</v>
      </c>
      <c r="G304" s="384">
        <v>0.5</v>
      </c>
      <c r="H304" s="383">
        <v>0.5</v>
      </c>
      <c r="I304" s="377" t="s">
        <v>207</v>
      </c>
      <c r="J304" s="377" t="s">
        <v>207</v>
      </c>
      <c r="K304" s="378" t="s">
        <v>207</v>
      </c>
    </row>
    <row r="305" spans="1:11" ht="16">
      <c r="B305" s="381"/>
      <c r="C305" s="393"/>
      <c r="D305" s="393"/>
      <c r="E305" s="393"/>
      <c r="F305" s="393"/>
      <c r="G305" s="393"/>
      <c r="H305" s="393"/>
      <c r="I305" s="393"/>
      <c r="J305" s="393"/>
      <c r="K305" s="394"/>
    </row>
    <row r="306" spans="1:11" ht="16">
      <c r="B306" s="373" t="s">
        <v>447</v>
      </c>
      <c r="C306" s="382">
        <v>104.1</v>
      </c>
      <c r="D306" s="382">
        <v>52.5</v>
      </c>
      <c r="E306" s="382">
        <v>51.599999999999994</v>
      </c>
      <c r="F306" s="382">
        <v>22.2</v>
      </c>
      <c r="G306" s="391">
        <v>11.1</v>
      </c>
      <c r="H306" s="382">
        <v>11.1</v>
      </c>
      <c r="I306" s="382">
        <v>81.899999999999991</v>
      </c>
      <c r="J306" s="382">
        <v>41.4</v>
      </c>
      <c r="K306" s="389">
        <v>40.499999999999993</v>
      </c>
    </row>
    <row r="307" spans="1:11" ht="16">
      <c r="B307" s="381" t="s">
        <v>448</v>
      </c>
      <c r="C307" s="383">
        <v>7.4</v>
      </c>
      <c r="D307" s="384">
        <v>3.7</v>
      </c>
      <c r="E307" s="383">
        <v>3.7</v>
      </c>
      <c r="F307" s="383">
        <v>7.4</v>
      </c>
      <c r="G307" s="384">
        <v>3.7</v>
      </c>
      <c r="H307" s="383">
        <v>3.7</v>
      </c>
      <c r="I307" s="377" t="s">
        <v>207</v>
      </c>
      <c r="J307" s="377" t="s">
        <v>207</v>
      </c>
      <c r="K307" s="378" t="s">
        <v>207</v>
      </c>
    </row>
    <row r="308" spans="1:11" ht="16">
      <c r="B308" s="381" t="s">
        <v>449</v>
      </c>
      <c r="C308" s="383">
        <v>5.6</v>
      </c>
      <c r="D308" s="384">
        <v>2.8</v>
      </c>
      <c r="E308" s="383">
        <v>2.8</v>
      </c>
      <c r="F308" s="383">
        <v>5.6</v>
      </c>
      <c r="G308" s="384">
        <v>2.8</v>
      </c>
      <c r="H308" s="383">
        <v>2.8</v>
      </c>
      <c r="I308" s="377" t="s">
        <v>207</v>
      </c>
      <c r="J308" s="377" t="s">
        <v>207</v>
      </c>
      <c r="K308" s="378" t="s">
        <v>207</v>
      </c>
    </row>
    <row r="309" spans="1:11" ht="16">
      <c r="B309" s="381" t="s">
        <v>450</v>
      </c>
      <c r="C309" s="383">
        <v>0</v>
      </c>
      <c r="D309" s="384">
        <v>0</v>
      </c>
      <c r="E309" s="383">
        <v>0</v>
      </c>
      <c r="F309" s="383">
        <v>0</v>
      </c>
      <c r="G309" s="384">
        <v>0</v>
      </c>
      <c r="H309" s="383">
        <v>0</v>
      </c>
      <c r="I309" s="377" t="s">
        <v>207</v>
      </c>
      <c r="J309" s="377" t="s">
        <v>207</v>
      </c>
      <c r="K309" s="378" t="s">
        <v>207</v>
      </c>
    </row>
    <row r="310" spans="1:11" ht="16">
      <c r="B310" s="381" t="s">
        <v>451</v>
      </c>
      <c r="C310" s="383">
        <v>7.1</v>
      </c>
      <c r="D310" s="384">
        <v>3.6</v>
      </c>
      <c r="E310" s="383">
        <v>3.4999999999999996</v>
      </c>
      <c r="F310" s="383">
        <v>7.1</v>
      </c>
      <c r="G310" s="384">
        <v>3.6</v>
      </c>
      <c r="H310" s="383">
        <v>3.4999999999999996</v>
      </c>
      <c r="I310" s="377" t="s">
        <v>207</v>
      </c>
      <c r="J310" s="377" t="s">
        <v>207</v>
      </c>
      <c r="K310" s="378" t="s">
        <v>207</v>
      </c>
    </row>
    <row r="311" spans="1:11" ht="16">
      <c r="B311" s="381" t="s">
        <v>452</v>
      </c>
      <c r="C311" s="383">
        <v>0.3</v>
      </c>
      <c r="D311" s="384">
        <v>0.1</v>
      </c>
      <c r="E311" s="383">
        <v>0.19999999999999998</v>
      </c>
      <c r="F311" s="383">
        <v>0.3</v>
      </c>
      <c r="G311" s="384">
        <v>0.1</v>
      </c>
      <c r="H311" s="383">
        <v>0.19999999999999998</v>
      </c>
      <c r="I311" s="377" t="s">
        <v>207</v>
      </c>
      <c r="J311" s="377" t="s">
        <v>207</v>
      </c>
      <c r="K311" s="378" t="s">
        <v>207</v>
      </c>
    </row>
    <row r="312" spans="1:11" ht="16">
      <c r="B312" s="381" t="s">
        <v>453</v>
      </c>
      <c r="C312" s="383">
        <v>0.8</v>
      </c>
      <c r="D312" s="384">
        <v>0.4</v>
      </c>
      <c r="E312" s="383">
        <v>0.4</v>
      </c>
      <c r="F312" s="383">
        <v>0.8</v>
      </c>
      <c r="G312" s="384">
        <v>0.4</v>
      </c>
      <c r="H312" s="383">
        <v>0.4</v>
      </c>
      <c r="I312" s="377" t="s">
        <v>207</v>
      </c>
      <c r="J312" s="377" t="s">
        <v>207</v>
      </c>
      <c r="K312" s="378" t="s">
        <v>207</v>
      </c>
    </row>
    <row r="313" spans="1:11" ht="16">
      <c r="B313" s="381" t="s">
        <v>886</v>
      </c>
      <c r="C313" s="383">
        <v>0.8</v>
      </c>
      <c r="D313" s="384">
        <v>0.4</v>
      </c>
      <c r="E313" s="383">
        <v>0.4</v>
      </c>
      <c r="F313" s="383">
        <v>0.8</v>
      </c>
      <c r="G313" s="384">
        <v>0.4</v>
      </c>
      <c r="H313" s="383">
        <v>0.4</v>
      </c>
      <c r="I313" s="377" t="s">
        <v>207</v>
      </c>
      <c r="J313" s="377" t="s">
        <v>207</v>
      </c>
      <c r="K313" s="378" t="s">
        <v>207</v>
      </c>
    </row>
    <row r="314" spans="1:11" ht="16">
      <c r="B314" s="381" t="s">
        <v>454</v>
      </c>
      <c r="C314" s="383">
        <v>0.2</v>
      </c>
      <c r="D314" s="384">
        <v>0.1</v>
      </c>
      <c r="E314" s="383">
        <v>0.1</v>
      </c>
      <c r="F314" s="383">
        <v>0.2</v>
      </c>
      <c r="G314" s="384">
        <v>0.1</v>
      </c>
      <c r="H314" s="383">
        <v>0.1</v>
      </c>
      <c r="I314" s="377" t="s">
        <v>207</v>
      </c>
      <c r="J314" s="377" t="s">
        <v>207</v>
      </c>
      <c r="K314" s="378" t="s">
        <v>207</v>
      </c>
    </row>
    <row r="315" spans="1:11" ht="16">
      <c r="B315" s="381"/>
      <c r="C315" s="393"/>
      <c r="D315" s="393"/>
      <c r="E315" s="393"/>
      <c r="F315" s="393"/>
      <c r="G315" s="393"/>
      <c r="H315" s="393"/>
      <c r="I315" s="393"/>
      <c r="J315" s="393"/>
      <c r="K315" s="394"/>
    </row>
    <row r="316" spans="1:11" ht="16">
      <c r="B316" s="373" t="s">
        <v>455</v>
      </c>
      <c r="C316" s="382">
        <v>10.199999999999999</v>
      </c>
      <c r="D316" s="382">
        <v>5</v>
      </c>
      <c r="E316" s="382">
        <v>5.1999999999999993</v>
      </c>
      <c r="F316" s="382">
        <v>8.9</v>
      </c>
      <c r="G316" s="391">
        <v>4.3</v>
      </c>
      <c r="H316" s="382">
        <v>4.6000000000000005</v>
      </c>
      <c r="I316" s="382">
        <v>1.2999999999999989</v>
      </c>
      <c r="J316" s="382">
        <v>0.70000000000000018</v>
      </c>
      <c r="K316" s="389">
        <v>0.59999999999999876</v>
      </c>
    </row>
    <row r="317" spans="1:11" ht="16">
      <c r="B317" s="373"/>
      <c r="C317" s="407"/>
      <c r="D317" s="407"/>
      <c r="E317" s="407"/>
      <c r="F317" s="407"/>
      <c r="G317" s="407"/>
      <c r="H317" s="407"/>
      <c r="I317" s="407"/>
      <c r="J317" s="407"/>
      <c r="K317" s="408"/>
    </row>
    <row r="318" spans="1:11" ht="16">
      <c r="A318" t="s">
        <v>829</v>
      </c>
      <c r="B318" s="373" t="s">
        <v>456</v>
      </c>
      <c r="C318" s="400">
        <v>621.4</v>
      </c>
      <c r="D318" s="400">
        <v>310.2</v>
      </c>
      <c r="E318" s="400">
        <v>311.2</v>
      </c>
      <c r="F318" s="382">
        <v>173.60000000000002</v>
      </c>
      <c r="G318" s="382">
        <v>84.7</v>
      </c>
      <c r="H318" s="400">
        <v>88.90000000000002</v>
      </c>
      <c r="I318" s="382">
        <v>447.79999999999995</v>
      </c>
      <c r="J318" s="382">
        <v>225.5</v>
      </c>
      <c r="K318" s="392">
        <v>222.29999999999995</v>
      </c>
    </row>
    <row r="319" spans="1:11" ht="16">
      <c r="B319" s="379" t="s">
        <v>298</v>
      </c>
      <c r="C319" s="374"/>
      <c r="D319" s="374"/>
      <c r="E319" s="374"/>
      <c r="F319" s="374"/>
      <c r="G319" s="374"/>
      <c r="H319" s="374"/>
      <c r="I319" s="374"/>
      <c r="J319" s="374"/>
      <c r="K319" s="380"/>
    </row>
    <row r="320" spans="1:11" ht="16">
      <c r="B320" s="373" t="s">
        <v>457</v>
      </c>
      <c r="C320" s="382">
        <v>98.3</v>
      </c>
      <c r="D320" s="382">
        <v>48.8</v>
      </c>
      <c r="E320" s="382">
        <v>49.5</v>
      </c>
      <c r="F320" s="382">
        <v>15</v>
      </c>
      <c r="G320" s="382">
        <v>7</v>
      </c>
      <c r="H320" s="382">
        <v>8</v>
      </c>
      <c r="I320" s="382">
        <v>83.3</v>
      </c>
      <c r="J320" s="382">
        <v>41.8</v>
      </c>
      <c r="K320" s="389">
        <v>41.5</v>
      </c>
    </row>
    <row r="321" spans="2:11" ht="16">
      <c r="B321" s="381" t="s">
        <v>458</v>
      </c>
      <c r="C321" s="383">
        <v>14</v>
      </c>
      <c r="D321" s="384">
        <v>6.5</v>
      </c>
      <c r="E321" s="383">
        <v>7.5</v>
      </c>
      <c r="F321" s="383">
        <v>14</v>
      </c>
      <c r="G321" s="384">
        <v>6.5</v>
      </c>
      <c r="H321" s="383">
        <v>7.5</v>
      </c>
      <c r="I321" s="377" t="s">
        <v>207</v>
      </c>
      <c r="J321" s="377" t="s">
        <v>207</v>
      </c>
      <c r="K321" s="378" t="s">
        <v>207</v>
      </c>
    </row>
    <row r="322" spans="2:11" ht="16">
      <c r="B322" s="381" t="s">
        <v>459</v>
      </c>
      <c r="C322" s="383">
        <v>1</v>
      </c>
      <c r="D322" s="384">
        <v>0.5</v>
      </c>
      <c r="E322" s="383">
        <v>0.5</v>
      </c>
      <c r="F322" s="383">
        <v>1</v>
      </c>
      <c r="G322" s="384">
        <v>0.5</v>
      </c>
      <c r="H322" s="383">
        <v>0.5</v>
      </c>
      <c r="I322" s="377" t="s">
        <v>207</v>
      </c>
      <c r="J322" s="377" t="s">
        <v>207</v>
      </c>
      <c r="K322" s="378" t="s">
        <v>207</v>
      </c>
    </row>
    <row r="323" spans="2:11" ht="16">
      <c r="B323" s="381"/>
      <c r="C323" s="393"/>
      <c r="D323" s="393"/>
      <c r="E323" s="393"/>
      <c r="F323" s="393"/>
      <c r="G323" s="393"/>
      <c r="H323" s="393"/>
      <c r="I323" s="393"/>
      <c r="J323" s="393"/>
      <c r="K323" s="394"/>
    </row>
    <row r="324" spans="2:11" ht="16">
      <c r="B324" s="373" t="s">
        <v>460</v>
      </c>
      <c r="C324" s="382">
        <v>128.69999999999999</v>
      </c>
      <c r="D324" s="382">
        <v>63.6</v>
      </c>
      <c r="E324" s="382">
        <v>65.099999999999994</v>
      </c>
      <c r="F324" s="382">
        <v>32.799999999999997</v>
      </c>
      <c r="G324" s="382">
        <v>15.9</v>
      </c>
      <c r="H324" s="382">
        <v>16.899999999999999</v>
      </c>
      <c r="I324" s="382">
        <v>95.899999999999991</v>
      </c>
      <c r="J324" s="382">
        <v>47.7</v>
      </c>
      <c r="K324" s="389">
        <v>48.199999999999989</v>
      </c>
    </row>
    <row r="325" spans="2:11" ht="16">
      <c r="B325" s="381" t="s">
        <v>461</v>
      </c>
      <c r="C325" s="383">
        <v>21.7</v>
      </c>
      <c r="D325" s="384">
        <v>10.4</v>
      </c>
      <c r="E325" s="383">
        <v>11.299999999999999</v>
      </c>
      <c r="F325" s="383">
        <v>21.7</v>
      </c>
      <c r="G325" s="384">
        <v>10.4</v>
      </c>
      <c r="H325" s="383">
        <v>11.299999999999999</v>
      </c>
      <c r="I325" s="377" t="s">
        <v>207</v>
      </c>
      <c r="J325" s="377" t="s">
        <v>207</v>
      </c>
      <c r="K325" s="378" t="s">
        <v>207</v>
      </c>
    </row>
    <row r="326" spans="2:11" ht="16">
      <c r="B326" s="381" t="s">
        <v>462</v>
      </c>
      <c r="C326" s="383">
        <v>11.1</v>
      </c>
      <c r="D326" s="384">
        <v>5.5</v>
      </c>
      <c r="E326" s="383">
        <v>5.6</v>
      </c>
      <c r="F326" s="383">
        <v>11.1</v>
      </c>
      <c r="G326" s="384">
        <v>5.5</v>
      </c>
      <c r="H326" s="383">
        <v>5.6</v>
      </c>
      <c r="I326" s="377" t="s">
        <v>207</v>
      </c>
      <c r="J326" s="377" t="s">
        <v>207</v>
      </c>
      <c r="K326" s="378" t="s">
        <v>207</v>
      </c>
    </row>
    <row r="327" spans="2:11" ht="16">
      <c r="B327" s="381"/>
      <c r="C327" s="393"/>
      <c r="D327" s="393"/>
      <c r="E327" s="393"/>
      <c r="F327" s="393"/>
      <c r="G327" s="393"/>
      <c r="H327" s="393"/>
      <c r="I327" s="393"/>
      <c r="J327" s="393"/>
      <c r="K327" s="394"/>
    </row>
    <row r="328" spans="2:11" ht="16">
      <c r="B328" s="373" t="s">
        <v>463</v>
      </c>
      <c r="C328" s="382">
        <v>56.9</v>
      </c>
      <c r="D328" s="382">
        <v>27.7</v>
      </c>
      <c r="E328" s="382">
        <v>29.2</v>
      </c>
      <c r="F328" s="382">
        <v>14.4</v>
      </c>
      <c r="G328" s="382">
        <v>6.8</v>
      </c>
      <c r="H328" s="382">
        <v>7.6000000000000005</v>
      </c>
      <c r="I328" s="382">
        <v>42.5</v>
      </c>
      <c r="J328" s="382">
        <v>20.9</v>
      </c>
      <c r="K328" s="389">
        <v>21.6</v>
      </c>
    </row>
    <row r="329" spans="2:11" ht="16">
      <c r="B329" s="381" t="s">
        <v>464</v>
      </c>
      <c r="C329" s="383">
        <v>14.4</v>
      </c>
      <c r="D329" s="384">
        <v>6.8</v>
      </c>
      <c r="E329" s="383">
        <v>7.6000000000000005</v>
      </c>
      <c r="F329" s="383">
        <v>14.4</v>
      </c>
      <c r="G329" s="384">
        <v>6.8</v>
      </c>
      <c r="H329" s="383">
        <v>7.6000000000000005</v>
      </c>
      <c r="I329" s="377" t="s">
        <v>207</v>
      </c>
      <c r="J329" s="377" t="s">
        <v>207</v>
      </c>
      <c r="K329" s="378" t="s">
        <v>207</v>
      </c>
    </row>
    <row r="330" spans="2:11" ht="16">
      <c r="B330" s="381"/>
      <c r="C330" s="393"/>
      <c r="D330" s="393"/>
      <c r="E330" s="393"/>
      <c r="F330" s="393"/>
      <c r="G330" s="393"/>
      <c r="H330" s="393"/>
      <c r="I330" s="393"/>
      <c r="J330" s="393"/>
      <c r="K330" s="409" t="s">
        <v>207</v>
      </c>
    </row>
    <row r="331" spans="2:11" ht="16">
      <c r="B331" s="373" t="s">
        <v>465</v>
      </c>
      <c r="C331" s="382">
        <v>186.6</v>
      </c>
      <c r="D331" s="382">
        <v>93.4</v>
      </c>
      <c r="E331" s="382">
        <v>93.199999999999989</v>
      </c>
      <c r="F331" s="382">
        <v>67.8</v>
      </c>
      <c r="G331" s="382">
        <v>33.1</v>
      </c>
      <c r="H331" s="382">
        <v>34.699999999999996</v>
      </c>
      <c r="I331" s="382">
        <v>118.8</v>
      </c>
      <c r="J331" s="382">
        <v>60.300000000000004</v>
      </c>
      <c r="K331" s="389">
        <v>58.499999999999993</v>
      </c>
    </row>
    <row r="332" spans="2:11" ht="16">
      <c r="B332" s="381" t="s">
        <v>465</v>
      </c>
      <c r="C332" s="383">
        <v>65.3</v>
      </c>
      <c r="D332" s="384">
        <v>31.8</v>
      </c>
      <c r="E332" s="383">
        <v>33.5</v>
      </c>
      <c r="F332" s="383">
        <v>65.3</v>
      </c>
      <c r="G332" s="384">
        <v>31.8</v>
      </c>
      <c r="H332" s="383">
        <v>33.5</v>
      </c>
      <c r="I332" s="377" t="s">
        <v>207</v>
      </c>
      <c r="J332" s="377" t="s">
        <v>207</v>
      </c>
      <c r="K332" s="378" t="s">
        <v>207</v>
      </c>
    </row>
    <row r="333" spans="2:11" ht="16">
      <c r="B333" s="381" t="s">
        <v>466</v>
      </c>
      <c r="C333" s="383">
        <v>2.2000000000000002</v>
      </c>
      <c r="D333" s="384">
        <v>1.1000000000000001</v>
      </c>
      <c r="E333" s="383">
        <v>1.1000000000000001</v>
      </c>
      <c r="F333" s="383">
        <v>2.2000000000000002</v>
      </c>
      <c r="G333" s="384">
        <v>1.1000000000000001</v>
      </c>
      <c r="H333" s="383">
        <v>1.1000000000000001</v>
      </c>
      <c r="I333" s="377" t="s">
        <v>207</v>
      </c>
      <c r="J333" s="377" t="s">
        <v>207</v>
      </c>
      <c r="K333" s="378" t="s">
        <v>207</v>
      </c>
    </row>
    <row r="334" spans="2:11" ht="16">
      <c r="B334" s="381" t="s">
        <v>467</v>
      </c>
      <c r="C334" s="383">
        <v>0.3</v>
      </c>
      <c r="D334" s="384">
        <v>0.2</v>
      </c>
      <c r="E334" s="383">
        <v>9.9999999999999978E-2</v>
      </c>
      <c r="F334" s="383">
        <v>0.3</v>
      </c>
      <c r="G334" s="384">
        <v>0.2</v>
      </c>
      <c r="H334" s="383">
        <v>9.9999999999999978E-2</v>
      </c>
      <c r="I334" s="377" t="s">
        <v>207</v>
      </c>
      <c r="J334" s="377" t="s">
        <v>207</v>
      </c>
      <c r="K334" s="378" t="s">
        <v>207</v>
      </c>
    </row>
    <row r="335" spans="2:11" ht="16">
      <c r="B335" s="381"/>
      <c r="C335" s="386"/>
      <c r="D335" s="386"/>
      <c r="E335" s="386"/>
      <c r="F335" s="386"/>
      <c r="G335" s="386"/>
      <c r="H335" s="386"/>
      <c r="I335" s="386"/>
      <c r="J335" s="386"/>
      <c r="K335" s="395"/>
    </row>
    <row r="336" spans="2:11" ht="16">
      <c r="B336" s="373" t="s">
        <v>468</v>
      </c>
      <c r="C336" s="382">
        <v>44.3</v>
      </c>
      <c r="D336" s="382">
        <v>22.4</v>
      </c>
      <c r="E336" s="382">
        <v>21.9</v>
      </c>
      <c r="F336" s="382">
        <v>7.4</v>
      </c>
      <c r="G336" s="382">
        <v>3.7</v>
      </c>
      <c r="H336" s="382">
        <v>3.7</v>
      </c>
      <c r="I336" s="382">
        <v>36.9</v>
      </c>
      <c r="J336" s="382">
        <v>18.7</v>
      </c>
      <c r="K336" s="389">
        <v>18.2</v>
      </c>
    </row>
    <row r="337" spans="1:11" ht="16">
      <c r="B337" s="381" t="s">
        <v>469</v>
      </c>
      <c r="C337" s="383">
        <v>7.4</v>
      </c>
      <c r="D337" s="384">
        <v>3.7</v>
      </c>
      <c r="E337" s="383">
        <v>3.7</v>
      </c>
      <c r="F337" s="383">
        <v>7.4</v>
      </c>
      <c r="G337" s="384">
        <v>3.7</v>
      </c>
      <c r="H337" s="383">
        <v>3.7</v>
      </c>
      <c r="I337" s="377" t="s">
        <v>207</v>
      </c>
      <c r="J337" s="377" t="s">
        <v>207</v>
      </c>
      <c r="K337" s="378" t="s">
        <v>207</v>
      </c>
    </row>
    <row r="338" spans="1:11" ht="16">
      <c r="B338" s="381"/>
      <c r="C338" s="410"/>
      <c r="D338" s="410"/>
      <c r="E338" s="410"/>
      <c r="F338" s="410"/>
      <c r="G338" s="410"/>
      <c r="H338" s="410"/>
      <c r="I338" s="410"/>
      <c r="J338" s="410"/>
      <c r="K338" s="411"/>
    </row>
    <row r="339" spans="1:11" ht="16">
      <c r="B339" s="373" t="s">
        <v>470</v>
      </c>
      <c r="C339" s="382">
        <v>106.6</v>
      </c>
      <c r="D339" s="382">
        <v>54.3</v>
      </c>
      <c r="E339" s="382">
        <v>52.3</v>
      </c>
      <c r="F339" s="382">
        <v>36.200000000000003</v>
      </c>
      <c r="G339" s="382">
        <v>18.2</v>
      </c>
      <c r="H339" s="382">
        <v>18.000000000000004</v>
      </c>
      <c r="I339" s="382">
        <v>70.399999999999991</v>
      </c>
      <c r="J339" s="382">
        <v>36.099999999999994</v>
      </c>
      <c r="K339" s="389">
        <v>34.299999999999997</v>
      </c>
    </row>
    <row r="340" spans="1:11" ht="16">
      <c r="B340" s="381" t="s">
        <v>471</v>
      </c>
      <c r="C340" s="383">
        <v>14</v>
      </c>
      <c r="D340" s="384">
        <v>6.9</v>
      </c>
      <c r="E340" s="383">
        <v>7.1</v>
      </c>
      <c r="F340" s="383">
        <v>14</v>
      </c>
      <c r="G340" s="384">
        <v>6.9</v>
      </c>
      <c r="H340" s="383">
        <v>7.1</v>
      </c>
      <c r="I340" s="377" t="s">
        <v>207</v>
      </c>
      <c r="J340" s="377" t="s">
        <v>207</v>
      </c>
      <c r="K340" s="378" t="s">
        <v>207</v>
      </c>
    </row>
    <row r="341" spans="1:11" ht="16">
      <c r="B341" s="381" t="s">
        <v>472</v>
      </c>
      <c r="C341" s="383">
        <v>5.8</v>
      </c>
      <c r="D341" s="384">
        <v>3.1</v>
      </c>
      <c r="E341" s="383">
        <v>2.6999999999999997</v>
      </c>
      <c r="F341" s="383">
        <v>5.8</v>
      </c>
      <c r="G341" s="384">
        <v>3.1</v>
      </c>
      <c r="H341" s="383">
        <v>2.6999999999999997</v>
      </c>
      <c r="I341" s="377" t="s">
        <v>207</v>
      </c>
      <c r="J341" s="377" t="s">
        <v>207</v>
      </c>
      <c r="K341" s="378" t="s">
        <v>207</v>
      </c>
    </row>
    <row r="342" spans="1:11" ht="16">
      <c r="B342" s="381" t="s">
        <v>473</v>
      </c>
      <c r="C342" s="383">
        <v>6.2</v>
      </c>
      <c r="D342" s="384">
        <v>3.1</v>
      </c>
      <c r="E342" s="383">
        <v>3.1</v>
      </c>
      <c r="F342" s="383">
        <v>6.2</v>
      </c>
      <c r="G342" s="384">
        <v>3.1</v>
      </c>
      <c r="H342" s="383">
        <v>3.1</v>
      </c>
      <c r="I342" s="377" t="s">
        <v>207</v>
      </c>
      <c r="J342" s="377" t="s">
        <v>207</v>
      </c>
      <c r="K342" s="378" t="s">
        <v>207</v>
      </c>
    </row>
    <row r="343" spans="1:11" ht="16">
      <c r="B343" s="381" t="s">
        <v>474</v>
      </c>
      <c r="C343" s="383">
        <v>10.199999999999999</v>
      </c>
      <c r="D343" s="384">
        <v>5.0999999999999996</v>
      </c>
      <c r="E343" s="383">
        <v>5.0999999999999996</v>
      </c>
      <c r="F343" s="383">
        <v>10.199999999999999</v>
      </c>
      <c r="G343" s="384">
        <v>5.0999999999999996</v>
      </c>
      <c r="H343" s="383">
        <v>5.0999999999999996</v>
      </c>
      <c r="I343" s="377" t="s">
        <v>207</v>
      </c>
      <c r="J343" s="377" t="s">
        <v>207</v>
      </c>
      <c r="K343" s="378" t="s">
        <v>207</v>
      </c>
    </row>
    <row r="344" spans="1:11" ht="16">
      <c r="B344" s="381"/>
      <c r="C344" s="386"/>
      <c r="D344" s="386"/>
      <c r="E344" s="386"/>
      <c r="F344" s="386"/>
      <c r="G344" s="386"/>
      <c r="H344" s="386"/>
      <c r="I344" s="386"/>
      <c r="J344" s="386"/>
      <c r="K344" s="395"/>
    </row>
    <row r="345" spans="1:11" ht="16">
      <c r="A345" t="s">
        <v>829</v>
      </c>
      <c r="B345" s="373" t="s">
        <v>475</v>
      </c>
      <c r="C345" s="400">
        <v>937.19999999999993</v>
      </c>
      <c r="D345" s="400">
        <v>473.7</v>
      </c>
      <c r="E345" s="400">
        <v>463.49999999999994</v>
      </c>
      <c r="F345" s="382">
        <v>251.29999999999998</v>
      </c>
      <c r="G345" s="382">
        <v>125.80000000000001</v>
      </c>
      <c r="H345" s="400">
        <v>125.49999999999997</v>
      </c>
      <c r="I345" s="382">
        <v>685.9</v>
      </c>
      <c r="J345" s="382">
        <v>347.90000000000003</v>
      </c>
      <c r="K345" s="389">
        <v>337.99999999999994</v>
      </c>
    </row>
    <row r="346" spans="1:11" ht="16">
      <c r="B346" s="379" t="s">
        <v>298</v>
      </c>
      <c r="C346" s="383"/>
      <c r="D346" s="383"/>
      <c r="E346" s="383"/>
      <c r="F346" s="383"/>
      <c r="G346" s="383"/>
      <c r="H346" s="383"/>
      <c r="I346" s="383"/>
      <c r="J346" s="383"/>
      <c r="K346" s="390"/>
    </row>
    <row r="347" spans="1:11" ht="16">
      <c r="B347" s="373" t="s">
        <v>476</v>
      </c>
      <c r="C347" s="382">
        <v>108.6</v>
      </c>
      <c r="D347" s="382">
        <v>54.6</v>
      </c>
      <c r="E347" s="382">
        <v>53.999999999999993</v>
      </c>
      <c r="F347" s="382">
        <v>33.6</v>
      </c>
      <c r="G347" s="382">
        <v>16.600000000000001</v>
      </c>
      <c r="H347" s="382">
        <v>17</v>
      </c>
      <c r="I347" s="382">
        <v>75</v>
      </c>
      <c r="J347" s="382">
        <v>38</v>
      </c>
      <c r="K347" s="389">
        <v>37</v>
      </c>
    </row>
    <row r="348" spans="1:11" ht="16">
      <c r="B348" s="381" t="s">
        <v>477</v>
      </c>
      <c r="C348" s="383">
        <v>17.5</v>
      </c>
      <c r="D348" s="384">
        <v>8.6</v>
      </c>
      <c r="E348" s="383">
        <v>8.9</v>
      </c>
      <c r="F348" s="383">
        <v>17.5</v>
      </c>
      <c r="G348" s="384">
        <v>8.6</v>
      </c>
      <c r="H348" s="383">
        <v>8.9</v>
      </c>
      <c r="I348" s="377" t="s">
        <v>207</v>
      </c>
      <c r="J348" s="377" t="s">
        <v>207</v>
      </c>
      <c r="K348" s="378" t="s">
        <v>207</v>
      </c>
    </row>
    <row r="349" spans="1:11" ht="16">
      <c r="B349" s="381" t="s">
        <v>478</v>
      </c>
      <c r="C349" s="383">
        <v>6.4</v>
      </c>
      <c r="D349" s="384">
        <v>3.1</v>
      </c>
      <c r="E349" s="383">
        <v>3.3000000000000003</v>
      </c>
      <c r="F349" s="383">
        <v>6.4</v>
      </c>
      <c r="G349" s="384">
        <v>3.1</v>
      </c>
      <c r="H349" s="383">
        <v>3.3000000000000003</v>
      </c>
      <c r="I349" s="377" t="s">
        <v>207</v>
      </c>
      <c r="J349" s="377" t="s">
        <v>207</v>
      </c>
      <c r="K349" s="378" t="s">
        <v>207</v>
      </c>
    </row>
    <row r="350" spans="1:11" ht="16">
      <c r="B350" s="381" t="s">
        <v>479</v>
      </c>
      <c r="C350" s="383">
        <v>9.6999999999999993</v>
      </c>
      <c r="D350" s="384">
        <v>4.9000000000000004</v>
      </c>
      <c r="E350" s="383">
        <v>4.7999999999999989</v>
      </c>
      <c r="F350" s="383">
        <v>9.6999999999999993</v>
      </c>
      <c r="G350" s="384">
        <v>4.9000000000000004</v>
      </c>
      <c r="H350" s="383">
        <v>4.7999999999999989</v>
      </c>
      <c r="I350" s="377" t="s">
        <v>207</v>
      </c>
      <c r="J350" s="377" t="s">
        <v>207</v>
      </c>
      <c r="K350" s="378" t="s">
        <v>207</v>
      </c>
    </row>
    <row r="351" spans="1:11" ht="16">
      <c r="B351" s="381"/>
      <c r="C351" s="405"/>
      <c r="D351" s="405"/>
      <c r="E351" s="405"/>
      <c r="F351" s="405"/>
      <c r="G351" s="405"/>
      <c r="H351" s="405"/>
      <c r="I351" s="405"/>
      <c r="J351" s="405"/>
      <c r="K351" s="406"/>
    </row>
    <row r="352" spans="1:11" ht="16">
      <c r="B352" s="373" t="s">
        <v>480</v>
      </c>
      <c r="C352" s="382">
        <v>228.7</v>
      </c>
      <c r="D352" s="382">
        <v>114.9</v>
      </c>
      <c r="E352" s="382">
        <v>113.79999999999998</v>
      </c>
      <c r="F352" s="382">
        <v>88.6</v>
      </c>
      <c r="G352" s="382">
        <v>43.6</v>
      </c>
      <c r="H352" s="382">
        <v>44.999999999999993</v>
      </c>
      <c r="I352" s="382">
        <v>140.1</v>
      </c>
      <c r="J352" s="382">
        <v>71.300000000000011</v>
      </c>
      <c r="K352" s="389">
        <v>68.799999999999983</v>
      </c>
    </row>
    <row r="353" spans="2:11" ht="16">
      <c r="B353" s="381" t="s">
        <v>480</v>
      </c>
      <c r="C353" s="383">
        <v>52.6</v>
      </c>
      <c r="D353" s="384">
        <v>25.7</v>
      </c>
      <c r="E353" s="383">
        <v>26.900000000000002</v>
      </c>
      <c r="F353" s="383">
        <v>52.6</v>
      </c>
      <c r="G353" s="384">
        <v>25.7</v>
      </c>
      <c r="H353" s="383">
        <v>26.900000000000002</v>
      </c>
      <c r="I353" s="377" t="s">
        <v>207</v>
      </c>
      <c r="J353" s="377" t="s">
        <v>207</v>
      </c>
      <c r="K353" s="378" t="s">
        <v>207</v>
      </c>
    </row>
    <row r="354" spans="2:11" ht="16">
      <c r="B354" s="381" t="s">
        <v>481</v>
      </c>
      <c r="C354" s="383">
        <v>11.5</v>
      </c>
      <c r="D354" s="384">
        <v>5.7</v>
      </c>
      <c r="E354" s="383">
        <v>5.8</v>
      </c>
      <c r="F354" s="383">
        <v>11.5</v>
      </c>
      <c r="G354" s="384">
        <v>5.7</v>
      </c>
      <c r="H354" s="383">
        <v>5.8</v>
      </c>
      <c r="I354" s="377" t="s">
        <v>207</v>
      </c>
      <c r="J354" s="377" t="s">
        <v>207</v>
      </c>
      <c r="K354" s="378" t="s">
        <v>207</v>
      </c>
    </row>
    <row r="355" spans="2:11" ht="16">
      <c r="B355" s="381" t="s">
        <v>482</v>
      </c>
      <c r="C355" s="383">
        <v>1.9</v>
      </c>
      <c r="D355" s="384">
        <v>0.9</v>
      </c>
      <c r="E355" s="383">
        <v>0.99999999999999989</v>
      </c>
      <c r="F355" s="383">
        <v>1.9</v>
      </c>
      <c r="G355" s="384">
        <v>0.9</v>
      </c>
      <c r="H355" s="383">
        <v>0.99999999999999989</v>
      </c>
      <c r="I355" s="377" t="s">
        <v>207</v>
      </c>
      <c r="J355" s="377" t="s">
        <v>207</v>
      </c>
      <c r="K355" s="378" t="s">
        <v>207</v>
      </c>
    </row>
    <row r="356" spans="2:11" ht="16">
      <c r="B356" s="381" t="s">
        <v>483</v>
      </c>
      <c r="C356" s="383">
        <v>3.2</v>
      </c>
      <c r="D356" s="384">
        <v>1.6</v>
      </c>
      <c r="E356" s="383">
        <v>1.6</v>
      </c>
      <c r="F356" s="383">
        <v>3.2</v>
      </c>
      <c r="G356" s="384">
        <v>1.6</v>
      </c>
      <c r="H356" s="383">
        <v>1.6</v>
      </c>
      <c r="I356" s="377" t="s">
        <v>207</v>
      </c>
      <c r="J356" s="377" t="s">
        <v>207</v>
      </c>
      <c r="K356" s="378" t="s">
        <v>207</v>
      </c>
    </row>
    <row r="357" spans="2:11" ht="16">
      <c r="B357" s="381" t="s">
        <v>484</v>
      </c>
      <c r="C357" s="383">
        <v>2.2999999999999998</v>
      </c>
      <c r="D357" s="384">
        <v>1.1000000000000001</v>
      </c>
      <c r="E357" s="383">
        <v>1.1999999999999997</v>
      </c>
      <c r="F357" s="383">
        <v>2.2999999999999998</v>
      </c>
      <c r="G357" s="384">
        <v>1.1000000000000001</v>
      </c>
      <c r="H357" s="383">
        <v>1.1999999999999997</v>
      </c>
      <c r="I357" s="377" t="s">
        <v>207</v>
      </c>
      <c r="J357" s="377" t="s">
        <v>207</v>
      </c>
      <c r="K357" s="378" t="s">
        <v>207</v>
      </c>
    </row>
    <row r="358" spans="2:11" ht="16">
      <c r="B358" s="381" t="s">
        <v>485</v>
      </c>
      <c r="C358" s="383">
        <v>4.5</v>
      </c>
      <c r="D358" s="384">
        <v>2.2999999999999998</v>
      </c>
      <c r="E358" s="383">
        <v>2.2000000000000002</v>
      </c>
      <c r="F358" s="383">
        <v>4.5</v>
      </c>
      <c r="G358" s="384">
        <v>2.2999999999999998</v>
      </c>
      <c r="H358" s="383">
        <v>2.2000000000000002</v>
      </c>
      <c r="I358" s="377" t="s">
        <v>207</v>
      </c>
      <c r="J358" s="377" t="s">
        <v>207</v>
      </c>
      <c r="K358" s="378" t="s">
        <v>207</v>
      </c>
    </row>
    <row r="359" spans="2:11" ht="16">
      <c r="B359" s="381" t="s">
        <v>486</v>
      </c>
      <c r="C359" s="383">
        <v>5.0999999999999996</v>
      </c>
      <c r="D359" s="384">
        <v>2.5</v>
      </c>
      <c r="E359" s="383">
        <v>2.5999999999999996</v>
      </c>
      <c r="F359" s="383">
        <v>5.0999999999999996</v>
      </c>
      <c r="G359" s="384">
        <v>2.5</v>
      </c>
      <c r="H359" s="383">
        <v>2.5999999999999996</v>
      </c>
      <c r="I359" s="377" t="s">
        <v>207</v>
      </c>
      <c r="J359" s="377" t="s">
        <v>207</v>
      </c>
      <c r="K359" s="378" t="s">
        <v>207</v>
      </c>
    </row>
    <row r="360" spans="2:11" ht="16">
      <c r="B360" s="381" t="s">
        <v>487</v>
      </c>
      <c r="C360" s="383">
        <v>2.5</v>
      </c>
      <c r="D360" s="384">
        <v>1.3</v>
      </c>
      <c r="E360" s="383">
        <v>1.2</v>
      </c>
      <c r="F360" s="383">
        <v>2.5</v>
      </c>
      <c r="G360" s="384">
        <v>1.3</v>
      </c>
      <c r="H360" s="383">
        <v>1.2</v>
      </c>
      <c r="I360" s="377" t="s">
        <v>207</v>
      </c>
      <c r="J360" s="377" t="s">
        <v>207</v>
      </c>
      <c r="K360" s="378" t="s">
        <v>207</v>
      </c>
    </row>
    <row r="361" spans="2:11" ht="16">
      <c r="B361" s="381" t="s">
        <v>488</v>
      </c>
      <c r="C361" s="383">
        <v>1.3</v>
      </c>
      <c r="D361" s="384">
        <v>0.7</v>
      </c>
      <c r="E361" s="383">
        <v>0.60000000000000009</v>
      </c>
      <c r="F361" s="383">
        <v>1.3</v>
      </c>
      <c r="G361" s="384">
        <v>0.7</v>
      </c>
      <c r="H361" s="383">
        <v>0.60000000000000009</v>
      </c>
      <c r="I361" s="377" t="s">
        <v>207</v>
      </c>
      <c r="J361" s="377" t="s">
        <v>207</v>
      </c>
      <c r="K361" s="378" t="s">
        <v>207</v>
      </c>
    </row>
    <row r="362" spans="2:11" ht="16">
      <c r="B362" s="381" t="s">
        <v>489</v>
      </c>
      <c r="C362" s="383">
        <v>3.7</v>
      </c>
      <c r="D362" s="384">
        <v>1.8</v>
      </c>
      <c r="E362" s="383">
        <v>1.9000000000000001</v>
      </c>
      <c r="F362" s="383">
        <v>3.7</v>
      </c>
      <c r="G362" s="384">
        <v>1.8</v>
      </c>
      <c r="H362" s="383">
        <v>1.9000000000000001</v>
      </c>
      <c r="I362" s="377" t="s">
        <v>207</v>
      </c>
      <c r="J362" s="377" t="s">
        <v>207</v>
      </c>
      <c r="K362" s="378" t="s">
        <v>207</v>
      </c>
    </row>
    <row r="363" spans="2:11" ht="16">
      <c r="B363" s="381"/>
      <c r="C363" s="405"/>
      <c r="D363" s="405"/>
      <c r="E363" s="405"/>
      <c r="F363" s="405"/>
      <c r="G363" s="405"/>
      <c r="H363" s="405"/>
      <c r="I363" s="405"/>
      <c r="J363" s="405"/>
      <c r="K363" s="406"/>
    </row>
    <row r="364" spans="2:11" ht="16">
      <c r="B364" s="373" t="s">
        <v>490</v>
      </c>
      <c r="C364" s="382">
        <v>84.7</v>
      </c>
      <c r="D364" s="382">
        <v>42.9</v>
      </c>
      <c r="E364" s="382">
        <v>41.800000000000004</v>
      </c>
      <c r="F364" s="382">
        <v>8.5</v>
      </c>
      <c r="G364" s="382">
        <v>4.3</v>
      </c>
      <c r="H364" s="382">
        <v>4.2</v>
      </c>
      <c r="I364" s="382">
        <v>76.2</v>
      </c>
      <c r="J364" s="382">
        <v>38.6</v>
      </c>
      <c r="K364" s="389">
        <v>37.6</v>
      </c>
    </row>
    <row r="365" spans="2:11" ht="16">
      <c r="B365" s="381" t="s">
        <v>491</v>
      </c>
      <c r="C365" s="383">
        <v>8.5</v>
      </c>
      <c r="D365" s="384">
        <v>4.3</v>
      </c>
      <c r="E365" s="383">
        <v>4.2</v>
      </c>
      <c r="F365" s="383">
        <v>8.5</v>
      </c>
      <c r="G365" s="384">
        <v>4.3</v>
      </c>
      <c r="H365" s="383">
        <v>4.2</v>
      </c>
      <c r="I365" s="377" t="s">
        <v>207</v>
      </c>
      <c r="J365" s="377" t="s">
        <v>207</v>
      </c>
      <c r="K365" s="378" t="s">
        <v>207</v>
      </c>
    </row>
    <row r="366" spans="2:11" ht="16">
      <c r="B366" s="381"/>
      <c r="C366" s="393"/>
      <c r="D366" s="393"/>
      <c r="E366" s="393"/>
      <c r="F366" s="393"/>
      <c r="G366" s="393"/>
      <c r="H366" s="393"/>
      <c r="I366" s="393"/>
      <c r="J366" s="393"/>
      <c r="K366" s="394"/>
    </row>
    <row r="367" spans="2:11" ht="16">
      <c r="B367" s="373" t="s">
        <v>492</v>
      </c>
      <c r="C367" s="382">
        <v>67</v>
      </c>
      <c r="D367" s="382">
        <v>34.299999999999997</v>
      </c>
      <c r="E367" s="382">
        <v>32.700000000000003</v>
      </c>
      <c r="F367" s="382">
        <v>7.5</v>
      </c>
      <c r="G367" s="382">
        <v>3.9</v>
      </c>
      <c r="H367" s="382">
        <v>3.6</v>
      </c>
      <c r="I367" s="382">
        <v>59.5</v>
      </c>
      <c r="J367" s="382">
        <v>30.4</v>
      </c>
      <c r="K367" s="389">
        <v>29.1</v>
      </c>
    </row>
    <row r="368" spans="2:11" ht="16">
      <c r="B368" s="381" t="s">
        <v>493</v>
      </c>
      <c r="C368" s="383">
        <v>7.5</v>
      </c>
      <c r="D368" s="384">
        <v>3.9</v>
      </c>
      <c r="E368" s="383">
        <v>3.6</v>
      </c>
      <c r="F368" s="383">
        <v>7.5</v>
      </c>
      <c r="G368" s="384">
        <v>3.9</v>
      </c>
      <c r="H368" s="383">
        <v>3.6</v>
      </c>
      <c r="I368" s="377" t="s">
        <v>207</v>
      </c>
      <c r="J368" s="377" t="s">
        <v>207</v>
      </c>
      <c r="K368" s="378" t="s">
        <v>207</v>
      </c>
    </row>
    <row r="369" spans="1:11" ht="16">
      <c r="B369" s="381"/>
      <c r="C369" s="393"/>
      <c r="D369" s="393"/>
      <c r="E369" s="393"/>
      <c r="F369" s="393"/>
      <c r="G369" s="393"/>
      <c r="H369" s="393"/>
      <c r="I369" s="393"/>
      <c r="J369" s="393"/>
      <c r="K369" s="394"/>
    </row>
    <row r="370" spans="1:11" ht="16">
      <c r="B370" s="373" t="s">
        <v>494</v>
      </c>
      <c r="C370" s="382">
        <v>225.8</v>
      </c>
      <c r="D370" s="382">
        <v>114.7</v>
      </c>
      <c r="E370" s="382">
        <v>111.10000000000001</v>
      </c>
      <c r="F370" s="382">
        <v>51.1</v>
      </c>
      <c r="G370" s="382">
        <v>26.3</v>
      </c>
      <c r="H370" s="382">
        <v>24.8</v>
      </c>
      <c r="I370" s="382">
        <v>174.70000000000002</v>
      </c>
      <c r="J370" s="382">
        <v>88.4</v>
      </c>
      <c r="K370" s="389">
        <v>86.300000000000011</v>
      </c>
    </row>
    <row r="371" spans="1:11" ht="16">
      <c r="B371" s="381" t="s">
        <v>495</v>
      </c>
      <c r="C371" s="383">
        <v>26.3</v>
      </c>
      <c r="D371" s="384">
        <v>13.4</v>
      </c>
      <c r="E371" s="383">
        <v>12.9</v>
      </c>
      <c r="F371" s="383">
        <v>26.3</v>
      </c>
      <c r="G371" s="384">
        <v>13.4</v>
      </c>
      <c r="H371" s="383">
        <v>12.9</v>
      </c>
      <c r="I371" s="377" t="s">
        <v>207</v>
      </c>
      <c r="J371" s="377" t="s">
        <v>207</v>
      </c>
      <c r="K371" s="378" t="s">
        <v>207</v>
      </c>
    </row>
    <row r="372" spans="1:11" ht="16">
      <c r="B372" s="381" t="s">
        <v>496</v>
      </c>
      <c r="C372" s="383">
        <v>7</v>
      </c>
      <c r="D372" s="384">
        <v>3.6</v>
      </c>
      <c r="E372" s="383">
        <v>3.4</v>
      </c>
      <c r="F372" s="383">
        <v>7</v>
      </c>
      <c r="G372" s="384">
        <v>3.6</v>
      </c>
      <c r="H372" s="383">
        <v>3.4</v>
      </c>
      <c r="I372" s="377" t="s">
        <v>207</v>
      </c>
      <c r="J372" s="377" t="s">
        <v>207</v>
      </c>
      <c r="K372" s="378" t="s">
        <v>207</v>
      </c>
    </row>
    <row r="373" spans="1:11" ht="16">
      <c r="B373" s="381" t="s">
        <v>497</v>
      </c>
      <c r="C373" s="383">
        <v>17.8</v>
      </c>
      <c r="D373" s="384">
        <v>9.3000000000000007</v>
      </c>
      <c r="E373" s="383">
        <v>8.5</v>
      </c>
      <c r="F373" s="383">
        <v>17.8</v>
      </c>
      <c r="G373" s="384">
        <v>9.3000000000000007</v>
      </c>
      <c r="H373" s="383">
        <v>8.5</v>
      </c>
      <c r="I373" s="377" t="s">
        <v>207</v>
      </c>
      <c r="J373" s="377" t="s">
        <v>207</v>
      </c>
      <c r="K373" s="378" t="s">
        <v>207</v>
      </c>
    </row>
    <row r="374" spans="1:11" ht="16">
      <c r="B374" s="381"/>
      <c r="C374" s="386"/>
      <c r="D374" s="386"/>
      <c r="E374" s="386"/>
      <c r="F374" s="386"/>
      <c r="G374" s="386"/>
      <c r="H374" s="386"/>
      <c r="I374" s="386"/>
      <c r="J374" s="386"/>
      <c r="K374" s="395"/>
    </row>
    <row r="375" spans="1:11" ht="16">
      <c r="B375" s="373" t="s">
        <v>498</v>
      </c>
      <c r="C375" s="382">
        <v>222.4</v>
      </c>
      <c r="D375" s="382">
        <v>112.3</v>
      </c>
      <c r="E375" s="382">
        <v>110.10000000000001</v>
      </c>
      <c r="F375" s="382">
        <v>62</v>
      </c>
      <c r="G375" s="382">
        <v>31.1</v>
      </c>
      <c r="H375" s="382">
        <v>30.9</v>
      </c>
      <c r="I375" s="382">
        <v>160.4</v>
      </c>
      <c r="J375" s="382">
        <v>81.199999999999989</v>
      </c>
      <c r="K375" s="389">
        <v>79.200000000000017</v>
      </c>
    </row>
    <row r="376" spans="1:11" ht="16">
      <c r="B376" s="381" t="s">
        <v>499</v>
      </c>
      <c r="C376" s="383">
        <v>46.7</v>
      </c>
      <c r="D376" s="384">
        <v>23.4</v>
      </c>
      <c r="E376" s="383">
        <v>23.300000000000004</v>
      </c>
      <c r="F376" s="383">
        <v>46.7</v>
      </c>
      <c r="G376" s="384">
        <v>23.4</v>
      </c>
      <c r="H376" s="383">
        <v>23.300000000000004</v>
      </c>
      <c r="I376" s="377" t="s">
        <v>207</v>
      </c>
      <c r="J376" s="377" t="s">
        <v>207</v>
      </c>
      <c r="K376" s="378" t="s">
        <v>207</v>
      </c>
    </row>
    <row r="377" spans="1:11" ht="16">
      <c r="B377" s="381" t="s">
        <v>500</v>
      </c>
      <c r="C377" s="383">
        <v>15.3</v>
      </c>
      <c r="D377" s="384">
        <v>7.7</v>
      </c>
      <c r="E377" s="383">
        <v>7.6000000000000005</v>
      </c>
      <c r="F377" s="383">
        <v>15.3</v>
      </c>
      <c r="G377" s="384">
        <v>7.7</v>
      </c>
      <c r="H377" s="383">
        <v>7.6000000000000005</v>
      </c>
      <c r="I377" s="377" t="s">
        <v>207</v>
      </c>
      <c r="J377" s="377" t="s">
        <v>207</v>
      </c>
      <c r="K377" s="378" t="s">
        <v>207</v>
      </c>
    </row>
    <row r="378" spans="1:11" ht="16">
      <c r="B378" s="381" t="s">
        <v>501</v>
      </c>
      <c r="C378" s="383" t="s">
        <v>207</v>
      </c>
      <c r="D378" s="383" t="s">
        <v>207</v>
      </c>
      <c r="E378" s="383" t="s">
        <v>207</v>
      </c>
      <c r="F378" s="383" t="s">
        <v>207</v>
      </c>
      <c r="G378" s="383" t="s">
        <v>207</v>
      </c>
      <c r="H378" s="383" t="s">
        <v>207</v>
      </c>
      <c r="I378" s="377" t="s">
        <v>207</v>
      </c>
      <c r="J378" s="377" t="s">
        <v>207</v>
      </c>
      <c r="K378" s="378" t="s">
        <v>207</v>
      </c>
    </row>
    <row r="379" spans="1:11" ht="16">
      <c r="B379" s="381"/>
      <c r="C379" s="386"/>
      <c r="D379" s="386"/>
      <c r="E379" s="386"/>
      <c r="F379" s="386"/>
      <c r="G379" s="386"/>
      <c r="H379" s="386"/>
      <c r="I379" s="386"/>
      <c r="J379" s="386"/>
      <c r="K379" s="395"/>
    </row>
    <row r="380" spans="1:11" ht="16">
      <c r="A380" t="s">
        <v>829</v>
      </c>
      <c r="B380" s="373" t="s">
        <v>887</v>
      </c>
      <c r="C380" s="400">
        <v>549.4</v>
      </c>
      <c r="D380" s="400">
        <v>276.89999999999998</v>
      </c>
      <c r="E380" s="400">
        <v>272.5</v>
      </c>
      <c r="F380" s="382">
        <v>181.8</v>
      </c>
      <c r="G380" s="382">
        <v>90.5</v>
      </c>
      <c r="H380" s="400">
        <v>91.300000000000011</v>
      </c>
      <c r="I380" s="382">
        <v>367.59999999999997</v>
      </c>
      <c r="J380" s="382">
        <v>186.4</v>
      </c>
      <c r="K380" s="389">
        <v>181.19999999999996</v>
      </c>
    </row>
    <row r="381" spans="1:11" ht="16">
      <c r="B381" s="379" t="s">
        <v>298</v>
      </c>
      <c r="C381" s="407"/>
      <c r="D381" s="407"/>
      <c r="E381" s="407"/>
      <c r="F381" s="407"/>
      <c r="G381" s="407"/>
      <c r="H381" s="407"/>
      <c r="I381" s="407"/>
      <c r="J381" s="407"/>
      <c r="K381" s="408"/>
    </row>
    <row r="382" spans="1:11" ht="16">
      <c r="B382" s="373" t="s">
        <v>502</v>
      </c>
      <c r="C382" s="382">
        <v>98.1</v>
      </c>
      <c r="D382" s="382">
        <v>49.1</v>
      </c>
      <c r="E382" s="382">
        <v>48.999999999999993</v>
      </c>
      <c r="F382" s="382">
        <v>20.7</v>
      </c>
      <c r="G382" s="382">
        <v>10.199999999999999</v>
      </c>
      <c r="H382" s="382">
        <v>10.5</v>
      </c>
      <c r="I382" s="382">
        <v>77.399999999999991</v>
      </c>
      <c r="J382" s="382">
        <v>38.900000000000006</v>
      </c>
      <c r="K382" s="389">
        <v>38.499999999999986</v>
      </c>
    </row>
    <row r="383" spans="1:11" ht="16">
      <c r="B383" s="381" t="s">
        <v>503</v>
      </c>
      <c r="C383" s="383">
        <v>18.399999999999999</v>
      </c>
      <c r="D383" s="384">
        <v>9</v>
      </c>
      <c r="E383" s="383">
        <v>9.3999999999999986</v>
      </c>
      <c r="F383" s="383">
        <v>18.399999999999999</v>
      </c>
      <c r="G383" s="384">
        <v>9</v>
      </c>
      <c r="H383" s="383">
        <v>9.3999999999999986</v>
      </c>
      <c r="I383" s="377" t="s">
        <v>207</v>
      </c>
      <c r="J383" s="377" t="s">
        <v>207</v>
      </c>
      <c r="K383" s="378" t="s">
        <v>207</v>
      </c>
    </row>
    <row r="384" spans="1:11" ht="16">
      <c r="B384" s="381" t="s">
        <v>504</v>
      </c>
      <c r="C384" s="383">
        <v>2.2999999999999998</v>
      </c>
      <c r="D384" s="384">
        <v>1.2</v>
      </c>
      <c r="E384" s="383">
        <v>1.0999999999999999</v>
      </c>
      <c r="F384" s="383">
        <v>2.2999999999999998</v>
      </c>
      <c r="G384" s="384">
        <v>1.2</v>
      </c>
      <c r="H384" s="383">
        <v>1.0999999999999999</v>
      </c>
      <c r="I384" s="377" t="s">
        <v>207</v>
      </c>
      <c r="J384" s="377" t="s">
        <v>207</v>
      </c>
      <c r="K384" s="378" t="s">
        <v>207</v>
      </c>
    </row>
    <row r="385" spans="2:11" ht="16">
      <c r="B385" s="381"/>
      <c r="C385" s="405"/>
      <c r="D385" s="405"/>
      <c r="E385" s="405"/>
      <c r="F385" s="405"/>
      <c r="G385" s="405"/>
      <c r="H385" s="405"/>
      <c r="I385" s="405"/>
      <c r="J385" s="405"/>
      <c r="K385" s="406"/>
    </row>
    <row r="386" spans="2:11" ht="16">
      <c r="B386" s="373" t="s">
        <v>888</v>
      </c>
      <c r="C386" s="382">
        <v>178.1</v>
      </c>
      <c r="D386" s="382">
        <v>89.3</v>
      </c>
      <c r="E386" s="382">
        <v>88.8</v>
      </c>
      <c r="F386" s="382">
        <v>68.2</v>
      </c>
      <c r="G386" s="382">
        <v>33.5</v>
      </c>
      <c r="H386" s="382">
        <v>34.700000000000003</v>
      </c>
      <c r="I386" s="382">
        <v>109.89999999999999</v>
      </c>
      <c r="J386" s="382">
        <v>55.8</v>
      </c>
      <c r="K386" s="389">
        <v>54.099999999999994</v>
      </c>
    </row>
    <row r="387" spans="2:11" ht="16">
      <c r="B387" s="381" t="s">
        <v>889</v>
      </c>
      <c r="C387" s="383">
        <v>42.4</v>
      </c>
      <c r="D387" s="384">
        <v>20.8</v>
      </c>
      <c r="E387" s="383">
        <v>21.599999999999998</v>
      </c>
      <c r="F387" s="383">
        <v>42.4</v>
      </c>
      <c r="G387" s="384">
        <v>20.8</v>
      </c>
      <c r="H387" s="383">
        <v>21.599999999999998</v>
      </c>
      <c r="I387" s="377" t="s">
        <v>207</v>
      </c>
      <c r="J387" s="377" t="s">
        <v>207</v>
      </c>
      <c r="K387" s="378" t="s">
        <v>207</v>
      </c>
    </row>
    <row r="388" spans="2:11" ht="16">
      <c r="B388" s="381" t="s">
        <v>505</v>
      </c>
      <c r="C388" s="383">
        <v>16.8</v>
      </c>
      <c r="D388" s="384">
        <v>8.3000000000000007</v>
      </c>
      <c r="E388" s="383">
        <v>8.5</v>
      </c>
      <c r="F388" s="383">
        <v>16.8</v>
      </c>
      <c r="G388" s="384">
        <v>8.3000000000000007</v>
      </c>
      <c r="H388" s="383">
        <v>8.5</v>
      </c>
      <c r="I388" s="377" t="s">
        <v>207</v>
      </c>
      <c r="J388" s="377" t="s">
        <v>207</v>
      </c>
      <c r="K388" s="378" t="s">
        <v>207</v>
      </c>
    </row>
    <row r="389" spans="2:11" ht="16">
      <c r="B389" s="381" t="s">
        <v>506</v>
      </c>
      <c r="C389" s="383">
        <v>0.2</v>
      </c>
      <c r="D389" s="384">
        <v>0.1</v>
      </c>
      <c r="E389" s="383">
        <v>0.1</v>
      </c>
      <c r="F389" s="383">
        <v>0.2</v>
      </c>
      <c r="G389" s="384">
        <v>0.1</v>
      </c>
      <c r="H389" s="383">
        <v>0.1</v>
      </c>
      <c r="I389" s="377" t="s">
        <v>207</v>
      </c>
      <c r="J389" s="377" t="s">
        <v>207</v>
      </c>
      <c r="K389" s="378" t="s">
        <v>207</v>
      </c>
    </row>
    <row r="390" spans="2:11" ht="16">
      <c r="B390" s="381" t="s">
        <v>507</v>
      </c>
      <c r="C390" s="383">
        <v>2.2000000000000002</v>
      </c>
      <c r="D390" s="384">
        <v>1</v>
      </c>
      <c r="E390" s="383">
        <v>1.2000000000000002</v>
      </c>
      <c r="F390" s="383">
        <v>2.2000000000000002</v>
      </c>
      <c r="G390" s="384">
        <v>1</v>
      </c>
      <c r="H390" s="383">
        <v>1.2000000000000002</v>
      </c>
      <c r="I390" s="377" t="s">
        <v>207</v>
      </c>
      <c r="J390" s="377" t="s">
        <v>207</v>
      </c>
      <c r="K390" s="378" t="s">
        <v>207</v>
      </c>
    </row>
    <row r="391" spans="2:11" ht="16">
      <c r="B391" s="381" t="s">
        <v>508</v>
      </c>
      <c r="C391" s="383">
        <v>0.4</v>
      </c>
      <c r="D391" s="384">
        <v>0.2</v>
      </c>
      <c r="E391" s="383">
        <v>0.2</v>
      </c>
      <c r="F391" s="383">
        <v>0.4</v>
      </c>
      <c r="G391" s="384">
        <v>0.2</v>
      </c>
      <c r="H391" s="383">
        <v>0.2</v>
      </c>
      <c r="I391" s="377" t="s">
        <v>207</v>
      </c>
      <c r="J391" s="377" t="s">
        <v>207</v>
      </c>
      <c r="K391" s="378" t="s">
        <v>207</v>
      </c>
    </row>
    <row r="392" spans="2:11" ht="16">
      <c r="B392" s="381" t="s">
        <v>509</v>
      </c>
      <c r="C392" s="383">
        <v>0.4</v>
      </c>
      <c r="D392" s="384">
        <v>0.2</v>
      </c>
      <c r="E392" s="383">
        <v>0.2</v>
      </c>
      <c r="F392" s="383">
        <v>0.4</v>
      </c>
      <c r="G392" s="384">
        <v>0.2</v>
      </c>
      <c r="H392" s="383">
        <v>0.2</v>
      </c>
      <c r="I392" s="377" t="s">
        <v>207</v>
      </c>
      <c r="J392" s="377" t="s">
        <v>207</v>
      </c>
      <c r="K392" s="378" t="s">
        <v>207</v>
      </c>
    </row>
    <row r="393" spans="2:11" ht="16">
      <c r="B393" s="381" t="s">
        <v>510</v>
      </c>
      <c r="C393" s="383">
        <v>0.2</v>
      </c>
      <c r="D393" s="384">
        <v>0.1</v>
      </c>
      <c r="E393" s="383">
        <v>0.1</v>
      </c>
      <c r="F393" s="383">
        <v>0.2</v>
      </c>
      <c r="G393" s="384">
        <v>0.1</v>
      </c>
      <c r="H393" s="383">
        <v>0.1</v>
      </c>
      <c r="I393" s="377" t="s">
        <v>207</v>
      </c>
      <c r="J393" s="377" t="s">
        <v>207</v>
      </c>
      <c r="K393" s="378" t="s">
        <v>207</v>
      </c>
    </row>
    <row r="394" spans="2:11" ht="16">
      <c r="B394" s="381" t="s">
        <v>511</v>
      </c>
      <c r="C394" s="383">
        <v>0.1</v>
      </c>
      <c r="D394" s="384">
        <v>0.1</v>
      </c>
      <c r="E394" s="383">
        <v>0</v>
      </c>
      <c r="F394" s="383">
        <v>0.1</v>
      </c>
      <c r="G394" s="384">
        <v>0.1</v>
      </c>
      <c r="H394" s="383">
        <v>0</v>
      </c>
      <c r="I394" s="377" t="s">
        <v>207</v>
      </c>
      <c r="J394" s="377" t="s">
        <v>207</v>
      </c>
      <c r="K394" s="378" t="s">
        <v>207</v>
      </c>
    </row>
    <row r="395" spans="2:11" ht="16">
      <c r="B395" s="381" t="s">
        <v>512</v>
      </c>
      <c r="C395" s="383">
        <v>0.1</v>
      </c>
      <c r="D395" s="384">
        <v>0</v>
      </c>
      <c r="E395" s="383">
        <v>0.1</v>
      </c>
      <c r="F395" s="383">
        <v>0.1</v>
      </c>
      <c r="G395" s="384">
        <v>0</v>
      </c>
      <c r="H395" s="383">
        <v>0.1</v>
      </c>
      <c r="I395" s="377" t="s">
        <v>207</v>
      </c>
      <c r="J395" s="377" t="s">
        <v>207</v>
      </c>
      <c r="K395" s="378" t="s">
        <v>207</v>
      </c>
    </row>
    <row r="396" spans="2:11" ht="16">
      <c r="B396" s="381" t="s">
        <v>513</v>
      </c>
      <c r="C396" s="383">
        <v>0</v>
      </c>
      <c r="D396" s="384">
        <v>0</v>
      </c>
      <c r="E396" s="383">
        <v>0</v>
      </c>
      <c r="F396" s="383">
        <v>0</v>
      </c>
      <c r="G396" s="384">
        <v>0</v>
      </c>
      <c r="H396" s="383">
        <v>0</v>
      </c>
      <c r="I396" s="377" t="s">
        <v>207</v>
      </c>
      <c r="J396" s="377" t="s">
        <v>207</v>
      </c>
      <c r="K396" s="378" t="s">
        <v>207</v>
      </c>
    </row>
    <row r="397" spans="2:11" ht="16">
      <c r="B397" s="381" t="s">
        <v>514</v>
      </c>
      <c r="C397" s="383">
        <v>0</v>
      </c>
      <c r="D397" s="384">
        <v>0</v>
      </c>
      <c r="E397" s="383">
        <v>0</v>
      </c>
      <c r="F397" s="383">
        <v>0</v>
      </c>
      <c r="G397" s="384">
        <v>0</v>
      </c>
      <c r="H397" s="383">
        <v>0</v>
      </c>
      <c r="I397" s="377" t="s">
        <v>207</v>
      </c>
      <c r="J397" s="377" t="s">
        <v>207</v>
      </c>
      <c r="K397" s="378" t="s">
        <v>207</v>
      </c>
    </row>
    <row r="398" spans="2:11" ht="16">
      <c r="B398" s="381" t="s">
        <v>515</v>
      </c>
      <c r="C398" s="383">
        <v>0.1</v>
      </c>
      <c r="D398" s="384">
        <v>0.1</v>
      </c>
      <c r="E398" s="383">
        <v>0</v>
      </c>
      <c r="F398" s="383">
        <v>0.1</v>
      </c>
      <c r="G398" s="384">
        <v>0.1</v>
      </c>
      <c r="H398" s="383">
        <v>0</v>
      </c>
      <c r="I398" s="377" t="s">
        <v>207</v>
      </c>
      <c r="J398" s="377" t="s">
        <v>207</v>
      </c>
      <c r="K398" s="378" t="s">
        <v>207</v>
      </c>
    </row>
    <row r="399" spans="2:11" ht="16">
      <c r="B399" s="381" t="s">
        <v>516</v>
      </c>
      <c r="C399" s="383">
        <v>1.4</v>
      </c>
      <c r="D399" s="384">
        <v>0.7</v>
      </c>
      <c r="E399" s="383">
        <v>0.7</v>
      </c>
      <c r="F399" s="383">
        <v>1.4</v>
      </c>
      <c r="G399" s="384">
        <v>0.7</v>
      </c>
      <c r="H399" s="383">
        <v>0.7</v>
      </c>
      <c r="I399" s="377" t="s">
        <v>207</v>
      </c>
      <c r="J399" s="377" t="s">
        <v>207</v>
      </c>
      <c r="K399" s="378" t="s">
        <v>207</v>
      </c>
    </row>
    <row r="400" spans="2:11" ht="16">
      <c r="B400" s="381" t="s">
        <v>517</v>
      </c>
      <c r="C400" s="383">
        <v>3.9</v>
      </c>
      <c r="D400" s="384">
        <v>1.9</v>
      </c>
      <c r="E400" s="383">
        <v>2</v>
      </c>
      <c r="F400" s="383">
        <v>3.9</v>
      </c>
      <c r="G400" s="384">
        <v>1.9</v>
      </c>
      <c r="H400" s="383">
        <v>2</v>
      </c>
      <c r="I400" s="377" t="s">
        <v>207</v>
      </c>
      <c r="J400" s="377" t="s">
        <v>207</v>
      </c>
      <c r="K400" s="378" t="s">
        <v>207</v>
      </c>
    </row>
    <row r="401" spans="2:11" ht="16">
      <c r="B401" s="381"/>
      <c r="C401" s="405"/>
      <c r="D401" s="405"/>
      <c r="E401" s="405"/>
      <c r="F401" s="405"/>
      <c r="G401" s="405"/>
      <c r="H401" s="405"/>
      <c r="I401" s="405"/>
      <c r="J401" s="405"/>
      <c r="K401" s="406"/>
    </row>
    <row r="402" spans="2:11" ht="16">
      <c r="B402" s="373" t="s">
        <v>518</v>
      </c>
      <c r="C402" s="382">
        <v>171.7</v>
      </c>
      <c r="D402" s="382">
        <v>87.3</v>
      </c>
      <c r="E402" s="382">
        <v>84.399999999999991</v>
      </c>
      <c r="F402" s="382">
        <v>40.6</v>
      </c>
      <c r="G402" s="382">
        <v>20.399999999999999</v>
      </c>
      <c r="H402" s="412">
        <v>20.200000000000003</v>
      </c>
      <c r="I402" s="382">
        <v>131.1</v>
      </c>
      <c r="J402" s="382">
        <v>66.900000000000006</v>
      </c>
      <c r="K402" s="413">
        <v>64.199999999999989</v>
      </c>
    </row>
    <row r="403" spans="2:11" ht="16">
      <c r="B403" s="381" t="s">
        <v>519</v>
      </c>
      <c r="C403" s="383">
        <v>25</v>
      </c>
      <c r="D403" s="384">
        <v>12.4</v>
      </c>
      <c r="E403" s="383">
        <v>12.6</v>
      </c>
      <c r="F403" s="383">
        <v>25</v>
      </c>
      <c r="G403" s="384">
        <v>12.4</v>
      </c>
      <c r="H403" s="383">
        <v>12.6</v>
      </c>
      <c r="I403" s="377" t="s">
        <v>207</v>
      </c>
      <c r="J403" s="377" t="s">
        <v>207</v>
      </c>
      <c r="K403" s="378" t="s">
        <v>207</v>
      </c>
    </row>
    <row r="404" spans="2:11" ht="16">
      <c r="B404" s="381" t="s">
        <v>520</v>
      </c>
      <c r="C404" s="383">
        <v>1.8</v>
      </c>
      <c r="D404" s="384">
        <v>0.9</v>
      </c>
      <c r="E404" s="383">
        <v>0.9</v>
      </c>
      <c r="F404" s="383">
        <v>1.8</v>
      </c>
      <c r="G404" s="384">
        <v>0.9</v>
      </c>
      <c r="H404" s="383">
        <v>0.9</v>
      </c>
      <c r="I404" s="377" t="s">
        <v>207</v>
      </c>
      <c r="J404" s="377" t="s">
        <v>207</v>
      </c>
      <c r="K404" s="378" t="s">
        <v>207</v>
      </c>
    </row>
    <row r="405" spans="2:11" ht="16">
      <c r="B405" s="381" t="s">
        <v>521</v>
      </c>
      <c r="C405" s="383">
        <v>3.2</v>
      </c>
      <c r="D405" s="384">
        <v>1.7</v>
      </c>
      <c r="E405" s="383">
        <v>1.5000000000000002</v>
      </c>
      <c r="F405" s="383">
        <v>3.2</v>
      </c>
      <c r="G405" s="384">
        <v>1.7</v>
      </c>
      <c r="H405" s="383">
        <v>1.5000000000000002</v>
      </c>
      <c r="I405" s="377" t="s">
        <v>207</v>
      </c>
      <c r="J405" s="377" t="s">
        <v>207</v>
      </c>
      <c r="K405" s="378" t="s">
        <v>207</v>
      </c>
    </row>
    <row r="406" spans="2:11" ht="16">
      <c r="B406" s="381" t="s">
        <v>522</v>
      </c>
      <c r="C406" s="383">
        <v>0.5</v>
      </c>
      <c r="D406" s="384">
        <v>0.2</v>
      </c>
      <c r="E406" s="383">
        <v>0.3</v>
      </c>
      <c r="F406" s="383">
        <v>0.5</v>
      </c>
      <c r="G406" s="384">
        <v>0.2</v>
      </c>
      <c r="H406" s="383">
        <v>0.3</v>
      </c>
      <c r="I406" s="377" t="s">
        <v>207</v>
      </c>
      <c r="J406" s="377" t="s">
        <v>207</v>
      </c>
      <c r="K406" s="378" t="s">
        <v>207</v>
      </c>
    </row>
    <row r="407" spans="2:11" ht="16">
      <c r="B407" s="381" t="s">
        <v>523</v>
      </c>
      <c r="C407" s="383">
        <v>4.5</v>
      </c>
      <c r="D407" s="384">
        <v>2.2999999999999998</v>
      </c>
      <c r="E407" s="383">
        <v>2.2000000000000002</v>
      </c>
      <c r="F407" s="383">
        <v>4.5</v>
      </c>
      <c r="G407" s="384">
        <v>2.2999999999999998</v>
      </c>
      <c r="H407" s="383">
        <v>2.2000000000000002</v>
      </c>
      <c r="I407" s="377" t="s">
        <v>207</v>
      </c>
      <c r="J407" s="377" t="s">
        <v>207</v>
      </c>
      <c r="K407" s="378" t="s">
        <v>207</v>
      </c>
    </row>
    <row r="408" spans="2:11" ht="16">
      <c r="B408" s="381" t="s">
        <v>524</v>
      </c>
      <c r="C408" s="383">
        <v>1.9</v>
      </c>
      <c r="D408" s="384">
        <v>1</v>
      </c>
      <c r="E408" s="383">
        <v>0.89999999999999991</v>
      </c>
      <c r="F408" s="383">
        <v>1.9</v>
      </c>
      <c r="G408" s="384">
        <v>1</v>
      </c>
      <c r="H408" s="383">
        <v>0.89999999999999991</v>
      </c>
      <c r="I408" s="377" t="s">
        <v>207</v>
      </c>
      <c r="J408" s="377" t="s">
        <v>207</v>
      </c>
      <c r="K408" s="378" t="s">
        <v>207</v>
      </c>
    </row>
    <row r="409" spans="2:11" ht="16">
      <c r="B409" s="381" t="s">
        <v>525</v>
      </c>
      <c r="C409" s="383">
        <v>2</v>
      </c>
      <c r="D409" s="384">
        <v>1</v>
      </c>
      <c r="E409" s="383">
        <v>1</v>
      </c>
      <c r="F409" s="383">
        <v>2</v>
      </c>
      <c r="G409" s="384">
        <v>1</v>
      </c>
      <c r="H409" s="383">
        <v>1</v>
      </c>
      <c r="I409" s="377" t="s">
        <v>207</v>
      </c>
      <c r="J409" s="377" t="s">
        <v>207</v>
      </c>
      <c r="K409" s="378" t="s">
        <v>207</v>
      </c>
    </row>
    <row r="410" spans="2:11" ht="16">
      <c r="B410" s="381" t="s">
        <v>526</v>
      </c>
      <c r="C410" s="383">
        <v>1.7</v>
      </c>
      <c r="D410" s="384">
        <v>0.9</v>
      </c>
      <c r="E410" s="383">
        <v>0.79999999999999993</v>
      </c>
      <c r="F410" s="383">
        <v>1.7</v>
      </c>
      <c r="G410" s="384">
        <v>0.9</v>
      </c>
      <c r="H410" s="383">
        <v>0.79999999999999993</v>
      </c>
      <c r="I410" s="377" t="s">
        <v>207</v>
      </c>
      <c r="J410" s="377" t="s">
        <v>207</v>
      </c>
      <c r="K410" s="378" t="s">
        <v>207</v>
      </c>
    </row>
    <row r="411" spans="2:11" ht="16">
      <c r="B411" s="381"/>
      <c r="C411" s="405"/>
      <c r="D411" s="405"/>
      <c r="E411" s="405"/>
      <c r="F411" s="405"/>
      <c r="G411" s="405"/>
      <c r="H411" s="405"/>
      <c r="I411" s="405"/>
      <c r="J411" s="405"/>
      <c r="K411" s="406"/>
    </row>
    <row r="412" spans="2:11" ht="16">
      <c r="B412" s="373" t="s">
        <v>527</v>
      </c>
      <c r="C412" s="382">
        <v>59.3</v>
      </c>
      <c r="D412" s="382">
        <v>30.2</v>
      </c>
      <c r="E412" s="382">
        <v>29.099999999999998</v>
      </c>
      <c r="F412" s="382">
        <v>25.3</v>
      </c>
      <c r="G412" s="382">
        <v>13</v>
      </c>
      <c r="H412" s="382">
        <v>12.3</v>
      </c>
      <c r="I412" s="382">
        <v>34</v>
      </c>
      <c r="J412" s="382">
        <v>17.2</v>
      </c>
      <c r="K412" s="389">
        <v>16.8</v>
      </c>
    </row>
    <row r="413" spans="2:11" ht="16">
      <c r="B413" s="381" t="s">
        <v>528</v>
      </c>
      <c r="C413" s="383">
        <v>25.3</v>
      </c>
      <c r="D413" s="384">
        <v>13</v>
      </c>
      <c r="E413" s="383">
        <v>12.3</v>
      </c>
      <c r="F413" s="383">
        <v>25.3</v>
      </c>
      <c r="G413" s="384">
        <v>13</v>
      </c>
      <c r="H413" s="383">
        <v>12.3</v>
      </c>
      <c r="I413" s="377" t="s">
        <v>207</v>
      </c>
      <c r="J413" s="377" t="s">
        <v>207</v>
      </c>
      <c r="K413" s="378" t="s">
        <v>207</v>
      </c>
    </row>
    <row r="414" spans="2:11" ht="16">
      <c r="B414" s="381"/>
      <c r="C414" s="393"/>
      <c r="D414" s="393"/>
      <c r="E414" s="393"/>
      <c r="F414" s="393"/>
      <c r="G414" s="393"/>
      <c r="H414" s="393"/>
      <c r="I414" s="393"/>
      <c r="J414" s="393"/>
      <c r="K414" s="394"/>
    </row>
    <row r="415" spans="2:11" ht="16">
      <c r="B415" s="373" t="s">
        <v>890</v>
      </c>
      <c r="C415" s="382">
        <v>42.2</v>
      </c>
      <c r="D415" s="382">
        <v>21</v>
      </c>
      <c r="E415" s="382">
        <v>21.200000000000003</v>
      </c>
      <c r="F415" s="382">
        <v>27</v>
      </c>
      <c r="G415" s="382">
        <v>13.4</v>
      </c>
      <c r="H415" s="382">
        <v>13.6</v>
      </c>
      <c r="I415" s="382">
        <v>15.200000000000003</v>
      </c>
      <c r="J415" s="382">
        <v>7.6</v>
      </c>
      <c r="K415" s="389">
        <v>7.6000000000000032</v>
      </c>
    </row>
    <row r="416" spans="2:11" ht="16">
      <c r="B416" s="381" t="s">
        <v>891</v>
      </c>
      <c r="C416" s="383">
        <v>25.9</v>
      </c>
      <c r="D416" s="384">
        <v>12.8</v>
      </c>
      <c r="E416" s="383">
        <v>13.099999999999998</v>
      </c>
      <c r="F416" s="383">
        <v>25.9</v>
      </c>
      <c r="G416" s="384">
        <v>12.8</v>
      </c>
      <c r="H416" s="383">
        <v>13.099999999999998</v>
      </c>
      <c r="I416" s="377" t="s">
        <v>207</v>
      </c>
      <c r="J416" s="377" t="s">
        <v>207</v>
      </c>
      <c r="K416" s="378" t="s">
        <v>207</v>
      </c>
    </row>
    <row r="417" spans="1:11" ht="16">
      <c r="B417" s="381" t="s">
        <v>529</v>
      </c>
      <c r="C417" s="383">
        <v>1.1000000000000001</v>
      </c>
      <c r="D417" s="384">
        <v>0.6</v>
      </c>
      <c r="E417" s="383">
        <v>0.50000000000000011</v>
      </c>
      <c r="F417" s="383">
        <v>1.1000000000000001</v>
      </c>
      <c r="G417" s="384">
        <v>0.6</v>
      </c>
      <c r="H417" s="383">
        <v>0.50000000000000011</v>
      </c>
      <c r="I417" s="377" t="s">
        <v>207</v>
      </c>
      <c r="J417" s="377" t="s">
        <v>207</v>
      </c>
      <c r="K417" s="378" t="s">
        <v>207</v>
      </c>
    </row>
    <row r="418" spans="1:11" ht="16">
      <c r="B418" s="381"/>
      <c r="C418" s="386"/>
      <c r="D418" s="386"/>
      <c r="E418" s="386"/>
      <c r="F418" s="386"/>
      <c r="G418" s="386"/>
      <c r="H418" s="386"/>
      <c r="I418" s="386"/>
      <c r="J418" s="386"/>
      <c r="K418" s="395"/>
    </row>
    <row r="419" spans="1:11" ht="16">
      <c r="A419" t="s">
        <v>829</v>
      </c>
      <c r="B419" s="373" t="s">
        <v>530</v>
      </c>
      <c r="C419" s="382">
        <v>2025.7999999999997</v>
      </c>
      <c r="D419" s="382">
        <v>1013.8</v>
      </c>
      <c r="E419" s="382">
        <v>1011.9999999999998</v>
      </c>
      <c r="F419" s="382">
        <v>755.1</v>
      </c>
      <c r="G419" s="382">
        <v>369.9</v>
      </c>
      <c r="H419" s="382">
        <v>385.20000000000005</v>
      </c>
      <c r="I419" s="382">
        <v>1270.7000000000003</v>
      </c>
      <c r="J419" s="382">
        <v>643.90000000000009</v>
      </c>
      <c r="K419" s="389">
        <v>626.80000000000018</v>
      </c>
    </row>
    <row r="420" spans="1:11" ht="16">
      <c r="B420" s="379" t="s">
        <v>298</v>
      </c>
      <c r="C420" s="383"/>
      <c r="D420" s="383"/>
      <c r="E420" s="383"/>
      <c r="F420" s="383"/>
      <c r="G420" s="383"/>
      <c r="H420" s="383"/>
      <c r="I420" s="383"/>
      <c r="J420" s="383"/>
      <c r="K420" s="390"/>
    </row>
    <row r="421" spans="1:11" ht="16">
      <c r="B421" s="373" t="s">
        <v>531</v>
      </c>
      <c r="C421" s="382">
        <v>120.6</v>
      </c>
      <c r="D421" s="382">
        <v>60.4</v>
      </c>
      <c r="E421" s="382">
        <v>60.199999999999996</v>
      </c>
      <c r="F421" s="382">
        <v>37.1</v>
      </c>
      <c r="G421" s="382">
        <v>18.2</v>
      </c>
      <c r="H421" s="382">
        <v>18.900000000000002</v>
      </c>
      <c r="I421" s="382">
        <v>83.5</v>
      </c>
      <c r="J421" s="382">
        <v>42.2</v>
      </c>
      <c r="K421" s="389">
        <v>41.3</v>
      </c>
    </row>
    <row r="422" spans="1:11" ht="16">
      <c r="B422" s="381" t="s">
        <v>532</v>
      </c>
      <c r="C422" s="383">
        <v>37.1</v>
      </c>
      <c r="D422" s="384">
        <v>18.2</v>
      </c>
      <c r="E422" s="383">
        <v>18.900000000000002</v>
      </c>
      <c r="F422" s="383">
        <v>37.1</v>
      </c>
      <c r="G422" s="384">
        <v>18.2</v>
      </c>
      <c r="H422" s="383">
        <v>18.900000000000002</v>
      </c>
      <c r="I422" s="377" t="s">
        <v>207</v>
      </c>
      <c r="J422" s="377" t="s">
        <v>207</v>
      </c>
      <c r="K422" s="378" t="s">
        <v>207</v>
      </c>
    </row>
    <row r="423" spans="1:11" ht="16">
      <c r="B423" s="381"/>
      <c r="C423" s="393"/>
      <c r="D423" s="393"/>
      <c r="E423" s="393"/>
      <c r="F423" s="393"/>
      <c r="G423" s="393"/>
      <c r="H423" s="393"/>
      <c r="I423" s="393"/>
      <c r="J423" s="393"/>
      <c r="K423" s="394"/>
    </row>
    <row r="424" spans="1:11" ht="16">
      <c r="B424" s="373" t="s">
        <v>533</v>
      </c>
      <c r="C424" s="382">
        <v>98.6</v>
      </c>
      <c r="D424" s="382">
        <v>50.1</v>
      </c>
      <c r="E424" s="382">
        <v>48.499999999999993</v>
      </c>
      <c r="F424" s="382">
        <v>40.6</v>
      </c>
      <c r="G424" s="382">
        <v>20.7</v>
      </c>
      <c r="H424" s="382">
        <v>19.900000000000002</v>
      </c>
      <c r="I424" s="382">
        <v>57.999999999999993</v>
      </c>
      <c r="J424" s="382">
        <v>29.400000000000002</v>
      </c>
      <c r="K424" s="392">
        <v>28.599999999999991</v>
      </c>
    </row>
    <row r="425" spans="1:11" ht="16">
      <c r="B425" s="381" t="s">
        <v>534</v>
      </c>
      <c r="C425" s="383">
        <v>16.7</v>
      </c>
      <c r="D425" s="384">
        <v>8.5</v>
      </c>
      <c r="E425" s="383">
        <v>8.1999999999999993</v>
      </c>
      <c r="F425" s="383">
        <v>16.7</v>
      </c>
      <c r="G425" s="384">
        <v>8.5</v>
      </c>
      <c r="H425" s="383">
        <v>8.1999999999999993</v>
      </c>
      <c r="I425" s="377" t="s">
        <v>207</v>
      </c>
      <c r="J425" s="377" t="s">
        <v>207</v>
      </c>
      <c r="K425" s="378" t="s">
        <v>207</v>
      </c>
    </row>
    <row r="426" spans="1:11" ht="16">
      <c r="B426" s="381" t="s">
        <v>535</v>
      </c>
      <c r="C426" s="383">
        <v>2</v>
      </c>
      <c r="D426" s="384">
        <v>1</v>
      </c>
      <c r="E426" s="383">
        <v>1</v>
      </c>
      <c r="F426" s="383">
        <v>2</v>
      </c>
      <c r="G426" s="384">
        <v>1</v>
      </c>
      <c r="H426" s="383">
        <v>1</v>
      </c>
      <c r="I426" s="377" t="s">
        <v>207</v>
      </c>
      <c r="J426" s="377" t="s">
        <v>207</v>
      </c>
      <c r="K426" s="378" t="s">
        <v>207</v>
      </c>
    </row>
    <row r="427" spans="1:11" ht="16">
      <c r="B427" s="381" t="s">
        <v>536</v>
      </c>
      <c r="C427" s="383">
        <v>1.9</v>
      </c>
      <c r="D427" s="384">
        <v>1</v>
      </c>
      <c r="E427" s="383">
        <v>0.89999999999999991</v>
      </c>
      <c r="F427" s="383">
        <v>1.9</v>
      </c>
      <c r="G427" s="384">
        <v>1</v>
      </c>
      <c r="H427" s="383">
        <v>0.89999999999999991</v>
      </c>
      <c r="I427" s="377" t="s">
        <v>207</v>
      </c>
      <c r="J427" s="377" t="s">
        <v>207</v>
      </c>
      <c r="K427" s="378" t="s">
        <v>207</v>
      </c>
    </row>
    <row r="428" spans="1:11" ht="16">
      <c r="B428" s="381" t="s">
        <v>537</v>
      </c>
      <c r="C428" s="383">
        <v>0.8</v>
      </c>
      <c r="D428" s="384">
        <v>0.4</v>
      </c>
      <c r="E428" s="383">
        <v>0.4</v>
      </c>
      <c r="F428" s="383">
        <v>0.8</v>
      </c>
      <c r="G428" s="384">
        <v>0.4</v>
      </c>
      <c r="H428" s="383">
        <v>0.4</v>
      </c>
      <c r="I428" s="377" t="s">
        <v>207</v>
      </c>
      <c r="J428" s="377" t="s">
        <v>207</v>
      </c>
      <c r="K428" s="378" t="s">
        <v>207</v>
      </c>
    </row>
    <row r="429" spans="1:11" ht="16">
      <c r="B429" s="381" t="s">
        <v>538</v>
      </c>
      <c r="C429" s="383">
        <v>2.4</v>
      </c>
      <c r="D429" s="384">
        <v>1.2</v>
      </c>
      <c r="E429" s="383">
        <v>1.2</v>
      </c>
      <c r="F429" s="383">
        <v>2.4</v>
      </c>
      <c r="G429" s="384">
        <v>1.2</v>
      </c>
      <c r="H429" s="383">
        <v>1.2</v>
      </c>
      <c r="I429" s="377" t="s">
        <v>207</v>
      </c>
      <c r="J429" s="377" t="s">
        <v>207</v>
      </c>
      <c r="K429" s="378" t="s">
        <v>207</v>
      </c>
    </row>
    <row r="430" spans="1:11" ht="16">
      <c r="B430" s="381" t="s">
        <v>539</v>
      </c>
      <c r="C430" s="383">
        <v>2.1</v>
      </c>
      <c r="D430" s="384">
        <v>1</v>
      </c>
      <c r="E430" s="383">
        <v>1.1000000000000001</v>
      </c>
      <c r="F430" s="383">
        <v>2.1</v>
      </c>
      <c r="G430" s="384">
        <v>1</v>
      </c>
      <c r="H430" s="383">
        <v>1.1000000000000001</v>
      </c>
      <c r="I430" s="377" t="s">
        <v>207</v>
      </c>
      <c r="J430" s="377" t="s">
        <v>207</v>
      </c>
      <c r="K430" s="378" t="s">
        <v>207</v>
      </c>
    </row>
    <row r="431" spans="1:11" ht="16">
      <c r="B431" s="381" t="s">
        <v>540</v>
      </c>
      <c r="C431" s="383">
        <v>1</v>
      </c>
      <c r="D431" s="384">
        <v>0.5</v>
      </c>
      <c r="E431" s="383">
        <v>0.5</v>
      </c>
      <c r="F431" s="383">
        <v>1</v>
      </c>
      <c r="G431" s="384">
        <v>0.5</v>
      </c>
      <c r="H431" s="383">
        <v>0.5</v>
      </c>
      <c r="I431" s="377" t="s">
        <v>207</v>
      </c>
      <c r="J431" s="377" t="s">
        <v>207</v>
      </c>
      <c r="K431" s="378" t="s">
        <v>207</v>
      </c>
    </row>
    <row r="432" spans="1:11" ht="16">
      <c r="B432" s="381" t="s">
        <v>541</v>
      </c>
      <c r="C432" s="383">
        <v>0.9</v>
      </c>
      <c r="D432" s="384">
        <v>0.5</v>
      </c>
      <c r="E432" s="383">
        <v>0.4</v>
      </c>
      <c r="F432" s="383">
        <v>0.9</v>
      </c>
      <c r="G432" s="384">
        <v>0.5</v>
      </c>
      <c r="H432" s="383">
        <v>0.4</v>
      </c>
      <c r="I432" s="377" t="s">
        <v>207</v>
      </c>
      <c r="J432" s="377" t="s">
        <v>207</v>
      </c>
      <c r="K432" s="378" t="s">
        <v>207</v>
      </c>
    </row>
    <row r="433" spans="2:11" ht="16">
      <c r="B433" s="381" t="s">
        <v>542</v>
      </c>
      <c r="C433" s="383">
        <v>0.9</v>
      </c>
      <c r="D433" s="384">
        <v>0.5</v>
      </c>
      <c r="E433" s="383">
        <v>0.4</v>
      </c>
      <c r="F433" s="383">
        <v>0.9</v>
      </c>
      <c r="G433" s="384">
        <v>0.5</v>
      </c>
      <c r="H433" s="383">
        <v>0.4</v>
      </c>
      <c r="I433" s="377" t="s">
        <v>207</v>
      </c>
      <c r="J433" s="377" t="s">
        <v>207</v>
      </c>
      <c r="K433" s="378" t="s">
        <v>207</v>
      </c>
    </row>
    <row r="434" spans="2:11" ht="16">
      <c r="B434" s="381" t="s">
        <v>892</v>
      </c>
      <c r="C434" s="383">
        <v>0.2</v>
      </c>
      <c r="D434" s="384">
        <v>0.1</v>
      </c>
      <c r="E434" s="383">
        <v>0.1</v>
      </c>
      <c r="F434" s="383">
        <v>0.2</v>
      </c>
      <c r="G434" s="384">
        <v>0.1</v>
      </c>
      <c r="H434" s="383">
        <v>0.1</v>
      </c>
      <c r="I434" s="377" t="s">
        <v>207</v>
      </c>
      <c r="J434" s="377" t="s">
        <v>207</v>
      </c>
      <c r="K434" s="378" t="s">
        <v>207</v>
      </c>
    </row>
    <row r="435" spans="2:11" ht="16">
      <c r="B435" s="381" t="s">
        <v>543</v>
      </c>
      <c r="C435" s="383">
        <v>1.9</v>
      </c>
      <c r="D435" s="384">
        <v>1</v>
      </c>
      <c r="E435" s="383">
        <v>0.89999999999999991</v>
      </c>
      <c r="F435" s="383">
        <v>1.9</v>
      </c>
      <c r="G435" s="384">
        <v>1</v>
      </c>
      <c r="H435" s="383">
        <v>0.89999999999999991</v>
      </c>
      <c r="I435" s="377" t="s">
        <v>207</v>
      </c>
      <c r="J435" s="377" t="s">
        <v>207</v>
      </c>
      <c r="K435" s="378" t="s">
        <v>207</v>
      </c>
    </row>
    <row r="436" spans="2:11" ht="16">
      <c r="B436" s="381" t="s">
        <v>544</v>
      </c>
      <c r="C436" s="383">
        <v>0.7</v>
      </c>
      <c r="D436" s="384">
        <v>0.4</v>
      </c>
      <c r="E436" s="383">
        <v>0.29999999999999993</v>
      </c>
      <c r="F436" s="383">
        <v>0.7</v>
      </c>
      <c r="G436" s="384">
        <v>0.4</v>
      </c>
      <c r="H436" s="383">
        <v>0.29999999999999993</v>
      </c>
      <c r="I436" s="377" t="s">
        <v>207</v>
      </c>
      <c r="J436" s="377" t="s">
        <v>207</v>
      </c>
      <c r="K436" s="378" t="s">
        <v>207</v>
      </c>
    </row>
    <row r="437" spans="2:11" ht="16">
      <c r="B437" s="381" t="s">
        <v>545</v>
      </c>
      <c r="C437" s="383">
        <v>2.4</v>
      </c>
      <c r="D437" s="384">
        <v>1.3</v>
      </c>
      <c r="E437" s="383">
        <v>1.0999999999999999</v>
      </c>
      <c r="F437" s="383">
        <v>2.4</v>
      </c>
      <c r="G437" s="384">
        <v>1.3</v>
      </c>
      <c r="H437" s="383">
        <v>1.0999999999999999</v>
      </c>
      <c r="I437" s="377" t="s">
        <v>207</v>
      </c>
      <c r="J437" s="377" t="s">
        <v>207</v>
      </c>
      <c r="K437" s="378" t="s">
        <v>207</v>
      </c>
    </row>
    <row r="438" spans="2:11" ht="16">
      <c r="B438" s="381" t="s">
        <v>546</v>
      </c>
      <c r="C438" s="383">
        <v>1.8</v>
      </c>
      <c r="D438" s="384">
        <v>0.9</v>
      </c>
      <c r="E438" s="383">
        <v>0.9</v>
      </c>
      <c r="F438" s="383">
        <v>1.8</v>
      </c>
      <c r="G438" s="384">
        <v>0.9</v>
      </c>
      <c r="H438" s="383">
        <v>0.9</v>
      </c>
      <c r="I438" s="377" t="s">
        <v>207</v>
      </c>
      <c r="J438" s="377" t="s">
        <v>207</v>
      </c>
      <c r="K438" s="378" t="s">
        <v>207</v>
      </c>
    </row>
    <row r="439" spans="2:11" ht="16">
      <c r="B439" s="381" t="s">
        <v>547</v>
      </c>
      <c r="C439" s="383">
        <v>1.3</v>
      </c>
      <c r="D439" s="384">
        <v>0.6</v>
      </c>
      <c r="E439" s="383">
        <v>0.70000000000000007</v>
      </c>
      <c r="F439" s="383">
        <v>1.3</v>
      </c>
      <c r="G439" s="384">
        <v>0.6</v>
      </c>
      <c r="H439" s="383">
        <v>0.70000000000000007</v>
      </c>
      <c r="I439" s="377" t="s">
        <v>207</v>
      </c>
      <c r="J439" s="377" t="s">
        <v>207</v>
      </c>
      <c r="K439" s="378" t="s">
        <v>207</v>
      </c>
    </row>
    <row r="440" spans="2:11" ht="16">
      <c r="B440" s="381" t="s">
        <v>548</v>
      </c>
      <c r="C440" s="383">
        <v>1.3</v>
      </c>
      <c r="D440" s="384">
        <v>0.6</v>
      </c>
      <c r="E440" s="383">
        <v>0.70000000000000007</v>
      </c>
      <c r="F440" s="383">
        <v>1.3</v>
      </c>
      <c r="G440" s="384">
        <v>0.6</v>
      </c>
      <c r="H440" s="383">
        <v>0.70000000000000007</v>
      </c>
      <c r="I440" s="377" t="s">
        <v>207</v>
      </c>
      <c r="J440" s="377" t="s">
        <v>207</v>
      </c>
      <c r="K440" s="378" t="s">
        <v>207</v>
      </c>
    </row>
    <row r="441" spans="2:11" ht="16">
      <c r="B441" s="381" t="s">
        <v>549</v>
      </c>
      <c r="C441" s="383">
        <v>2.2999999999999998</v>
      </c>
      <c r="D441" s="384">
        <v>1.2</v>
      </c>
      <c r="E441" s="383">
        <v>1.0999999999999999</v>
      </c>
      <c r="F441" s="383">
        <v>2.2999999999999998</v>
      </c>
      <c r="G441" s="384">
        <v>1.2</v>
      </c>
      <c r="H441" s="383">
        <v>1.0999999999999999</v>
      </c>
      <c r="I441" s="377" t="s">
        <v>207</v>
      </c>
      <c r="J441" s="377" t="s">
        <v>207</v>
      </c>
      <c r="K441" s="378" t="s">
        <v>207</v>
      </c>
    </row>
    <row r="442" spans="2:11" ht="16">
      <c r="B442" s="381"/>
      <c r="C442" s="405"/>
      <c r="D442" s="405"/>
      <c r="E442" s="405"/>
      <c r="F442" s="405"/>
      <c r="G442" s="405"/>
      <c r="H442" s="405"/>
      <c r="I442" s="405"/>
      <c r="J442" s="405"/>
      <c r="K442" s="406"/>
    </row>
    <row r="443" spans="2:11" ht="16">
      <c r="B443" s="373" t="s">
        <v>550</v>
      </c>
      <c r="C443" s="382">
        <v>135.5</v>
      </c>
      <c r="D443" s="382">
        <v>70.599999999999994</v>
      </c>
      <c r="E443" s="382">
        <v>64.900000000000006</v>
      </c>
      <c r="F443" s="382">
        <v>50.1</v>
      </c>
      <c r="G443" s="382">
        <v>25.6</v>
      </c>
      <c r="H443" s="382">
        <v>24.5</v>
      </c>
      <c r="I443" s="382">
        <v>85.4</v>
      </c>
      <c r="J443" s="382">
        <v>44.999999999999993</v>
      </c>
      <c r="K443" s="392">
        <v>40.400000000000013</v>
      </c>
    </row>
    <row r="444" spans="2:11" ht="16">
      <c r="B444" s="381" t="s">
        <v>551</v>
      </c>
      <c r="C444" s="383">
        <v>41.2</v>
      </c>
      <c r="D444" s="384">
        <v>21</v>
      </c>
      <c r="E444" s="383">
        <v>20.200000000000003</v>
      </c>
      <c r="F444" s="383">
        <v>41.2</v>
      </c>
      <c r="G444" s="384">
        <v>21</v>
      </c>
      <c r="H444" s="383">
        <v>20.200000000000003</v>
      </c>
      <c r="I444" s="377" t="s">
        <v>207</v>
      </c>
      <c r="J444" s="377" t="s">
        <v>207</v>
      </c>
      <c r="K444" s="378" t="s">
        <v>207</v>
      </c>
    </row>
    <row r="445" spans="2:11" ht="16">
      <c r="B445" s="381" t="s">
        <v>552</v>
      </c>
      <c r="C445" s="383">
        <v>8.9</v>
      </c>
      <c r="D445" s="384">
        <v>4.5999999999999996</v>
      </c>
      <c r="E445" s="383">
        <v>4.3000000000000007</v>
      </c>
      <c r="F445" s="383">
        <v>8.9</v>
      </c>
      <c r="G445" s="384">
        <v>4.5999999999999996</v>
      </c>
      <c r="H445" s="383">
        <v>4.3000000000000007</v>
      </c>
      <c r="I445" s="377" t="s">
        <v>207</v>
      </c>
      <c r="J445" s="377" t="s">
        <v>207</v>
      </c>
      <c r="K445" s="378" t="s">
        <v>207</v>
      </c>
    </row>
    <row r="446" spans="2:11" ht="16">
      <c r="B446" s="381"/>
      <c r="C446" s="393"/>
      <c r="D446" s="393"/>
      <c r="E446" s="393"/>
      <c r="F446" s="393"/>
      <c r="G446" s="393"/>
      <c r="H446" s="393"/>
      <c r="I446" s="393"/>
      <c r="J446" s="393"/>
      <c r="K446" s="394"/>
    </row>
    <row r="447" spans="2:11" ht="16">
      <c r="B447" s="373" t="s">
        <v>553</v>
      </c>
      <c r="C447" s="382">
        <v>156.30000000000001</v>
      </c>
      <c r="D447" s="382">
        <v>79.5</v>
      </c>
      <c r="E447" s="382">
        <v>76.800000000000011</v>
      </c>
      <c r="F447" s="382">
        <v>40</v>
      </c>
      <c r="G447" s="382">
        <v>19.8</v>
      </c>
      <c r="H447" s="382">
        <v>20.2</v>
      </c>
      <c r="I447" s="382">
        <v>116.30000000000001</v>
      </c>
      <c r="J447" s="382">
        <v>59.7</v>
      </c>
      <c r="K447" s="392">
        <v>56.600000000000009</v>
      </c>
    </row>
    <row r="448" spans="2:11" ht="16">
      <c r="B448" s="381" t="s">
        <v>554</v>
      </c>
      <c r="C448" s="383">
        <v>40</v>
      </c>
      <c r="D448" s="384">
        <v>19.8</v>
      </c>
      <c r="E448" s="383">
        <v>20.2</v>
      </c>
      <c r="F448" s="383">
        <v>40</v>
      </c>
      <c r="G448" s="384">
        <v>19.8</v>
      </c>
      <c r="H448" s="383">
        <v>20.2</v>
      </c>
      <c r="I448" s="377" t="s">
        <v>207</v>
      </c>
      <c r="J448" s="377" t="s">
        <v>207</v>
      </c>
      <c r="K448" s="378" t="s">
        <v>207</v>
      </c>
    </row>
    <row r="449" spans="2:11" ht="16">
      <c r="B449" s="381"/>
      <c r="C449" s="410"/>
      <c r="D449" s="410"/>
      <c r="E449" s="410"/>
      <c r="F449" s="410"/>
      <c r="G449" s="410"/>
      <c r="H449" s="410"/>
      <c r="I449" s="410"/>
      <c r="J449" s="410"/>
      <c r="K449" s="411"/>
    </row>
    <row r="450" spans="2:11" ht="16">
      <c r="B450" s="373" t="s">
        <v>555</v>
      </c>
      <c r="C450" s="382">
        <v>88</v>
      </c>
      <c r="D450" s="382">
        <v>43.6</v>
      </c>
      <c r="E450" s="382">
        <v>44.4</v>
      </c>
      <c r="F450" s="382">
        <v>41</v>
      </c>
      <c r="G450" s="382">
        <v>20.3</v>
      </c>
      <c r="H450" s="382">
        <v>20.7</v>
      </c>
      <c r="I450" s="382">
        <v>47</v>
      </c>
      <c r="J450" s="382">
        <v>23.3</v>
      </c>
      <c r="K450" s="392">
        <v>23.7</v>
      </c>
    </row>
    <row r="451" spans="2:11" ht="16">
      <c r="B451" s="381" t="s">
        <v>556</v>
      </c>
      <c r="C451" s="383">
        <v>21.9</v>
      </c>
      <c r="D451" s="384">
        <v>10.9</v>
      </c>
      <c r="E451" s="383">
        <v>10.999999999999998</v>
      </c>
      <c r="F451" s="383">
        <v>21.9</v>
      </c>
      <c r="G451" s="384">
        <v>10.9</v>
      </c>
      <c r="H451" s="383">
        <v>10.999999999999998</v>
      </c>
      <c r="I451" s="377" t="s">
        <v>207</v>
      </c>
      <c r="J451" s="377" t="s">
        <v>207</v>
      </c>
      <c r="K451" s="378" t="s">
        <v>207</v>
      </c>
    </row>
    <row r="452" spans="2:11" ht="16">
      <c r="B452" s="381" t="s">
        <v>557</v>
      </c>
      <c r="C452" s="383">
        <v>7.9</v>
      </c>
      <c r="D452" s="384">
        <v>3.9</v>
      </c>
      <c r="E452" s="383">
        <v>4</v>
      </c>
      <c r="F452" s="383">
        <v>7.9</v>
      </c>
      <c r="G452" s="384">
        <v>3.9</v>
      </c>
      <c r="H452" s="383">
        <v>4</v>
      </c>
      <c r="I452" s="377" t="s">
        <v>207</v>
      </c>
      <c r="J452" s="377" t="s">
        <v>207</v>
      </c>
      <c r="K452" s="378" t="s">
        <v>207</v>
      </c>
    </row>
    <row r="453" spans="2:11" ht="16">
      <c r="B453" s="381" t="s">
        <v>558</v>
      </c>
      <c r="C453" s="383">
        <v>6.9</v>
      </c>
      <c r="D453" s="384">
        <v>3.4</v>
      </c>
      <c r="E453" s="383">
        <v>3.5000000000000004</v>
      </c>
      <c r="F453" s="383">
        <v>6.9</v>
      </c>
      <c r="G453" s="384">
        <v>3.4</v>
      </c>
      <c r="H453" s="383">
        <v>3.5000000000000004</v>
      </c>
      <c r="I453" s="377" t="s">
        <v>207</v>
      </c>
      <c r="J453" s="377" t="s">
        <v>207</v>
      </c>
      <c r="K453" s="378" t="s">
        <v>207</v>
      </c>
    </row>
    <row r="454" spans="2:11" ht="16">
      <c r="B454" s="381" t="s">
        <v>559</v>
      </c>
      <c r="C454" s="383">
        <v>4.3</v>
      </c>
      <c r="D454" s="384">
        <v>2.1</v>
      </c>
      <c r="E454" s="383">
        <v>2.1999999999999997</v>
      </c>
      <c r="F454" s="383">
        <v>4.3</v>
      </c>
      <c r="G454" s="384">
        <v>2.1</v>
      </c>
      <c r="H454" s="383">
        <v>2.1999999999999997</v>
      </c>
      <c r="I454" s="377" t="s">
        <v>207</v>
      </c>
      <c r="J454" s="377" t="s">
        <v>207</v>
      </c>
      <c r="K454" s="378" t="s">
        <v>207</v>
      </c>
    </row>
    <row r="455" spans="2:11" ht="16">
      <c r="B455" s="381"/>
      <c r="C455" s="386"/>
      <c r="D455" s="386"/>
      <c r="E455" s="386"/>
      <c r="F455" s="386"/>
      <c r="G455" s="386"/>
      <c r="H455" s="386"/>
      <c r="I455" s="386"/>
      <c r="J455" s="386"/>
      <c r="K455" s="395"/>
    </row>
    <row r="456" spans="2:11" ht="16">
      <c r="B456" s="373" t="s">
        <v>560</v>
      </c>
      <c r="C456" s="382">
        <v>103.8</v>
      </c>
      <c r="D456" s="382">
        <v>52.4</v>
      </c>
      <c r="E456" s="382">
        <v>51.4</v>
      </c>
      <c r="F456" s="382">
        <v>23.1</v>
      </c>
      <c r="G456" s="382">
        <v>11.6</v>
      </c>
      <c r="H456" s="382">
        <v>11.500000000000002</v>
      </c>
      <c r="I456" s="382">
        <v>80.699999999999989</v>
      </c>
      <c r="J456" s="382">
        <v>40.799999999999997</v>
      </c>
      <c r="K456" s="392">
        <v>39.899999999999991</v>
      </c>
    </row>
    <row r="457" spans="2:11" ht="16">
      <c r="B457" s="381" t="s">
        <v>561</v>
      </c>
      <c r="C457" s="383">
        <v>23.1</v>
      </c>
      <c r="D457" s="384">
        <v>11.6</v>
      </c>
      <c r="E457" s="383">
        <v>11.500000000000002</v>
      </c>
      <c r="F457" s="383">
        <v>23.1</v>
      </c>
      <c r="G457" s="384">
        <v>11.6</v>
      </c>
      <c r="H457" s="383">
        <v>11.500000000000002</v>
      </c>
      <c r="I457" s="377" t="s">
        <v>207</v>
      </c>
      <c r="J457" s="377" t="s">
        <v>207</v>
      </c>
      <c r="K457" s="378" t="s">
        <v>207</v>
      </c>
    </row>
    <row r="458" spans="2:11" ht="16">
      <c r="B458" s="381"/>
      <c r="C458" s="393"/>
      <c r="D458" s="393"/>
      <c r="E458" s="393"/>
      <c r="F458" s="393"/>
      <c r="G458" s="393"/>
      <c r="H458" s="393"/>
      <c r="I458" s="393"/>
      <c r="J458" s="393"/>
      <c r="K458" s="394"/>
    </row>
    <row r="459" spans="2:11" ht="16">
      <c r="B459" s="373" t="s">
        <v>562</v>
      </c>
      <c r="C459" s="382">
        <v>138.6</v>
      </c>
      <c r="D459" s="382">
        <v>69.3</v>
      </c>
      <c r="E459" s="382">
        <v>69.3</v>
      </c>
      <c r="F459" s="382">
        <v>43.9</v>
      </c>
      <c r="G459" s="382">
        <v>21.3</v>
      </c>
      <c r="H459" s="400">
        <v>22.599999999999998</v>
      </c>
      <c r="I459" s="382">
        <v>94.699999999999989</v>
      </c>
      <c r="J459" s="382">
        <v>48</v>
      </c>
      <c r="K459" s="392">
        <v>46.699999999999989</v>
      </c>
    </row>
    <row r="460" spans="2:11" ht="16">
      <c r="B460" s="381" t="s">
        <v>563</v>
      </c>
      <c r="C460" s="383">
        <v>38.700000000000003</v>
      </c>
      <c r="D460" s="384">
        <v>18.7</v>
      </c>
      <c r="E460" s="383">
        <v>20.000000000000004</v>
      </c>
      <c r="F460" s="383">
        <v>38.700000000000003</v>
      </c>
      <c r="G460" s="384">
        <v>18.7</v>
      </c>
      <c r="H460" s="383">
        <v>20.000000000000004</v>
      </c>
      <c r="I460" s="377" t="s">
        <v>207</v>
      </c>
      <c r="J460" s="377" t="s">
        <v>207</v>
      </c>
      <c r="K460" s="378" t="s">
        <v>207</v>
      </c>
    </row>
    <row r="461" spans="2:11" ht="16">
      <c r="B461" s="381" t="s">
        <v>564</v>
      </c>
      <c r="C461" s="383">
        <v>4.9000000000000004</v>
      </c>
      <c r="D461" s="384">
        <v>2.4</v>
      </c>
      <c r="E461" s="383">
        <v>2.5000000000000004</v>
      </c>
      <c r="F461" s="383">
        <v>4.9000000000000004</v>
      </c>
      <c r="G461" s="384">
        <v>2.4</v>
      </c>
      <c r="H461" s="383">
        <v>2.5000000000000004</v>
      </c>
      <c r="I461" s="377" t="s">
        <v>207</v>
      </c>
      <c r="J461" s="377" t="s">
        <v>207</v>
      </c>
      <c r="K461" s="378" t="s">
        <v>207</v>
      </c>
    </row>
    <row r="462" spans="2:11" ht="16">
      <c r="B462" s="381" t="s">
        <v>565</v>
      </c>
      <c r="C462" s="383">
        <v>0.3</v>
      </c>
      <c r="D462" s="384">
        <v>0.2</v>
      </c>
      <c r="E462" s="383">
        <v>9.9999999999999978E-2</v>
      </c>
      <c r="F462" s="383">
        <v>0.3</v>
      </c>
      <c r="G462" s="384">
        <v>0.2</v>
      </c>
      <c r="H462" s="383">
        <v>9.9999999999999978E-2</v>
      </c>
      <c r="I462" s="377" t="s">
        <v>207</v>
      </c>
      <c r="J462" s="377" t="s">
        <v>207</v>
      </c>
      <c r="K462" s="378" t="s">
        <v>207</v>
      </c>
    </row>
    <row r="463" spans="2:11" ht="16">
      <c r="B463" s="381"/>
      <c r="C463" s="405"/>
      <c r="D463" s="405"/>
      <c r="E463" s="405"/>
      <c r="F463" s="405"/>
      <c r="G463" s="405"/>
      <c r="H463" s="405"/>
      <c r="I463" s="405"/>
      <c r="J463" s="405"/>
      <c r="K463" s="406"/>
    </row>
    <row r="464" spans="2:11" ht="16">
      <c r="B464" s="373" t="s">
        <v>566</v>
      </c>
      <c r="C464" s="382">
        <v>128.5</v>
      </c>
      <c r="D464" s="382">
        <v>61.3</v>
      </c>
      <c r="E464" s="382">
        <v>67.2</v>
      </c>
      <c r="F464" s="382">
        <v>69.400000000000006</v>
      </c>
      <c r="G464" s="382">
        <v>32</v>
      </c>
      <c r="H464" s="412">
        <v>37.400000000000006</v>
      </c>
      <c r="I464" s="382">
        <v>59.099999999999994</v>
      </c>
      <c r="J464" s="382">
        <v>29.299999999999997</v>
      </c>
      <c r="K464" s="413">
        <v>29.799999999999997</v>
      </c>
    </row>
    <row r="465" spans="2:11" ht="16">
      <c r="B465" s="381" t="s">
        <v>567</v>
      </c>
      <c r="C465" s="383">
        <v>61.7</v>
      </c>
      <c r="D465" s="384">
        <v>28.2</v>
      </c>
      <c r="E465" s="383">
        <v>33.5</v>
      </c>
      <c r="F465" s="383">
        <v>61.7</v>
      </c>
      <c r="G465" s="384">
        <v>28.2</v>
      </c>
      <c r="H465" s="383">
        <v>33.5</v>
      </c>
      <c r="I465" s="377" t="s">
        <v>207</v>
      </c>
      <c r="J465" s="377" t="s">
        <v>207</v>
      </c>
      <c r="K465" s="378" t="s">
        <v>207</v>
      </c>
    </row>
    <row r="466" spans="2:11" ht="16">
      <c r="B466" s="381" t="s">
        <v>568</v>
      </c>
      <c r="C466" s="383">
        <v>0.5</v>
      </c>
      <c r="D466" s="384">
        <v>0.2</v>
      </c>
      <c r="E466" s="383">
        <v>0.3</v>
      </c>
      <c r="F466" s="383">
        <v>0.5</v>
      </c>
      <c r="G466" s="384">
        <v>0.2</v>
      </c>
      <c r="H466" s="383">
        <v>0.3</v>
      </c>
      <c r="I466" s="377" t="s">
        <v>207</v>
      </c>
      <c r="J466" s="377" t="s">
        <v>207</v>
      </c>
      <c r="K466" s="378" t="s">
        <v>207</v>
      </c>
    </row>
    <row r="467" spans="2:11" ht="16">
      <c r="B467" s="381" t="s">
        <v>569</v>
      </c>
      <c r="C467" s="383">
        <v>0.3</v>
      </c>
      <c r="D467" s="384">
        <v>0.2</v>
      </c>
      <c r="E467" s="383">
        <v>9.9999999999999978E-2</v>
      </c>
      <c r="F467" s="383">
        <v>0.3</v>
      </c>
      <c r="G467" s="384">
        <v>0.2</v>
      </c>
      <c r="H467" s="383">
        <v>9.9999999999999978E-2</v>
      </c>
      <c r="I467" s="377" t="s">
        <v>207</v>
      </c>
      <c r="J467" s="377" t="s">
        <v>207</v>
      </c>
      <c r="K467" s="378" t="s">
        <v>207</v>
      </c>
    </row>
    <row r="468" spans="2:11" ht="16">
      <c r="B468" s="381" t="s">
        <v>570</v>
      </c>
      <c r="C468" s="383">
        <v>6.9</v>
      </c>
      <c r="D468" s="384">
        <v>3.4</v>
      </c>
      <c r="E468" s="383">
        <v>3.5000000000000004</v>
      </c>
      <c r="F468" s="383">
        <v>6.9</v>
      </c>
      <c r="G468" s="384">
        <v>3.4</v>
      </c>
      <c r="H468" s="383">
        <v>3.5000000000000004</v>
      </c>
      <c r="I468" s="377" t="s">
        <v>207</v>
      </c>
      <c r="J468" s="377" t="s">
        <v>207</v>
      </c>
      <c r="K468" s="378" t="s">
        <v>207</v>
      </c>
    </row>
    <row r="469" spans="2:11" ht="16">
      <c r="B469" s="381"/>
      <c r="C469" s="393"/>
      <c r="D469" s="393"/>
      <c r="E469" s="393"/>
      <c r="F469" s="393"/>
      <c r="G469" s="393"/>
      <c r="H469" s="393"/>
      <c r="I469" s="393"/>
      <c r="J469" s="393"/>
      <c r="K469" s="394"/>
    </row>
    <row r="470" spans="2:11" ht="16">
      <c r="B470" s="373" t="s">
        <v>571</v>
      </c>
      <c r="C470" s="382">
        <v>105.4</v>
      </c>
      <c r="D470" s="382">
        <v>50.7</v>
      </c>
      <c r="E470" s="382">
        <v>54.7</v>
      </c>
      <c r="F470" s="382">
        <v>105.4</v>
      </c>
      <c r="G470" s="382">
        <v>50.7</v>
      </c>
      <c r="H470" s="382">
        <v>54.7</v>
      </c>
      <c r="I470" s="377" t="s">
        <v>207</v>
      </c>
      <c r="J470" s="377" t="s">
        <v>207</v>
      </c>
      <c r="K470" s="378" t="s">
        <v>207</v>
      </c>
    </row>
    <row r="471" spans="2:11" ht="16">
      <c r="B471" s="373"/>
      <c r="C471" s="410"/>
      <c r="D471" s="410"/>
      <c r="E471" s="410"/>
      <c r="F471" s="410"/>
      <c r="G471" s="410"/>
      <c r="H471" s="410"/>
      <c r="I471" s="410"/>
      <c r="J471" s="410"/>
      <c r="K471" s="411"/>
    </row>
    <row r="472" spans="2:11" ht="16">
      <c r="B472" s="373" t="s">
        <v>572</v>
      </c>
      <c r="C472" s="382">
        <v>109.9</v>
      </c>
      <c r="D472" s="382">
        <v>54.8</v>
      </c>
      <c r="E472" s="382">
        <v>55.100000000000009</v>
      </c>
      <c r="F472" s="382">
        <v>36.4</v>
      </c>
      <c r="G472" s="391">
        <v>17.8</v>
      </c>
      <c r="H472" s="382">
        <v>18.599999999999998</v>
      </c>
      <c r="I472" s="382">
        <v>73.5</v>
      </c>
      <c r="J472" s="382">
        <v>37</v>
      </c>
      <c r="K472" s="389">
        <v>36.5</v>
      </c>
    </row>
    <row r="473" spans="2:11" ht="16">
      <c r="B473" s="381" t="s">
        <v>573</v>
      </c>
      <c r="C473" s="383">
        <v>32.299999999999997</v>
      </c>
      <c r="D473" s="384">
        <v>15.7</v>
      </c>
      <c r="E473" s="383">
        <v>16.599999999999998</v>
      </c>
      <c r="F473" s="383">
        <v>32.299999999999997</v>
      </c>
      <c r="G473" s="384">
        <v>15.7</v>
      </c>
      <c r="H473" s="383">
        <v>16.599999999999998</v>
      </c>
      <c r="I473" s="377" t="s">
        <v>207</v>
      </c>
      <c r="J473" s="377" t="s">
        <v>207</v>
      </c>
      <c r="K473" s="378" t="s">
        <v>207</v>
      </c>
    </row>
    <row r="474" spans="2:11" ht="16">
      <c r="B474" s="381" t="s">
        <v>574</v>
      </c>
      <c r="C474" s="383">
        <v>0.3</v>
      </c>
      <c r="D474" s="384">
        <v>0.2</v>
      </c>
      <c r="E474" s="383">
        <v>9.9999999999999978E-2</v>
      </c>
      <c r="F474" s="383">
        <v>0.3</v>
      </c>
      <c r="G474" s="384">
        <v>0.2</v>
      </c>
      <c r="H474" s="383">
        <v>9.9999999999999978E-2</v>
      </c>
      <c r="I474" s="377" t="s">
        <v>207</v>
      </c>
      <c r="J474" s="377" t="s">
        <v>207</v>
      </c>
      <c r="K474" s="378" t="s">
        <v>207</v>
      </c>
    </row>
    <row r="475" spans="2:11" ht="16">
      <c r="B475" s="381" t="s">
        <v>575</v>
      </c>
      <c r="C475" s="383">
        <v>3.8</v>
      </c>
      <c r="D475" s="384">
        <v>1.9</v>
      </c>
      <c r="E475" s="383">
        <v>1.9</v>
      </c>
      <c r="F475" s="383">
        <v>3.8</v>
      </c>
      <c r="G475" s="384">
        <v>1.9</v>
      </c>
      <c r="H475" s="383">
        <v>1.9</v>
      </c>
      <c r="I475" s="377" t="s">
        <v>207</v>
      </c>
      <c r="J475" s="377" t="s">
        <v>207</v>
      </c>
      <c r="K475" s="378" t="s">
        <v>207</v>
      </c>
    </row>
    <row r="476" spans="2:11" ht="16">
      <c r="B476" s="381"/>
      <c r="C476" s="405"/>
      <c r="D476" s="405"/>
      <c r="E476" s="405"/>
      <c r="F476" s="405"/>
      <c r="G476" s="405"/>
      <c r="H476" s="405"/>
      <c r="I476" s="405"/>
      <c r="J476" s="405"/>
      <c r="K476" s="406"/>
    </row>
    <row r="477" spans="2:11" ht="16">
      <c r="B477" s="373" t="s">
        <v>576</v>
      </c>
      <c r="C477" s="382">
        <v>88.6</v>
      </c>
      <c r="D477" s="382">
        <v>44.2</v>
      </c>
      <c r="E477" s="382">
        <v>44.399999999999991</v>
      </c>
      <c r="F477" s="382">
        <v>18.100000000000001</v>
      </c>
      <c r="G477" s="391">
        <v>8.8000000000000007</v>
      </c>
      <c r="H477" s="382">
        <v>9.3000000000000007</v>
      </c>
      <c r="I477" s="382">
        <v>70.5</v>
      </c>
      <c r="J477" s="382">
        <v>35.400000000000006</v>
      </c>
      <c r="K477" s="389">
        <v>35.099999999999994</v>
      </c>
    </row>
    <row r="478" spans="2:11" ht="16">
      <c r="B478" s="381" t="s">
        <v>577</v>
      </c>
      <c r="C478" s="383">
        <v>18.100000000000001</v>
      </c>
      <c r="D478" s="384">
        <v>8.8000000000000007</v>
      </c>
      <c r="E478" s="383">
        <v>9.3000000000000007</v>
      </c>
      <c r="F478" s="383">
        <v>18.100000000000001</v>
      </c>
      <c r="G478" s="384">
        <v>8.8000000000000007</v>
      </c>
      <c r="H478" s="383">
        <v>9.3000000000000007</v>
      </c>
      <c r="I478" s="377" t="s">
        <v>207</v>
      </c>
      <c r="J478" s="377" t="s">
        <v>207</v>
      </c>
      <c r="K478" s="378" t="s">
        <v>207</v>
      </c>
    </row>
    <row r="479" spans="2:11" ht="16">
      <c r="B479" s="381"/>
      <c r="C479" s="393"/>
      <c r="D479" s="393"/>
      <c r="E479" s="393"/>
      <c r="F479" s="393"/>
      <c r="G479" s="393"/>
      <c r="H479" s="393"/>
      <c r="I479" s="393"/>
      <c r="J479" s="393"/>
      <c r="K479" s="394"/>
    </row>
    <row r="480" spans="2:11" ht="16">
      <c r="B480" s="373" t="s">
        <v>578</v>
      </c>
      <c r="C480" s="382">
        <v>58.8</v>
      </c>
      <c r="D480" s="382">
        <v>29.5</v>
      </c>
      <c r="E480" s="382">
        <v>29.299999999999997</v>
      </c>
      <c r="F480" s="382">
        <v>11.9</v>
      </c>
      <c r="G480" s="391">
        <v>5.9</v>
      </c>
      <c r="H480" s="382">
        <v>6</v>
      </c>
      <c r="I480" s="382">
        <v>46.9</v>
      </c>
      <c r="J480" s="382">
        <v>23.6</v>
      </c>
      <c r="K480" s="389">
        <v>23.299999999999997</v>
      </c>
    </row>
    <row r="481" spans="2:11" ht="16">
      <c r="B481" s="381" t="s">
        <v>579</v>
      </c>
      <c r="C481" s="383">
        <v>10.9</v>
      </c>
      <c r="D481" s="384">
        <v>5.4</v>
      </c>
      <c r="E481" s="383">
        <v>5.5</v>
      </c>
      <c r="F481" s="383">
        <v>10.9</v>
      </c>
      <c r="G481" s="384">
        <v>5.4</v>
      </c>
      <c r="H481" s="383">
        <v>5.5</v>
      </c>
      <c r="I481" s="377" t="s">
        <v>207</v>
      </c>
      <c r="J481" s="377" t="s">
        <v>207</v>
      </c>
      <c r="K481" s="378" t="s">
        <v>207</v>
      </c>
    </row>
    <row r="482" spans="2:11" ht="16">
      <c r="B482" s="381" t="s">
        <v>580</v>
      </c>
      <c r="C482" s="383">
        <v>1</v>
      </c>
      <c r="D482" s="384">
        <v>0.5</v>
      </c>
      <c r="E482" s="383">
        <v>0.5</v>
      </c>
      <c r="F482" s="383">
        <v>1</v>
      </c>
      <c r="G482" s="384">
        <v>0.5</v>
      </c>
      <c r="H482" s="383">
        <v>0.5</v>
      </c>
      <c r="I482" s="377" t="s">
        <v>207</v>
      </c>
      <c r="J482" s="377" t="s">
        <v>207</v>
      </c>
      <c r="K482" s="378" t="s">
        <v>207</v>
      </c>
    </row>
    <row r="483" spans="2:11" ht="16">
      <c r="B483" s="381"/>
      <c r="C483" s="393"/>
      <c r="D483" s="393"/>
      <c r="E483" s="393"/>
      <c r="F483" s="393"/>
      <c r="G483" s="393"/>
      <c r="H483" s="393"/>
      <c r="I483" s="393"/>
      <c r="J483" s="393"/>
      <c r="K483" s="394"/>
    </row>
    <row r="484" spans="2:11" ht="16">
      <c r="B484" s="373" t="s">
        <v>581</v>
      </c>
      <c r="C484" s="382">
        <v>116.7</v>
      </c>
      <c r="D484" s="382">
        <v>58.8</v>
      </c>
      <c r="E484" s="382">
        <v>57.900000000000006</v>
      </c>
      <c r="F484" s="382">
        <v>22.4</v>
      </c>
      <c r="G484" s="391">
        <v>11.2</v>
      </c>
      <c r="H484" s="382">
        <v>11.2</v>
      </c>
      <c r="I484" s="382">
        <v>94.300000000000011</v>
      </c>
      <c r="J484" s="382">
        <v>47.599999999999994</v>
      </c>
      <c r="K484" s="389">
        <v>46.700000000000017</v>
      </c>
    </row>
    <row r="485" spans="2:11" ht="16">
      <c r="B485" s="381" t="s">
        <v>582</v>
      </c>
      <c r="C485" s="383">
        <v>19.100000000000001</v>
      </c>
      <c r="D485" s="384">
        <v>9.5</v>
      </c>
      <c r="E485" s="383">
        <v>9.6000000000000014</v>
      </c>
      <c r="F485" s="383">
        <v>19.100000000000001</v>
      </c>
      <c r="G485" s="384">
        <v>9.5</v>
      </c>
      <c r="H485" s="383">
        <v>9.6000000000000014</v>
      </c>
      <c r="I485" s="377" t="s">
        <v>207</v>
      </c>
      <c r="J485" s="377" t="s">
        <v>207</v>
      </c>
      <c r="K485" s="378" t="s">
        <v>207</v>
      </c>
    </row>
    <row r="486" spans="2:11" ht="16">
      <c r="B486" s="381" t="s">
        <v>583</v>
      </c>
      <c r="C486" s="383">
        <v>1.7</v>
      </c>
      <c r="D486" s="384">
        <v>0.9</v>
      </c>
      <c r="E486" s="383">
        <v>0.79999999999999993</v>
      </c>
      <c r="F486" s="383">
        <v>1.7</v>
      </c>
      <c r="G486" s="384">
        <v>0.9</v>
      </c>
      <c r="H486" s="383">
        <v>0.79999999999999993</v>
      </c>
      <c r="I486" s="377" t="s">
        <v>207</v>
      </c>
      <c r="J486" s="377" t="s">
        <v>207</v>
      </c>
      <c r="K486" s="378" t="s">
        <v>207</v>
      </c>
    </row>
    <row r="487" spans="2:11" ht="16">
      <c r="B487" s="381" t="s">
        <v>584</v>
      </c>
      <c r="C487" s="383">
        <v>1.6</v>
      </c>
      <c r="D487" s="384">
        <v>0.8</v>
      </c>
      <c r="E487" s="383">
        <v>0.8</v>
      </c>
      <c r="F487" s="383">
        <v>1.6</v>
      </c>
      <c r="G487" s="384">
        <v>0.8</v>
      </c>
      <c r="H487" s="383">
        <v>0.8</v>
      </c>
      <c r="I487" s="377" t="s">
        <v>207</v>
      </c>
      <c r="J487" s="377" t="s">
        <v>207</v>
      </c>
      <c r="K487" s="378" t="s">
        <v>207</v>
      </c>
    </row>
    <row r="488" spans="2:11" ht="16">
      <c r="B488" s="381"/>
      <c r="C488" s="405"/>
      <c r="D488" s="405"/>
      <c r="E488" s="405"/>
      <c r="F488" s="405"/>
      <c r="G488" s="405"/>
      <c r="H488" s="405"/>
      <c r="I488" s="405"/>
      <c r="J488" s="405"/>
      <c r="K488" s="406"/>
    </row>
    <row r="489" spans="2:11" ht="16">
      <c r="B489" s="373" t="s">
        <v>585</v>
      </c>
      <c r="C489" s="382">
        <v>129.80000000000001</v>
      </c>
      <c r="D489" s="382">
        <v>65.3</v>
      </c>
      <c r="E489" s="382">
        <v>64.500000000000014</v>
      </c>
      <c r="F489" s="382">
        <v>40.700000000000003</v>
      </c>
      <c r="G489" s="391">
        <v>20.2</v>
      </c>
      <c r="H489" s="382">
        <v>20.500000000000004</v>
      </c>
      <c r="I489" s="382">
        <v>89.100000000000009</v>
      </c>
      <c r="J489" s="382">
        <v>45.099999999999994</v>
      </c>
      <c r="K489" s="389">
        <v>44.000000000000014</v>
      </c>
    </row>
    <row r="490" spans="2:11" ht="16">
      <c r="B490" s="381" t="s">
        <v>586</v>
      </c>
      <c r="C490" s="383">
        <v>35.799999999999997</v>
      </c>
      <c r="D490" s="384">
        <v>17.8</v>
      </c>
      <c r="E490" s="383">
        <v>17.999999999999996</v>
      </c>
      <c r="F490" s="383">
        <v>35.799999999999997</v>
      </c>
      <c r="G490" s="384">
        <v>17.8</v>
      </c>
      <c r="H490" s="383">
        <v>17.999999999999996</v>
      </c>
      <c r="I490" s="377" t="s">
        <v>207</v>
      </c>
      <c r="J490" s="377" t="s">
        <v>207</v>
      </c>
      <c r="K490" s="378" t="s">
        <v>207</v>
      </c>
    </row>
    <row r="491" spans="2:11" ht="16">
      <c r="B491" s="381" t="s">
        <v>587</v>
      </c>
      <c r="C491" s="383">
        <v>4.9000000000000004</v>
      </c>
      <c r="D491" s="384">
        <v>2.4</v>
      </c>
      <c r="E491" s="383">
        <v>2.5000000000000004</v>
      </c>
      <c r="F491" s="383">
        <v>4.9000000000000004</v>
      </c>
      <c r="G491" s="384">
        <v>2.4</v>
      </c>
      <c r="H491" s="383">
        <v>2.5000000000000004</v>
      </c>
      <c r="I491" s="377" t="s">
        <v>207</v>
      </c>
      <c r="J491" s="377" t="s">
        <v>207</v>
      </c>
      <c r="K491" s="378" t="s">
        <v>207</v>
      </c>
    </row>
    <row r="492" spans="2:11" ht="16">
      <c r="B492" s="381" t="s">
        <v>588</v>
      </c>
      <c r="C492" s="383" t="s">
        <v>207</v>
      </c>
      <c r="D492" s="383" t="s">
        <v>207</v>
      </c>
      <c r="E492" s="383" t="s">
        <v>207</v>
      </c>
      <c r="F492" s="383" t="s">
        <v>207</v>
      </c>
      <c r="G492" s="383" t="s">
        <v>207</v>
      </c>
      <c r="H492" s="383" t="s">
        <v>207</v>
      </c>
      <c r="I492" s="377" t="s">
        <v>207</v>
      </c>
      <c r="J492" s="377" t="s">
        <v>207</v>
      </c>
      <c r="K492" s="378" t="s">
        <v>207</v>
      </c>
    </row>
    <row r="493" spans="2:11" ht="16">
      <c r="B493" s="381"/>
      <c r="C493" s="386"/>
      <c r="D493" s="386"/>
      <c r="E493" s="386"/>
      <c r="F493" s="386"/>
      <c r="G493" s="386"/>
      <c r="H493" s="386"/>
      <c r="I493" s="386"/>
      <c r="J493" s="386"/>
      <c r="K493" s="395"/>
    </row>
    <row r="494" spans="2:11" ht="16">
      <c r="B494" s="373" t="s">
        <v>589</v>
      </c>
      <c r="C494" s="382">
        <v>107.8</v>
      </c>
      <c r="D494" s="382">
        <v>54.6</v>
      </c>
      <c r="E494" s="382">
        <v>53.199999999999996</v>
      </c>
      <c r="F494" s="382">
        <v>19.899999999999999</v>
      </c>
      <c r="G494" s="391">
        <v>9.6999999999999993</v>
      </c>
      <c r="H494" s="382">
        <v>10.199999999999999</v>
      </c>
      <c r="I494" s="382">
        <v>87.9</v>
      </c>
      <c r="J494" s="382">
        <v>44.900000000000006</v>
      </c>
      <c r="K494" s="389">
        <v>43</v>
      </c>
    </row>
    <row r="495" spans="2:11" ht="16">
      <c r="B495" s="381" t="s">
        <v>590</v>
      </c>
      <c r="C495" s="383">
        <v>19.899999999999999</v>
      </c>
      <c r="D495" s="384">
        <v>9.6999999999999993</v>
      </c>
      <c r="E495" s="383">
        <v>10.199999999999999</v>
      </c>
      <c r="F495" s="383">
        <v>19.899999999999999</v>
      </c>
      <c r="G495" s="384">
        <v>9.6999999999999993</v>
      </c>
      <c r="H495" s="383">
        <v>10.199999999999999</v>
      </c>
      <c r="I495" s="377" t="s">
        <v>207</v>
      </c>
      <c r="J495" s="377" t="s">
        <v>207</v>
      </c>
      <c r="K495" s="378" t="s">
        <v>207</v>
      </c>
    </row>
    <row r="496" spans="2:11" ht="16">
      <c r="B496" s="381"/>
      <c r="C496" s="393"/>
      <c r="D496" s="393"/>
      <c r="E496" s="393"/>
      <c r="F496" s="393"/>
      <c r="G496" s="393"/>
      <c r="H496" s="393"/>
      <c r="I496" s="393"/>
      <c r="J496" s="393"/>
      <c r="K496" s="394"/>
    </row>
    <row r="497" spans="2:11" ht="16">
      <c r="B497" s="373" t="s">
        <v>591</v>
      </c>
      <c r="C497" s="382">
        <v>176.7</v>
      </c>
      <c r="D497" s="382">
        <v>88.9</v>
      </c>
      <c r="E497" s="382">
        <v>87.799999999999983</v>
      </c>
      <c r="F497" s="382">
        <v>30.8</v>
      </c>
      <c r="G497" s="391">
        <v>15.2</v>
      </c>
      <c r="H497" s="382">
        <v>15.600000000000001</v>
      </c>
      <c r="I497" s="382">
        <v>145.89999999999998</v>
      </c>
      <c r="J497" s="382">
        <v>73.7</v>
      </c>
      <c r="K497" s="389">
        <v>72.199999999999974</v>
      </c>
    </row>
    <row r="498" spans="2:11" ht="16">
      <c r="B498" s="381" t="s">
        <v>592</v>
      </c>
      <c r="C498" s="383">
        <v>30.8</v>
      </c>
      <c r="D498" s="384">
        <v>15.2</v>
      </c>
      <c r="E498" s="383">
        <v>15.600000000000001</v>
      </c>
      <c r="F498" s="383">
        <v>30.8</v>
      </c>
      <c r="G498" s="384">
        <v>15.2</v>
      </c>
      <c r="H498" s="383">
        <v>15.600000000000001</v>
      </c>
      <c r="I498" s="377" t="s">
        <v>207</v>
      </c>
      <c r="J498" s="377" t="s">
        <v>207</v>
      </c>
      <c r="K498" s="378" t="s">
        <v>207</v>
      </c>
    </row>
    <row r="499" spans="2:11" ht="16">
      <c r="B499" s="381"/>
      <c r="C499" s="393"/>
      <c r="D499" s="393"/>
      <c r="E499" s="393"/>
      <c r="F499" s="393"/>
      <c r="G499" s="393"/>
      <c r="H499" s="393"/>
      <c r="I499" s="393"/>
      <c r="J499" s="393"/>
      <c r="K499" s="394"/>
    </row>
    <row r="500" spans="2:11" ht="16">
      <c r="B500" s="373" t="s">
        <v>593</v>
      </c>
      <c r="C500" s="382">
        <v>75.599999999999994</v>
      </c>
      <c r="D500" s="382">
        <v>37.299999999999997</v>
      </c>
      <c r="E500" s="382">
        <v>38.299999999999997</v>
      </c>
      <c r="F500" s="382">
        <v>37.700000000000003</v>
      </c>
      <c r="G500" s="391">
        <v>18.399999999999999</v>
      </c>
      <c r="H500" s="382">
        <v>19.300000000000004</v>
      </c>
      <c r="I500" s="382">
        <v>37.899999999999991</v>
      </c>
      <c r="J500" s="382">
        <v>18.899999999999999</v>
      </c>
      <c r="K500" s="389">
        <v>18.999999999999993</v>
      </c>
    </row>
    <row r="501" spans="2:11" ht="16">
      <c r="B501" s="381" t="s">
        <v>594</v>
      </c>
      <c r="C501" s="383">
        <v>27.2</v>
      </c>
      <c r="D501" s="384">
        <v>13.4</v>
      </c>
      <c r="E501" s="383">
        <v>13.799999999999999</v>
      </c>
      <c r="F501" s="383">
        <v>27.2</v>
      </c>
      <c r="G501" s="384">
        <v>13.4</v>
      </c>
      <c r="H501" s="383">
        <v>13.799999999999999</v>
      </c>
      <c r="I501" s="377" t="s">
        <v>207</v>
      </c>
      <c r="J501" s="377" t="s">
        <v>207</v>
      </c>
      <c r="K501" s="378" t="s">
        <v>207</v>
      </c>
    </row>
    <row r="502" spans="2:11" ht="16">
      <c r="B502" s="381" t="s">
        <v>595</v>
      </c>
      <c r="C502" s="383">
        <v>0</v>
      </c>
      <c r="D502" s="384">
        <v>0</v>
      </c>
      <c r="E502" s="383">
        <v>0</v>
      </c>
      <c r="F502" s="383">
        <v>0</v>
      </c>
      <c r="G502" s="384">
        <v>0</v>
      </c>
      <c r="H502" s="383">
        <v>0</v>
      </c>
      <c r="I502" s="377" t="s">
        <v>207</v>
      </c>
      <c r="J502" s="377" t="s">
        <v>207</v>
      </c>
      <c r="K502" s="378" t="s">
        <v>207</v>
      </c>
    </row>
    <row r="503" spans="2:11" ht="16">
      <c r="B503" s="381" t="s">
        <v>596</v>
      </c>
      <c r="C503" s="383">
        <v>2.5</v>
      </c>
      <c r="D503" s="384">
        <v>1.2</v>
      </c>
      <c r="E503" s="383">
        <v>1.3</v>
      </c>
      <c r="F503" s="383">
        <v>2.5</v>
      </c>
      <c r="G503" s="384">
        <v>1.2</v>
      </c>
      <c r="H503" s="383">
        <v>1.3</v>
      </c>
      <c r="I503" s="377" t="s">
        <v>207</v>
      </c>
      <c r="J503" s="377" t="s">
        <v>207</v>
      </c>
      <c r="K503" s="378" t="s">
        <v>207</v>
      </c>
    </row>
    <row r="504" spans="2:11" ht="16">
      <c r="B504" s="381" t="s">
        <v>316</v>
      </c>
      <c r="C504" s="383">
        <v>1.2</v>
      </c>
      <c r="D504" s="384">
        <v>0.6</v>
      </c>
      <c r="E504" s="383">
        <v>0.6</v>
      </c>
      <c r="F504" s="383">
        <v>1.2</v>
      </c>
      <c r="G504" s="384">
        <v>0.6</v>
      </c>
      <c r="H504" s="383">
        <v>0.6</v>
      </c>
      <c r="I504" s="377" t="s">
        <v>207</v>
      </c>
      <c r="J504" s="377" t="s">
        <v>207</v>
      </c>
      <c r="K504" s="378" t="s">
        <v>207</v>
      </c>
    </row>
    <row r="505" spans="2:11" ht="16">
      <c r="B505" s="381" t="s">
        <v>597</v>
      </c>
      <c r="C505" s="383">
        <v>5.7</v>
      </c>
      <c r="D505" s="384">
        <v>2.6</v>
      </c>
      <c r="E505" s="383">
        <v>3.1</v>
      </c>
      <c r="F505" s="383">
        <v>5.7</v>
      </c>
      <c r="G505" s="384">
        <v>2.6</v>
      </c>
      <c r="H505" s="383">
        <v>3.1</v>
      </c>
      <c r="I505" s="377" t="s">
        <v>207</v>
      </c>
      <c r="J505" s="377" t="s">
        <v>207</v>
      </c>
      <c r="K505" s="378" t="s">
        <v>207</v>
      </c>
    </row>
    <row r="506" spans="2:11" ht="16">
      <c r="B506" s="381" t="s">
        <v>598</v>
      </c>
      <c r="C506" s="383">
        <v>1.1000000000000001</v>
      </c>
      <c r="D506" s="384">
        <v>0.6</v>
      </c>
      <c r="E506" s="383">
        <v>0.50000000000000011</v>
      </c>
      <c r="F506" s="383">
        <v>1.1000000000000001</v>
      </c>
      <c r="G506" s="384">
        <v>0.6</v>
      </c>
      <c r="H506" s="383">
        <v>0.50000000000000011</v>
      </c>
      <c r="I506" s="377" t="s">
        <v>207</v>
      </c>
      <c r="J506" s="377" t="s">
        <v>207</v>
      </c>
      <c r="K506" s="378" t="s">
        <v>207</v>
      </c>
    </row>
    <row r="507" spans="2:11" ht="16">
      <c r="B507" s="381"/>
      <c r="C507" s="405"/>
      <c r="D507" s="405"/>
      <c r="E507" s="405"/>
      <c r="F507" s="405"/>
      <c r="G507" s="405"/>
      <c r="H507" s="405"/>
      <c r="I507" s="405"/>
      <c r="J507" s="405"/>
      <c r="K507" s="406"/>
    </row>
    <row r="508" spans="2:11" ht="16">
      <c r="B508" s="373" t="s">
        <v>599</v>
      </c>
      <c r="C508" s="382">
        <v>86.6</v>
      </c>
      <c r="D508" s="382">
        <v>42.5</v>
      </c>
      <c r="E508" s="382">
        <v>44.099999999999994</v>
      </c>
      <c r="F508" s="382">
        <v>86.6</v>
      </c>
      <c r="G508" s="382">
        <v>42.5</v>
      </c>
      <c r="H508" s="382">
        <v>44.099999999999994</v>
      </c>
      <c r="I508" s="377" t="s">
        <v>207</v>
      </c>
      <c r="J508" s="377" t="s">
        <v>207</v>
      </c>
      <c r="K508" s="378" t="s">
        <v>207</v>
      </c>
    </row>
    <row r="509" spans="2:11" ht="16">
      <c r="B509" s="381" t="s">
        <v>600</v>
      </c>
      <c r="C509" s="383">
        <v>81.599999999999994</v>
      </c>
      <c r="D509" s="384">
        <v>40</v>
      </c>
      <c r="E509" s="383">
        <v>41.599999999999994</v>
      </c>
      <c r="F509" s="383">
        <v>81.599999999999994</v>
      </c>
      <c r="G509" s="384">
        <v>40</v>
      </c>
      <c r="H509" s="383">
        <v>41.599999999999994</v>
      </c>
      <c r="I509" s="377" t="s">
        <v>207</v>
      </c>
      <c r="J509" s="377" t="s">
        <v>207</v>
      </c>
      <c r="K509" s="378" t="s">
        <v>207</v>
      </c>
    </row>
    <row r="510" spans="2:11" ht="16">
      <c r="B510" s="381" t="s">
        <v>601</v>
      </c>
      <c r="C510" s="383">
        <v>2.5</v>
      </c>
      <c r="D510" s="384">
        <v>1.3</v>
      </c>
      <c r="E510" s="383">
        <v>1.2</v>
      </c>
      <c r="F510" s="383">
        <v>2.5</v>
      </c>
      <c r="G510" s="384">
        <v>1.3</v>
      </c>
      <c r="H510" s="383">
        <v>1.2</v>
      </c>
      <c r="I510" s="377" t="s">
        <v>207</v>
      </c>
      <c r="J510" s="377" t="s">
        <v>207</v>
      </c>
      <c r="K510" s="378" t="s">
        <v>207</v>
      </c>
    </row>
    <row r="511" spans="2:11" ht="16">
      <c r="B511" s="381" t="s">
        <v>602</v>
      </c>
      <c r="C511" s="383">
        <v>2.5</v>
      </c>
      <c r="D511" s="384">
        <v>1.2</v>
      </c>
      <c r="E511" s="383">
        <v>1.3</v>
      </c>
      <c r="F511" s="383">
        <v>2.5</v>
      </c>
      <c r="G511" s="384">
        <v>1.2</v>
      </c>
      <c r="H511" s="383">
        <v>1.3</v>
      </c>
      <c r="I511" s="377" t="s">
        <v>207</v>
      </c>
      <c r="J511" s="377" t="s">
        <v>207</v>
      </c>
      <c r="K511" s="378" t="s">
        <v>207</v>
      </c>
    </row>
    <row r="512" spans="2:11" ht="16">
      <c r="B512" s="381"/>
      <c r="C512" s="386"/>
      <c r="D512" s="386"/>
      <c r="E512" s="386"/>
      <c r="F512" s="386"/>
      <c r="G512" s="386"/>
      <c r="H512" s="386"/>
      <c r="I512" s="386"/>
      <c r="J512" s="386"/>
      <c r="K512" s="395"/>
    </row>
    <row r="513" spans="1:11" ht="16">
      <c r="A513" s="106" t="s">
        <v>830</v>
      </c>
      <c r="B513" s="373" t="s">
        <v>603</v>
      </c>
      <c r="C513" s="382">
        <v>682</v>
      </c>
      <c r="D513" s="382">
        <v>333.40000000000003</v>
      </c>
      <c r="E513" s="382">
        <v>348.59999999999997</v>
      </c>
      <c r="F513" s="382">
        <v>220.7</v>
      </c>
      <c r="G513" s="382">
        <v>107.10000000000001</v>
      </c>
      <c r="H513" s="382">
        <v>113.59999999999998</v>
      </c>
      <c r="I513" s="382">
        <v>461.29999999999995</v>
      </c>
      <c r="J513" s="382">
        <v>226.3</v>
      </c>
      <c r="K513" s="389">
        <v>234.99999999999994</v>
      </c>
    </row>
    <row r="514" spans="1:11" ht="16">
      <c r="B514" s="379" t="s">
        <v>298</v>
      </c>
      <c r="C514" s="374"/>
      <c r="D514" s="374"/>
      <c r="E514" s="374"/>
      <c r="F514" s="374"/>
      <c r="G514" s="374"/>
      <c r="H514" s="374"/>
      <c r="I514" s="374"/>
      <c r="J514" s="374"/>
      <c r="K514" s="380"/>
    </row>
    <row r="515" spans="1:11" ht="16">
      <c r="B515" s="373" t="s">
        <v>604</v>
      </c>
      <c r="C515" s="382">
        <v>80.8</v>
      </c>
      <c r="D515" s="382">
        <v>39.700000000000003</v>
      </c>
      <c r="E515" s="382">
        <v>41.099999999999994</v>
      </c>
      <c r="F515" s="382">
        <v>13.3</v>
      </c>
      <c r="G515" s="391">
        <v>6.6</v>
      </c>
      <c r="H515" s="382">
        <v>6.7000000000000011</v>
      </c>
      <c r="I515" s="382">
        <v>67.5</v>
      </c>
      <c r="J515" s="382">
        <v>33.1</v>
      </c>
      <c r="K515" s="389">
        <v>34.4</v>
      </c>
    </row>
    <row r="516" spans="1:11" ht="16">
      <c r="B516" s="381" t="s">
        <v>605</v>
      </c>
      <c r="C516" s="383">
        <v>10.8</v>
      </c>
      <c r="D516" s="384">
        <v>5.3</v>
      </c>
      <c r="E516" s="383">
        <v>5.5000000000000009</v>
      </c>
      <c r="F516" s="383">
        <v>10.8</v>
      </c>
      <c r="G516" s="384">
        <v>5.3</v>
      </c>
      <c r="H516" s="383">
        <v>5.5000000000000009</v>
      </c>
      <c r="I516" s="377" t="s">
        <v>207</v>
      </c>
      <c r="J516" s="377" t="s">
        <v>207</v>
      </c>
      <c r="K516" s="378" t="s">
        <v>207</v>
      </c>
    </row>
    <row r="517" spans="1:11" ht="16">
      <c r="B517" s="381" t="s">
        <v>606</v>
      </c>
      <c r="C517" s="383">
        <v>0.3</v>
      </c>
      <c r="D517" s="384">
        <v>0.2</v>
      </c>
      <c r="E517" s="383">
        <v>9.9999999999999978E-2</v>
      </c>
      <c r="F517" s="383">
        <v>0.3</v>
      </c>
      <c r="G517" s="384">
        <v>0.2</v>
      </c>
      <c r="H517" s="383">
        <v>9.9999999999999978E-2</v>
      </c>
      <c r="I517" s="377" t="s">
        <v>207</v>
      </c>
      <c r="J517" s="377" t="s">
        <v>207</v>
      </c>
      <c r="K517" s="378" t="s">
        <v>207</v>
      </c>
    </row>
    <row r="518" spans="1:11" ht="16">
      <c r="B518" s="381" t="s">
        <v>607</v>
      </c>
      <c r="C518" s="383">
        <v>0.5</v>
      </c>
      <c r="D518" s="384">
        <v>0.3</v>
      </c>
      <c r="E518" s="383">
        <v>0.2</v>
      </c>
      <c r="F518" s="383">
        <v>0.5</v>
      </c>
      <c r="G518" s="384">
        <v>0.3</v>
      </c>
      <c r="H518" s="383">
        <v>0.2</v>
      </c>
      <c r="I518" s="377" t="s">
        <v>207</v>
      </c>
      <c r="J518" s="377" t="s">
        <v>207</v>
      </c>
      <c r="K518" s="378" t="s">
        <v>207</v>
      </c>
    </row>
    <row r="519" spans="1:11" ht="16">
      <c r="B519" s="381" t="s">
        <v>608</v>
      </c>
      <c r="C519" s="383">
        <v>0.4</v>
      </c>
      <c r="D519" s="384">
        <v>0.2</v>
      </c>
      <c r="E519" s="383">
        <v>0.2</v>
      </c>
      <c r="F519" s="383">
        <v>0.4</v>
      </c>
      <c r="G519" s="384">
        <v>0.2</v>
      </c>
      <c r="H519" s="383">
        <v>0.2</v>
      </c>
      <c r="I519" s="377" t="s">
        <v>207</v>
      </c>
      <c r="J519" s="377" t="s">
        <v>207</v>
      </c>
      <c r="K519" s="378" t="s">
        <v>207</v>
      </c>
    </row>
    <row r="520" spans="1:11" ht="16">
      <c r="B520" s="381" t="s">
        <v>609</v>
      </c>
      <c r="C520" s="383">
        <v>1.3</v>
      </c>
      <c r="D520" s="384">
        <v>0.6</v>
      </c>
      <c r="E520" s="383">
        <v>0.70000000000000007</v>
      </c>
      <c r="F520" s="383">
        <v>1.3</v>
      </c>
      <c r="G520" s="384">
        <v>0.6</v>
      </c>
      <c r="H520" s="383">
        <v>0.70000000000000007</v>
      </c>
      <c r="I520" s="377" t="s">
        <v>207</v>
      </c>
      <c r="J520" s="377" t="s">
        <v>207</v>
      </c>
      <c r="K520" s="378" t="s">
        <v>207</v>
      </c>
    </row>
    <row r="521" spans="1:11" ht="16">
      <c r="B521" s="381"/>
      <c r="C521" s="375"/>
      <c r="D521" s="375"/>
      <c r="E521" s="375"/>
      <c r="F521" s="375"/>
      <c r="G521" s="375"/>
      <c r="H521" s="375"/>
      <c r="I521" s="375"/>
      <c r="J521" s="375"/>
      <c r="K521" s="376"/>
    </row>
    <row r="522" spans="1:11" ht="16">
      <c r="B522" s="373" t="s">
        <v>610</v>
      </c>
      <c r="C522" s="382">
        <v>132.4</v>
      </c>
      <c r="D522" s="382">
        <v>64.8</v>
      </c>
      <c r="E522" s="382">
        <v>67.600000000000009</v>
      </c>
      <c r="F522" s="382">
        <v>31.9</v>
      </c>
      <c r="G522" s="391">
        <v>15.4</v>
      </c>
      <c r="H522" s="382">
        <v>16.5</v>
      </c>
      <c r="I522" s="382">
        <v>100.5</v>
      </c>
      <c r="J522" s="382">
        <v>49.4</v>
      </c>
      <c r="K522" s="389">
        <v>51.1</v>
      </c>
    </row>
    <row r="523" spans="1:11" ht="16">
      <c r="B523" s="381" t="s">
        <v>611</v>
      </c>
      <c r="C523" s="383">
        <v>24.3</v>
      </c>
      <c r="D523" s="384">
        <v>11.8</v>
      </c>
      <c r="E523" s="383">
        <v>12.5</v>
      </c>
      <c r="F523" s="383">
        <v>24.3</v>
      </c>
      <c r="G523" s="384">
        <v>11.8</v>
      </c>
      <c r="H523" s="383">
        <v>12.5</v>
      </c>
      <c r="I523" s="377" t="s">
        <v>207</v>
      </c>
      <c r="J523" s="377" t="s">
        <v>207</v>
      </c>
      <c r="K523" s="378" t="s">
        <v>207</v>
      </c>
    </row>
    <row r="524" spans="1:11" ht="16">
      <c r="B524" s="381" t="s">
        <v>612</v>
      </c>
      <c r="C524" s="383">
        <v>7.6</v>
      </c>
      <c r="D524" s="384">
        <v>3.6</v>
      </c>
      <c r="E524" s="383">
        <v>3.9999999999999996</v>
      </c>
      <c r="F524" s="383">
        <v>7.6</v>
      </c>
      <c r="G524" s="384">
        <v>3.6</v>
      </c>
      <c r="H524" s="383">
        <v>3.9999999999999996</v>
      </c>
      <c r="I524" s="377" t="s">
        <v>207</v>
      </c>
      <c r="J524" s="377" t="s">
        <v>207</v>
      </c>
      <c r="K524" s="378" t="s">
        <v>207</v>
      </c>
    </row>
    <row r="525" spans="1:11" ht="16">
      <c r="B525" s="381" t="s">
        <v>613</v>
      </c>
      <c r="C525" s="383" t="s">
        <v>207</v>
      </c>
      <c r="D525" s="383" t="s">
        <v>207</v>
      </c>
      <c r="E525" s="383" t="s">
        <v>207</v>
      </c>
      <c r="F525" s="383" t="s">
        <v>207</v>
      </c>
      <c r="G525" s="383" t="s">
        <v>207</v>
      </c>
      <c r="H525" s="383" t="s">
        <v>207</v>
      </c>
      <c r="I525" s="377" t="s">
        <v>207</v>
      </c>
      <c r="J525" s="377" t="s">
        <v>207</v>
      </c>
      <c r="K525" s="378" t="s">
        <v>207</v>
      </c>
    </row>
    <row r="526" spans="1:11" ht="16">
      <c r="B526" s="381" t="s">
        <v>614</v>
      </c>
      <c r="C526" s="383" t="s">
        <v>207</v>
      </c>
      <c r="D526" s="383" t="s">
        <v>207</v>
      </c>
      <c r="E526" s="383" t="s">
        <v>207</v>
      </c>
      <c r="F526" s="383" t="s">
        <v>207</v>
      </c>
      <c r="G526" s="383" t="s">
        <v>207</v>
      </c>
      <c r="H526" s="383" t="s">
        <v>207</v>
      </c>
      <c r="I526" s="377" t="s">
        <v>207</v>
      </c>
      <c r="J526" s="377" t="s">
        <v>207</v>
      </c>
      <c r="K526" s="378" t="s">
        <v>207</v>
      </c>
    </row>
    <row r="527" spans="1:11" ht="16">
      <c r="B527" s="381" t="s">
        <v>615</v>
      </c>
      <c r="C527" s="383" t="s">
        <v>207</v>
      </c>
      <c r="D527" s="383" t="s">
        <v>207</v>
      </c>
      <c r="E527" s="383" t="s">
        <v>207</v>
      </c>
      <c r="F527" s="383" t="s">
        <v>207</v>
      </c>
      <c r="G527" s="383" t="s">
        <v>207</v>
      </c>
      <c r="H527" s="383" t="s">
        <v>207</v>
      </c>
      <c r="I527" s="377" t="s">
        <v>207</v>
      </c>
      <c r="J527" s="377" t="s">
        <v>207</v>
      </c>
      <c r="K527" s="378" t="s">
        <v>207</v>
      </c>
    </row>
    <row r="528" spans="1:11" ht="16">
      <c r="B528" s="381" t="s">
        <v>616</v>
      </c>
      <c r="C528" s="383" t="s">
        <v>207</v>
      </c>
      <c r="D528" s="383" t="s">
        <v>207</v>
      </c>
      <c r="E528" s="383" t="s">
        <v>207</v>
      </c>
      <c r="F528" s="383" t="s">
        <v>207</v>
      </c>
      <c r="G528" s="383" t="s">
        <v>207</v>
      </c>
      <c r="H528" s="383" t="s">
        <v>207</v>
      </c>
      <c r="I528" s="377" t="s">
        <v>207</v>
      </c>
      <c r="J528" s="377" t="s">
        <v>207</v>
      </c>
      <c r="K528" s="378" t="s">
        <v>207</v>
      </c>
    </row>
    <row r="529" spans="2:11" ht="16">
      <c r="B529" s="381" t="s">
        <v>617</v>
      </c>
      <c r="C529" s="383" t="s">
        <v>207</v>
      </c>
      <c r="D529" s="383" t="s">
        <v>207</v>
      </c>
      <c r="E529" s="383" t="s">
        <v>207</v>
      </c>
      <c r="F529" s="383" t="s">
        <v>207</v>
      </c>
      <c r="G529" s="383" t="s">
        <v>207</v>
      </c>
      <c r="H529" s="383" t="s">
        <v>207</v>
      </c>
      <c r="I529" s="377" t="s">
        <v>207</v>
      </c>
      <c r="J529" s="377" t="s">
        <v>207</v>
      </c>
      <c r="K529" s="378" t="s">
        <v>207</v>
      </c>
    </row>
    <row r="530" spans="2:11" ht="16">
      <c r="B530" s="381" t="s">
        <v>618</v>
      </c>
      <c r="C530" s="383" t="s">
        <v>207</v>
      </c>
      <c r="D530" s="383" t="s">
        <v>207</v>
      </c>
      <c r="E530" s="383" t="s">
        <v>207</v>
      </c>
      <c r="F530" s="383" t="s">
        <v>207</v>
      </c>
      <c r="G530" s="383" t="s">
        <v>207</v>
      </c>
      <c r="H530" s="383" t="s">
        <v>207</v>
      </c>
      <c r="I530" s="377" t="s">
        <v>207</v>
      </c>
      <c r="J530" s="377" t="s">
        <v>207</v>
      </c>
      <c r="K530" s="378" t="s">
        <v>207</v>
      </c>
    </row>
    <row r="531" spans="2:11" ht="16">
      <c r="B531" s="381" t="s">
        <v>619</v>
      </c>
      <c r="C531" s="383" t="s">
        <v>207</v>
      </c>
      <c r="D531" s="383" t="s">
        <v>207</v>
      </c>
      <c r="E531" s="383" t="s">
        <v>207</v>
      </c>
      <c r="F531" s="383" t="s">
        <v>207</v>
      </c>
      <c r="G531" s="383" t="s">
        <v>207</v>
      </c>
      <c r="H531" s="383" t="s">
        <v>207</v>
      </c>
      <c r="I531" s="377" t="s">
        <v>207</v>
      </c>
      <c r="J531" s="377" t="s">
        <v>207</v>
      </c>
      <c r="K531" s="378" t="s">
        <v>207</v>
      </c>
    </row>
    <row r="532" spans="2:11" ht="16">
      <c r="B532" s="381" t="s">
        <v>620</v>
      </c>
      <c r="C532" s="383" t="s">
        <v>207</v>
      </c>
      <c r="D532" s="383" t="s">
        <v>207</v>
      </c>
      <c r="E532" s="383" t="s">
        <v>207</v>
      </c>
      <c r="F532" s="383" t="s">
        <v>207</v>
      </c>
      <c r="G532" s="383" t="s">
        <v>207</v>
      </c>
      <c r="H532" s="383" t="s">
        <v>207</v>
      </c>
      <c r="I532" s="377" t="s">
        <v>207</v>
      </c>
      <c r="J532" s="377" t="s">
        <v>207</v>
      </c>
      <c r="K532" s="378" t="s">
        <v>207</v>
      </c>
    </row>
    <row r="533" spans="2:11" ht="16">
      <c r="B533" s="381" t="s">
        <v>621</v>
      </c>
      <c r="C533" s="383" t="s">
        <v>207</v>
      </c>
      <c r="D533" s="383" t="s">
        <v>207</v>
      </c>
      <c r="E533" s="383" t="s">
        <v>207</v>
      </c>
      <c r="F533" s="383" t="s">
        <v>207</v>
      </c>
      <c r="G533" s="383" t="s">
        <v>207</v>
      </c>
      <c r="H533" s="383" t="s">
        <v>207</v>
      </c>
      <c r="I533" s="377" t="s">
        <v>207</v>
      </c>
      <c r="J533" s="377" t="s">
        <v>207</v>
      </c>
      <c r="K533" s="378" t="s">
        <v>207</v>
      </c>
    </row>
    <row r="534" spans="2:11" ht="16">
      <c r="B534" s="381" t="s">
        <v>622</v>
      </c>
      <c r="C534" s="383" t="s">
        <v>207</v>
      </c>
      <c r="D534" s="383" t="s">
        <v>207</v>
      </c>
      <c r="E534" s="383" t="s">
        <v>207</v>
      </c>
      <c r="F534" s="383" t="s">
        <v>207</v>
      </c>
      <c r="G534" s="383" t="s">
        <v>207</v>
      </c>
      <c r="H534" s="383" t="s">
        <v>207</v>
      </c>
      <c r="I534" s="377" t="s">
        <v>207</v>
      </c>
      <c r="J534" s="377" t="s">
        <v>207</v>
      </c>
      <c r="K534" s="378" t="s">
        <v>207</v>
      </c>
    </row>
    <row r="535" spans="2:11" ht="16">
      <c r="B535" s="381" t="s">
        <v>623</v>
      </c>
      <c r="C535" s="383" t="s">
        <v>207</v>
      </c>
      <c r="D535" s="383" t="s">
        <v>207</v>
      </c>
      <c r="E535" s="383" t="s">
        <v>207</v>
      </c>
      <c r="F535" s="383" t="s">
        <v>207</v>
      </c>
      <c r="G535" s="383" t="s">
        <v>207</v>
      </c>
      <c r="H535" s="383" t="s">
        <v>207</v>
      </c>
      <c r="I535" s="377" t="s">
        <v>207</v>
      </c>
      <c r="J535" s="377" t="s">
        <v>207</v>
      </c>
      <c r="K535" s="378" t="s">
        <v>207</v>
      </c>
    </row>
    <row r="536" spans="2:11" ht="16">
      <c r="B536" s="381" t="s">
        <v>624</v>
      </c>
      <c r="C536" s="383" t="s">
        <v>207</v>
      </c>
      <c r="D536" s="383" t="s">
        <v>207</v>
      </c>
      <c r="E536" s="383" t="s">
        <v>207</v>
      </c>
      <c r="F536" s="383" t="s">
        <v>207</v>
      </c>
      <c r="G536" s="383" t="s">
        <v>207</v>
      </c>
      <c r="H536" s="383" t="s">
        <v>207</v>
      </c>
      <c r="I536" s="377" t="s">
        <v>207</v>
      </c>
      <c r="J536" s="377" t="s">
        <v>207</v>
      </c>
      <c r="K536" s="378" t="s">
        <v>207</v>
      </c>
    </row>
    <row r="537" spans="2:11" ht="16">
      <c r="B537" s="381" t="s">
        <v>625</v>
      </c>
      <c r="C537" s="383" t="s">
        <v>207</v>
      </c>
      <c r="D537" s="383" t="s">
        <v>207</v>
      </c>
      <c r="E537" s="383" t="s">
        <v>207</v>
      </c>
      <c r="F537" s="383" t="s">
        <v>207</v>
      </c>
      <c r="G537" s="383" t="s">
        <v>207</v>
      </c>
      <c r="H537" s="383" t="s">
        <v>207</v>
      </c>
      <c r="I537" s="377" t="s">
        <v>207</v>
      </c>
      <c r="J537" s="377" t="s">
        <v>207</v>
      </c>
      <c r="K537" s="378" t="s">
        <v>207</v>
      </c>
    </row>
    <row r="538" spans="2:11" ht="16">
      <c r="B538" s="381" t="s">
        <v>626</v>
      </c>
      <c r="C538" s="383" t="s">
        <v>207</v>
      </c>
      <c r="D538" s="383" t="s">
        <v>207</v>
      </c>
      <c r="E538" s="383" t="s">
        <v>207</v>
      </c>
      <c r="F538" s="383" t="s">
        <v>207</v>
      </c>
      <c r="G538" s="383" t="s">
        <v>207</v>
      </c>
      <c r="H538" s="383" t="s">
        <v>207</v>
      </c>
      <c r="I538" s="377" t="s">
        <v>207</v>
      </c>
      <c r="J538" s="377" t="s">
        <v>207</v>
      </c>
      <c r="K538" s="378" t="s">
        <v>207</v>
      </c>
    </row>
    <row r="539" spans="2:11" ht="16">
      <c r="B539" s="381" t="s">
        <v>627</v>
      </c>
      <c r="C539" s="383" t="s">
        <v>207</v>
      </c>
      <c r="D539" s="383" t="s">
        <v>207</v>
      </c>
      <c r="E539" s="383" t="s">
        <v>207</v>
      </c>
      <c r="F539" s="383" t="s">
        <v>207</v>
      </c>
      <c r="G539" s="383" t="s">
        <v>207</v>
      </c>
      <c r="H539" s="383" t="s">
        <v>207</v>
      </c>
      <c r="I539" s="377" t="s">
        <v>207</v>
      </c>
      <c r="J539" s="377" t="s">
        <v>207</v>
      </c>
      <c r="K539" s="378" t="s">
        <v>207</v>
      </c>
    </row>
    <row r="540" spans="2:11" ht="16">
      <c r="B540" s="381" t="s">
        <v>628</v>
      </c>
      <c r="C540" s="383" t="s">
        <v>207</v>
      </c>
      <c r="D540" s="383" t="s">
        <v>207</v>
      </c>
      <c r="E540" s="383" t="s">
        <v>207</v>
      </c>
      <c r="F540" s="382" t="s">
        <v>207</v>
      </c>
      <c r="G540" s="382" t="s">
        <v>207</v>
      </c>
      <c r="H540" s="382" t="s">
        <v>207</v>
      </c>
      <c r="I540" s="377" t="s">
        <v>207</v>
      </c>
      <c r="J540" s="377" t="s">
        <v>207</v>
      </c>
      <c r="K540" s="378" t="s">
        <v>207</v>
      </c>
    </row>
    <row r="541" spans="2:11" ht="16">
      <c r="B541" s="381"/>
      <c r="C541" s="405"/>
      <c r="D541" s="405"/>
      <c r="E541" s="405"/>
      <c r="F541" s="405"/>
      <c r="G541" s="405"/>
      <c r="H541" s="405"/>
      <c r="I541" s="405"/>
      <c r="J541" s="405"/>
      <c r="K541" s="406"/>
    </row>
    <row r="542" spans="2:11" ht="16">
      <c r="B542" s="373" t="s">
        <v>629</v>
      </c>
      <c r="C542" s="382">
        <v>202.2</v>
      </c>
      <c r="D542" s="382">
        <v>98.5</v>
      </c>
      <c r="E542" s="382">
        <v>103.69999999999999</v>
      </c>
      <c r="F542" s="382">
        <v>45.5</v>
      </c>
      <c r="G542" s="391">
        <v>22</v>
      </c>
      <c r="H542" s="382">
        <v>23.5</v>
      </c>
      <c r="I542" s="382">
        <v>156.69999999999999</v>
      </c>
      <c r="J542" s="382">
        <v>76.5</v>
      </c>
      <c r="K542" s="389">
        <v>80.199999999999989</v>
      </c>
    </row>
    <row r="543" spans="2:11" ht="16">
      <c r="B543" s="381" t="s">
        <v>630</v>
      </c>
      <c r="C543" s="383">
        <v>42.4</v>
      </c>
      <c r="D543" s="384">
        <v>20.399999999999999</v>
      </c>
      <c r="E543" s="383">
        <v>22</v>
      </c>
      <c r="F543" s="383">
        <v>42.4</v>
      </c>
      <c r="G543" s="384">
        <v>20.399999999999999</v>
      </c>
      <c r="H543" s="383">
        <v>22</v>
      </c>
      <c r="I543" s="377" t="s">
        <v>207</v>
      </c>
      <c r="J543" s="377" t="s">
        <v>207</v>
      </c>
      <c r="K543" s="378" t="s">
        <v>207</v>
      </c>
    </row>
    <row r="544" spans="2:11" ht="16">
      <c r="B544" s="381" t="s">
        <v>631</v>
      </c>
      <c r="C544" s="383">
        <v>3.1</v>
      </c>
      <c r="D544" s="384">
        <v>1.6</v>
      </c>
      <c r="E544" s="383">
        <v>1.5</v>
      </c>
      <c r="F544" s="383">
        <v>3.1</v>
      </c>
      <c r="G544" s="384">
        <v>1.6</v>
      </c>
      <c r="H544" s="383">
        <v>1.5</v>
      </c>
      <c r="I544" s="377" t="s">
        <v>207</v>
      </c>
      <c r="J544" s="377" t="s">
        <v>207</v>
      </c>
      <c r="K544" s="378" t="s">
        <v>207</v>
      </c>
    </row>
    <row r="545" spans="2:11" ht="16">
      <c r="B545" s="381" t="s">
        <v>632</v>
      </c>
      <c r="C545" s="383" t="s">
        <v>207</v>
      </c>
      <c r="D545" s="383" t="s">
        <v>207</v>
      </c>
      <c r="E545" s="383" t="s">
        <v>207</v>
      </c>
      <c r="F545" s="383" t="s">
        <v>207</v>
      </c>
      <c r="G545" s="383" t="s">
        <v>207</v>
      </c>
      <c r="H545" s="383" t="s">
        <v>207</v>
      </c>
      <c r="I545" s="377" t="s">
        <v>207</v>
      </c>
      <c r="J545" s="377" t="s">
        <v>207</v>
      </c>
      <c r="K545" s="378" t="s">
        <v>207</v>
      </c>
    </row>
    <row r="546" spans="2:11" ht="16">
      <c r="B546" s="381" t="s">
        <v>633</v>
      </c>
      <c r="C546" s="383" t="s">
        <v>207</v>
      </c>
      <c r="D546" s="383" t="s">
        <v>207</v>
      </c>
      <c r="E546" s="383" t="s">
        <v>207</v>
      </c>
      <c r="F546" s="383" t="s">
        <v>207</v>
      </c>
      <c r="G546" s="383" t="s">
        <v>207</v>
      </c>
      <c r="H546" s="383" t="s">
        <v>207</v>
      </c>
      <c r="I546" s="377" t="s">
        <v>207</v>
      </c>
      <c r="J546" s="377" t="s">
        <v>207</v>
      </c>
      <c r="K546" s="378" t="s">
        <v>207</v>
      </c>
    </row>
    <row r="547" spans="2:11" ht="16">
      <c r="B547" s="381" t="s">
        <v>634</v>
      </c>
      <c r="C547" s="383" t="s">
        <v>207</v>
      </c>
      <c r="D547" s="383" t="s">
        <v>207</v>
      </c>
      <c r="E547" s="383" t="s">
        <v>207</v>
      </c>
      <c r="F547" s="383" t="s">
        <v>207</v>
      </c>
      <c r="G547" s="383" t="s">
        <v>207</v>
      </c>
      <c r="H547" s="383" t="s">
        <v>207</v>
      </c>
      <c r="I547" s="377" t="s">
        <v>207</v>
      </c>
      <c r="J547" s="377" t="s">
        <v>207</v>
      </c>
      <c r="K547" s="378" t="s">
        <v>207</v>
      </c>
    </row>
    <row r="548" spans="2:11" ht="16">
      <c r="B548" s="381" t="s">
        <v>635</v>
      </c>
      <c r="C548" s="383" t="s">
        <v>207</v>
      </c>
      <c r="D548" s="383" t="s">
        <v>207</v>
      </c>
      <c r="E548" s="383" t="s">
        <v>207</v>
      </c>
      <c r="F548" s="383" t="s">
        <v>207</v>
      </c>
      <c r="G548" s="383" t="s">
        <v>207</v>
      </c>
      <c r="H548" s="383" t="s">
        <v>207</v>
      </c>
      <c r="I548" s="377" t="s">
        <v>207</v>
      </c>
      <c r="J548" s="377" t="s">
        <v>207</v>
      </c>
      <c r="K548" s="378" t="s">
        <v>207</v>
      </c>
    </row>
    <row r="549" spans="2:11" ht="16">
      <c r="B549" s="381" t="s">
        <v>636</v>
      </c>
      <c r="C549" s="383" t="s">
        <v>207</v>
      </c>
      <c r="D549" s="383" t="s">
        <v>207</v>
      </c>
      <c r="E549" s="383" t="s">
        <v>207</v>
      </c>
      <c r="F549" s="383" t="s">
        <v>207</v>
      </c>
      <c r="G549" s="383" t="s">
        <v>207</v>
      </c>
      <c r="H549" s="383" t="s">
        <v>207</v>
      </c>
      <c r="I549" s="377" t="s">
        <v>207</v>
      </c>
      <c r="J549" s="377" t="s">
        <v>207</v>
      </c>
      <c r="K549" s="378" t="s">
        <v>207</v>
      </c>
    </row>
    <row r="550" spans="2:11" ht="16">
      <c r="B550" s="381" t="s">
        <v>637</v>
      </c>
      <c r="C550" s="383" t="s">
        <v>207</v>
      </c>
      <c r="D550" s="383" t="s">
        <v>207</v>
      </c>
      <c r="E550" s="383" t="s">
        <v>207</v>
      </c>
      <c r="F550" s="383" t="s">
        <v>207</v>
      </c>
      <c r="G550" s="383" t="s">
        <v>207</v>
      </c>
      <c r="H550" s="383" t="s">
        <v>207</v>
      </c>
      <c r="I550" s="377" t="s">
        <v>207</v>
      </c>
      <c r="J550" s="377" t="s">
        <v>207</v>
      </c>
      <c r="K550" s="378" t="s">
        <v>207</v>
      </c>
    </row>
    <row r="551" spans="2:11" ht="16">
      <c r="B551" s="381" t="s">
        <v>638</v>
      </c>
      <c r="C551" s="383" t="s">
        <v>207</v>
      </c>
      <c r="D551" s="383" t="s">
        <v>207</v>
      </c>
      <c r="E551" s="383" t="s">
        <v>207</v>
      </c>
      <c r="F551" s="383" t="s">
        <v>207</v>
      </c>
      <c r="G551" s="383" t="s">
        <v>207</v>
      </c>
      <c r="H551" s="383" t="s">
        <v>207</v>
      </c>
      <c r="I551" s="377" t="s">
        <v>207</v>
      </c>
      <c r="J551" s="377" t="s">
        <v>207</v>
      </c>
      <c r="K551" s="378" t="s">
        <v>207</v>
      </c>
    </row>
    <row r="552" spans="2:11" ht="16">
      <c r="B552" s="381" t="s">
        <v>639</v>
      </c>
      <c r="C552" s="383" t="s">
        <v>207</v>
      </c>
      <c r="D552" s="383" t="s">
        <v>207</v>
      </c>
      <c r="E552" s="383" t="s">
        <v>207</v>
      </c>
      <c r="F552" s="383" t="s">
        <v>207</v>
      </c>
      <c r="G552" s="383" t="s">
        <v>207</v>
      </c>
      <c r="H552" s="383" t="s">
        <v>207</v>
      </c>
      <c r="I552" s="377" t="s">
        <v>207</v>
      </c>
      <c r="J552" s="377" t="s">
        <v>207</v>
      </c>
      <c r="K552" s="378" t="s">
        <v>207</v>
      </c>
    </row>
    <row r="553" spans="2:11" ht="16">
      <c r="B553" s="381" t="s">
        <v>640</v>
      </c>
      <c r="C553" s="383" t="s">
        <v>207</v>
      </c>
      <c r="D553" s="383" t="s">
        <v>207</v>
      </c>
      <c r="E553" s="383" t="s">
        <v>207</v>
      </c>
      <c r="F553" s="383" t="s">
        <v>207</v>
      </c>
      <c r="G553" s="383" t="s">
        <v>207</v>
      </c>
      <c r="H553" s="383" t="s">
        <v>207</v>
      </c>
      <c r="I553" s="377" t="s">
        <v>207</v>
      </c>
      <c r="J553" s="377" t="s">
        <v>207</v>
      </c>
      <c r="K553" s="378" t="s">
        <v>207</v>
      </c>
    </row>
    <row r="554" spans="2:11" ht="16">
      <c r="B554" s="381" t="s">
        <v>641</v>
      </c>
      <c r="C554" s="383" t="s">
        <v>207</v>
      </c>
      <c r="D554" s="383" t="s">
        <v>207</v>
      </c>
      <c r="E554" s="383" t="s">
        <v>207</v>
      </c>
      <c r="F554" s="383" t="s">
        <v>207</v>
      </c>
      <c r="G554" s="383" t="s">
        <v>207</v>
      </c>
      <c r="H554" s="383" t="s">
        <v>207</v>
      </c>
      <c r="I554" s="377" t="s">
        <v>207</v>
      </c>
      <c r="J554" s="377" t="s">
        <v>207</v>
      </c>
      <c r="K554" s="378" t="s">
        <v>207</v>
      </c>
    </row>
    <row r="555" spans="2:11" ht="16">
      <c r="B555" s="381" t="s">
        <v>642</v>
      </c>
      <c r="C555" s="383" t="s">
        <v>207</v>
      </c>
      <c r="D555" s="383" t="s">
        <v>207</v>
      </c>
      <c r="E555" s="383" t="s">
        <v>207</v>
      </c>
      <c r="F555" s="383" t="s">
        <v>207</v>
      </c>
      <c r="G555" s="383" t="s">
        <v>207</v>
      </c>
      <c r="H555" s="383" t="s">
        <v>207</v>
      </c>
      <c r="I555" s="377" t="s">
        <v>207</v>
      </c>
      <c r="J555" s="377" t="s">
        <v>207</v>
      </c>
      <c r="K555" s="378" t="s">
        <v>207</v>
      </c>
    </row>
    <row r="556" spans="2:11" ht="16">
      <c r="B556" s="381" t="s">
        <v>643</v>
      </c>
      <c r="C556" s="383" t="s">
        <v>207</v>
      </c>
      <c r="D556" s="383" t="s">
        <v>207</v>
      </c>
      <c r="E556" s="383" t="s">
        <v>207</v>
      </c>
      <c r="F556" s="383" t="s">
        <v>207</v>
      </c>
      <c r="G556" s="383" t="s">
        <v>207</v>
      </c>
      <c r="H556" s="383" t="s">
        <v>207</v>
      </c>
      <c r="I556" s="377" t="s">
        <v>207</v>
      </c>
      <c r="J556" s="377" t="s">
        <v>207</v>
      </c>
      <c r="K556" s="378" t="s">
        <v>207</v>
      </c>
    </row>
    <row r="557" spans="2:11" ht="16">
      <c r="B557" s="381" t="s">
        <v>644</v>
      </c>
      <c r="C557" s="383" t="s">
        <v>207</v>
      </c>
      <c r="D557" s="383" t="s">
        <v>207</v>
      </c>
      <c r="E557" s="383" t="s">
        <v>207</v>
      </c>
      <c r="F557" s="383" t="s">
        <v>207</v>
      </c>
      <c r="G557" s="383" t="s">
        <v>207</v>
      </c>
      <c r="H557" s="383" t="s">
        <v>207</v>
      </c>
      <c r="I557" s="377" t="s">
        <v>207</v>
      </c>
      <c r="J557" s="377" t="s">
        <v>207</v>
      </c>
      <c r="K557" s="378" t="s">
        <v>207</v>
      </c>
    </row>
    <row r="558" spans="2:11" ht="16">
      <c r="B558" s="381"/>
      <c r="C558" s="410"/>
      <c r="D558" s="410"/>
      <c r="E558" s="410"/>
      <c r="F558" s="410"/>
      <c r="G558" s="410"/>
      <c r="H558" s="410"/>
      <c r="I558" s="410"/>
      <c r="J558" s="410"/>
      <c r="K558" s="411"/>
    </row>
    <row r="559" spans="2:11" ht="16">
      <c r="B559" s="373" t="s">
        <v>645</v>
      </c>
      <c r="C559" s="382">
        <v>104.2</v>
      </c>
      <c r="D559" s="382">
        <v>51.6</v>
      </c>
      <c r="E559" s="382">
        <v>52.6</v>
      </c>
      <c r="F559" s="382">
        <v>30.2</v>
      </c>
      <c r="G559" s="391">
        <v>14.8</v>
      </c>
      <c r="H559" s="382">
        <v>15.399999999999999</v>
      </c>
      <c r="I559" s="382">
        <v>74</v>
      </c>
      <c r="J559" s="382">
        <v>36.799999999999997</v>
      </c>
      <c r="K559" s="389">
        <v>37.200000000000003</v>
      </c>
    </row>
    <row r="560" spans="2:11" ht="16">
      <c r="B560" s="381" t="s">
        <v>646</v>
      </c>
      <c r="C560" s="383">
        <v>19.899999999999999</v>
      </c>
      <c r="D560" s="384">
        <v>9.9</v>
      </c>
      <c r="E560" s="383">
        <v>9.9999999999999982</v>
      </c>
      <c r="F560" s="383">
        <v>19.899999999999999</v>
      </c>
      <c r="G560" s="384">
        <v>9.9</v>
      </c>
      <c r="H560" s="383">
        <v>9.9999999999999982</v>
      </c>
      <c r="I560" s="377" t="s">
        <v>207</v>
      </c>
      <c r="J560" s="377" t="s">
        <v>207</v>
      </c>
      <c r="K560" s="378" t="s">
        <v>207</v>
      </c>
    </row>
    <row r="561" spans="2:11" ht="16">
      <c r="B561" s="381" t="s">
        <v>647</v>
      </c>
      <c r="C561" s="383">
        <v>10.199999999999999</v>
      </c>
      <c r="D561" s="384">
        <v>4.9000000000000004</v>
      </c>
      <c r="E561" s="383">
        <v>5.2999999999999989</v>
      </c>
      <c r="F561" s="383">
        <v>10.199999999999999</v>
      </c>
      <c r="G561" s="384">
        <v>4.9000000000000004</v>
      </c>
      <c r="H561" s="383">
        <v>5.2999999999999989</v>
      </c>
      <c r="I561" s="377" t="s">
        <v>207</v>
      </c>
      <c r="J561" s="377" t="s">
        <v>207</v>
      </c>
      <c r="K561" s="378" t="s">
        <v>207</v>
      </c>
    </row>
    <row r="562" spans="2:11" ht="16">
      <c r="B562" s="381" t="s">
        <v>648</v>
      </c>
      <c r="C562" s="383">
        <v>0.1</v>
      </c>
      <c r="D562" s="384">
        <v>0</v>
      </c>
      <c r="E562" s="383">
        <v>0.1</v>
      </c>
      <c r="F562" s="383">
        <v>0.1</v>
      </c>
      <c r="G562" s="384">
        <v>0</v>
      </c>
      <c r="H562" s="383">
        <v>0.1</v>
      </c>
      <c r="I562" s="377" t="s">
        <v>207</v>
      </c>
      <c r="J562" s="377" t="s">
        <v>207</v>
      </c>
      <c r="K562" s="378" t="s">
        <v>207</v>
      </c>
    </row>
    <row r="563" spans="2:11" ht="16">
      <c r="B563" s="381"/>
      <c r="C563" s="375"/>
      <c r="D563" s="375"/>
      <c r="E563" s="375"/>
      <c r="F563" s="375"/>
      <c r="G563" s="375"/>
      <c r="H563" s="375"/>
      <c r="I563" s="375"/>
      <c r="J563" s="375"/>
      <c r="K563" s="376"/>
    </row>
    <row r="564" spans="2:11" ht="16">
      <c r="B564" s="373" t="s">
        <v>649</v>
      </c>
      <c r="C564" s="382">
        <v>28.6</v>
      </c>
      <c r="D564" s="382">
        <v>14</v>
      </c>
      <c r="E564" s="382">
        <v>14.600000000000001</v>
      </c>
      <c r="F564" s="382">
        <v>9.6</v>
      </c>
      <c r="G564" s="391">
        <v>4.7</v>
      </c>
      <c r="H564" s="382">
        <v>4.8999999999999995</v>
      </c>
      <c r="I564" s="382">
        <v>19</v>
      </c>
      <c r="J564" s="382">
        <v>9.3000000000000007</v>
      </c>
      <c r="K564" s="389">
        <v>9.6999999999999993</v>
      </c>
    </row>
    <row r="565" spans="2:11" ht="16">
      <c r="B565" s="381" t="s">
        <v>650</v>
      </c>
      <c r="C565" s="383">
        <v>8</v>
      </c>
      <c r="D565" s="384">
        <v>3.9</v>
      </c>
      <c r="E565" s="383">
        <v>4.0999999999999996</v>
      </c>
      <c r="F565" s="383">
        <v>8</v>
      </c>
      <c r="G565" s="384">
        <v>3.9</v>
      </c>
      <c r="H565" s="383">
        <v>4.0999999999999996</v>
      </c>
      <c r="I565" s="377" t="s">
        <v>207</v>
      </c>
      <c r="J565" s="377" t="s">
        <v>207</v>
      </c>
      <c r="K565" s="378" t="s">
        <v>207</v>
      </c>
    </row>
    <row r="566" spans="2:11" ht="16">
      <c r="B566" s="381" t="s">
        <v>651</v>
      </c>
      <c r="C566" s="383">
        <v>1.6</v>
      </c>
      <c r="D566" s="384">
        <v>0.8</v>
      </c>
      <c r="E566" s="383">
        <v>0.8</v>
      </c>
      <c r="F566" s="383">
        <v>1.6</v>
      </c>
      <c r="G566" s="384">
        <v>0.8</v>
      </c>
      <c r="H566" s="383">
        <v>0.8</v>
      </c>
      <c r="I566" s="377" t="s">
        <v>207</v>
      </c>
      <c r="J566" s="377" t="s">
        <v>207</v>
      </c>
      <c r="K566" s="378" t="s">
        <v>207</v>
      </c>
    </row>
    <row r="567" spans="2:11" ht="16">
      <c r="B567" s="381"/>
      <c r="C567" s="374"/>
      <c r="D567" s="374"/>
      <c r="E567" s="374"/>
      <c r="F567" s="374"/>
      <c r="G567" s="374"/>
      <c r="H567" s="374"/>
      <c r="I567" s="374"/>
      <c r="J567" s="374"/>
      <c r="K567" s="380"/>
    </row>
    <row r="568" spans="2:11" ht="16">
      <c r="B568" s="373" t="s">
        <v>652</v>
      </c>
      <c r="C568" s="382">
        <v>34.200000000000003</v>
      </c>
      <c r="D568" s="382">
        <v>16.5</v>
      </c>
      <c r="E568" s="382">
        <v>17.700000000000003</v>
      </c>
      <c r="F568" s="382">
        <v>24.8</v>
      </c>
      <c r="G568" s="391">
        <v>11.9</v>
      </c>
      <c r="H568" s="382">
        <v>12.9</v>
      </c>
      <c r="I568" s="382">
        <v>9.4000000000000021</v>
      </c>
      <c r="J568" s="382">
        <v>4.5999999999999996</v>
      </c>
      <c r="K568" s="389">
        <v>4.8000000000000025</v>
      </c>
    </row>
    <row r="569" spans="2:11" ht="16">
      <c r="B569" s="381" t="s">
        <v>653</v>
      </c>
      <c r="C569" s="383">
        <v>23.5</v>
      </c>
      <c r="D569" s="384">
        <v>11.3</v>
      </c>
      <c r="E569" s="383">
        <v>12.2</v>
      </c>
      <c r="F569" s="383">
        <v>23.5</v>
      </c>
      <c r="G569" s="384">
        <v>11.3</v>
      </c>
      <c r="H569" s="383">
        <v>12.2</v>
      </c>
      <c r="I569" s="377" t="s">
        <v>207</v>
      </c>
      <c r="J569" s="377" t="s">
        <v>207</v>
      </c>
      <c r="K569" s="378" t="s">
        <v>207</v>
      </c>
    </row>
    <row r="570" spans="2:11" ht="16">
      <c r="B570" s="381" t="s">
        <v>654</v>
      </c>
      <c r="C570" s="383">
        <v>1.3</v>
      </c>
      <c r="D570" s="384">
        <v>0.6</v>
      </c>
      <c r="E570" s="383">
        <v>0.70000000000000007</v>
      </c>
      <c r="F570" s="383">
        <v>1.3</v>
      </c>
      <c r="G570" s="384">
        <v>0.6</v>
      </c>
      <c r="H570" s="383">
        <v>0.70000000000000007</v>
      </c>
      <c r="I570" s="377" t="s">
        <v>207</v>
      </c>
      <c r="J570" s="377" t="s">
        <v>207</v>
      </c>
      <c r="K570" s="378" t="s">
        <v>207</v>
      </c>
    </row>
    <row r="571" spans="2:11" ht="16">
      <c r="B571" s="381"/>
      <c r="C571" s="393"/>
      <c r="D571" s="393"/>
      <c r="E571" s="393"/>
      <c r="F571" s="393"/>
      <c r="G571" s="393"/>
      <c r="H571" s="393"/>
      <c r="I571" s="393"/>
      <c r="J571" s="393"/>
      <c r="K571" s="394"/>
    </row>
    <row r="572" spans="2:11" ht="16">
      <c r="B572" s="373" t="s">
        <v>655</v>
      </c>
      <c r="C572" s="382">
        <v>43.8</v>
      </c>
      <c r="D572" s="382">
        <v>21.3</v>
      </c>
      <c r="E572" s="382">
        <v>22.499999999999996</v>
      </c>
      <c r="F572" s="382">
        <v>9.6</v>
      </c>
      <c r="G572" s="391">
        <v>4.7</v>
      </c>
      <c r="H572" s="382">
        <v>4.8999999999999995</v>
      </c>
      <c r="I572" s="382">
        <v>34.199999999999996</v>
      </c>
      <c r="J572" s="382">
        <v>16.600000000000001</v>
      </c>
      <c r="K572" s="389">
        <v>17.599999999999994</v>
      </c>
    </row>
    <row r="573" spans="2:11" ht="16">
      <c r="B573" s="381" t="s">
        <v>656</v>
      </c>
      <c r="C573" s="383">
        <v>5.9</v>
      </c>
      <c r="D573" s="384">
        <v>2.9</v>
      </c>
      <c r="E573" s="383">
        <v>3.0000000000000004</v>
      </c>
      <c r="F573" s="383">
        <v>5.9</v>
      </c>
      <c r="G573" s="384">
        <v>2.9</v>
      </c>
      <c r="H573" s="383">
        <v>3.0000000000000004</v>
      </c>
      <c r="I573" s="377" t="s">
        <v>207</v>
      </c>
      <c r="J573" s="377" t="s">
        <v>207</v>
      </c>
      <c r="K573" s="378" t="s">
        <v>207</v>
      </c>
    </row>
    <row r="574" spans="2:11" ht="16">
      <c r="B574" s="381" t="s">
        <v>893</v>
      </c>
      <c r="C574" s="383">
        <v>1.2</v>
      </c>
      <c r="D574" s="384">
        <v>0.6</v>
      </c>
      <c r="E574" s="383">
        <v>0.6</v>
      </c>
      <c r="F574" s="383">
        <v>1.2</v>
      </c>
      <c r="G574" s="384">
        <v>0.6</v>
      </c>
      <c r="H574" s="383">
        <v>0.6</v>
      </c>
      <c r="I574" s="377" t="s">
        <v>207</v>
      </c>
      <c r="J574" s="377" t="s">
        <v>207</v>
      </c>
      <c r="K574" s="378" t="s">
        <v>207</v>
      </c>
    </row>
    <row r="575" spans="2:11" ht="16">
      <c r="B575" s="381" t="s">
        <v>657</v>
      </c>
      <c r="C575" s="383">
        <v>2.5</v>
      </c>
      <c r="D575" s="384">
        <v>1.2</v>
      </c>
      <c r="E575" s="383">
        <v>1.3</v>
      </c>
      <c r="F575" s="383">
        <v>2.5</v>
      </c>
      <c r="G575" s="384">
        <v>1.2</v>
      </c>
      <c r="H575" s="383">
        <v>1.3</v>
      </c>
      <c r="I575" s="377" t="s">
        <v>207</v>
      </c>
      <c r="J575" s="377" t="s">
        <v>207</v>
      </c>
      <c r="K575" s="378" t="s">
        <v>207</v>
      </c>
    </row>
    <row r="576" spans="2:11" ht="16">
      <c r="B576" s="381"/>
      <c r="C576" s="386"/>
      <c r="D576" s="386"/>
      <c r="E576" s="386"/>
      <c r="F576" s="386"/>
      <c r="G576" s="386"/>
      <c r="H576" s="386"/>
      <c r="I576" s="386"/>
      <c r="J576" s="386"/>
      <c r="K576" s="395"/>
    </row>
    <row r="577" spans="1:11" ht="16">
      <c r="B577" s="373" t="s">
        <v>658</v>
      </c>
      <c r="C577" s="382">
        <v>55.8</v>
      </c>
      <c r="D577" s="382">
        <v>27</v>
      </c>
      <c r="E577" s="382">
        <v>28.799999999999997</v>
      </c>
      <c r="F577" s="382">
        <v>55.8</v>
      </c>
      <c r="G577" s="382">
        <v>27</v>
      </c>
      <c r="H577" s="382">
        <v>28.799999999999997</v>
      </c>
      <c r="I577" s="377" t="s">
        <v>207</v>
      </c>
      <c r="J577" s="377" t="s">
        <v>207</v>
      </c>
      <c r="K577" s="378" t="s">
        <v>207</v>
      </c>
    </row>
    <row r="578" spans="1:11" ht="16">
      <c r="B578" s="381" t="s">
        <v>659</v>
      </c>
      <c r="C578" s="383">
        <v>53.6</v>
      </c>
      <c r="D578" s="384">
        <v>26</v>
      </c>
      <c r="E578" s="383">
        <v>27.6</v>
      </c>
      <c r="F578" s="383">
        <v>53.6</v>
      </c>
      <c r="G578" s="384">
        <v>26</v>
      </c>
      <c r="H578" s="383">
        <v>27.6</v>
      </c>
      <c r="I578" s="377" t="s">
        <v>207</v>
      </c>
      <c r="J578" s="377" t="s">
        <v>207</v>
      </c>
      <c r="K578" s="378" t="s">
        <v>207</v>
      </c>
    </row>
    <row r="579" spans="1:11" ht="16">
      <c r="B579" s="381" t="s">
        <v>660</v>
      </c>
      <c r="C579" s="383">
        <v>2.2000000000000002</v>
      </c>
      <c r="D579" s="384">
        <v>1</v>
      </c>
      <c r="E579" s="383">
        <v>1.2000000000000002</v>
      </c>
      <c r="F579" s="383">
        <v>2.2000000000000002</v>
      </c>
      <c r="G579" s="384">
        <v>1</v>
      </c>
      <c r="H579" s="383">
        <v>1.2000000000000002</v>
      </c>
      <c r="I579" s="377" t="s">
        <v>207</v>
      </c>
      <c r="J579" s="377" t="s">
        <v>207</v>
      </c>
      <c r="K579" s="378" t="s">
        <v>207</v>
      </c>
    </row>
    <row r="580" spans="1:11" ht="16">
      <c r="B580" s="381"/>
      <c r="C580" s="405"/>
      <c r="D580" s="405"/>
      <c r="E580" s="405"/>
      <c r="F580" s="405"/>
      <c r="G580" s="405"/>
      <c r="H580" s="405"/>
      <c r="I580" s="405"/>
      <c r="J580" s="405"/>
      <c r="K580" s="406"/>
    </row>
    <row r="581" spans="1:11" ht="16">
      <c r="A581" s="106" t="s">
        <v>830</v>
      </c>
      <c r="B581" s="373" t="s">
        <v>661</v>
      </c>
      <c r="C581" s="382">
        <v>256.7</v>
      </c>
      <c r="D581" s="382">
        <v>127.79999999999998</v>
      </c>
      <c r="E581" s="382">
        <v>128.9</v>
      </c>
      <c r="F581" s="382">
        <v>56.4</v>
      </c>
      <c r="G581" s="382">
        <v>27.900000000000002</v>
      </c>
      <c r="H581" s="382">
        <v>28.499999999999996</v>
      </c>
      <c r="I581" s="382">
        <v>200.3</v>
      </c>
      <c r="J581" s="382">
        <v>99.899999999999977</v>
      </c>
      <c r="K581" s="389">
        <v>100.40000000000003</v>
      </c>
    </row>
    <row r="582" spans="1:11" ht="16">
      <c r="B582" s="379" t="s">
        <v>298</v>
      </c>
      <c r="C582" s="383"/>
      <c r="D582" s="384"/>
      <c r="E582" s="383"/>
      <c r="F582" s="384"/>
      <c r="G582" s="384"/>
      <c r="H582" s="384"/>
      <c r="I582" s="384"/>
      <c r="J582" s="384"/>
      <c r="K582" s="414"/>
    </row>
    <row r="583" spans="1:11" ht="16">
      <c r="B583" s="373" t="s">
        <v>662</v>
      </c>
      <c r="C583" s="382">
        <v>93.1</v>
      </c>
      <c r="D583" s="382">
        <v>46.4</v>
      </c>
      <c r="E583" s="382">
        <v>46.699999999999996</v>
      </c>
      <c r="F583" s="382">
        <v>13.4</v>
      </c>
      <c r="G583" s="391">
        <v>6.7</v>
      </c>
      <c r="H583" s="382">
        <v>6.7</v>
      </c>
      <c r="I583" s="382">
        <v>79.699999999999989</v>
      </c>
      <c r="J583" s="382">
        <v>39.699999999999996</v>
      </c>
      <c r="K583" s="389">
        <v>39.999999999999993</v>
      </c>
    </row>
    <row r="584" spans="1:11" ht="16">
      <c r="B584" s="381" t="s">
        <v>663</v>
      </c>
      <c r="C584" s="383">
        <v>12</v>
      </c>
      <c r="D584" s="384">
        <v>6</v>
      </c>
      <c r="E584" s="383">
        <v>6</v>
      </c>
      <c r="F584" s="383">
        <v>12</v>
      </c>
      <c r="G584" s="384">
        <v>6</v>
      </c>
      <c r="H584" s="383">
        <v>6</v>
      </c>
      <c r="I584" s="377" t="s">
        <v>207</v>
      </c>
      <c r="J584" s="377" t="s">
        <v>207</v>
      </c>
      <c r="K584" s="378" t="s">
        <v>207</v>
      </c>
    </row>
    <row r="585" spans="1:11" ht="16">
      <c r="B585" s="381" t="s">
        <v>489</v>
      </c>
      <c r="C585" s="383">
        <v>1.4</v>
      </c>
      <c r="D585" s="384">
        <v>0.7</v>
      </c>
      <c r="E585" s="383">
        <v>0.7</v>
      </c>
      <c r="F585" s="383">
        <v>1.4</v>
      </c>
      <c r="G585" s="384">
        <v>0.7</v>
      </c>
      <c r="H585" s="383">
        <v>0.7</v>
      </c>
      <c r="I585" s="377" t="s">
        <v>207</v>
      </c>
      <c r="J585" s="377" t="s">
        <v>207</v>
      </c>
      <c r="K585" s="378" t="s">
        <v>207</v>
      </c>
    </row>
    <row r="586" spans="1:11" ht="16">
      <c r="B586" s="381"/>
      <c r="C586" s="410"/>
      <c r="D586" s="410"/>
      <c r="E586" s="410"/>
      <c r="F586" s="410"/>
      <c r="G586" s="410"/>
      <c r="H586" s="410"/>
      <c r="I586" s="410"/>
      <c r="J586" s="410"/>
      <c r="K586" s="411"/>
    </row>
    <row r="587" spans="1:11" ht="16">
      <c r="B587" s="373" t="s">
        <v>664</v>
      </c>
      <c r="C587" s="382">
        <v>77.7</v>
      </c>
      <c r="D587" s="382">
        <v>39.299999999999997</v>
      </c>
      <c r="E587" s="382">
        <v>38.400000000000006</v>
      </c>
      <c r="F587" s="382">
        <v>13.6</v>
      </c>
      <c r="G587" s="391">
        <v>6.8</v>
      </c>
      <c r="H587" s="382">
        <v>6.8</v>
      </c>
      <c r="I587" s="382">
        <v>64.100000000000009</v>
      </c>
      <c r="J587" s="382">
        <v>32.5</v>
      </c>
      <c r="K587" s="389">
        <v>31.600000000000009</v>
      </c>
    </row>
    <row r="588" spans="1:11" ht="16">
      <c r="B588" s="381" t="s">
        <v>665</v>
      </c>
      <c r="C588" s="383">
        <v>13.2</v>
      </c>
      <c r="D588" s="384">
        <v>6.6</v>
      </c>
      <c r="E588" s="383">
        <v>6.6</v>
      </c>
      <c r="F588" s="383">
        <v>13.2</v>
      </c>
      <c r="G588" s="384">
        <v>6.6</v>
      </c>
      <c r="H588" s="383">
        <v>6.6</v>
      </c>
      <c r="I588" s="377" t="s">
        <v>207</v>
      </c>
      <c r="J588" s="377" t="s">
        <v>207</v>
      </c>
      <c r="K588" s="378" t="s">
        <v>207</v>
      </c>
    </row>
    <row r="589" spans="1:11" ht="16">
      <c r="B589" s="381" t="s">
        <v>666</v>
      </c>
      <c r="C589" s="383">
        <v>0.4</v>
      </c>
      <c r="D589" s="384">
        <v>0.2</v>
      </c>
      <c r="E589" s="383">
        <v>0.2</v>
      </c>
      <c r="F589" s="383">
        <v>0.4</v>
      </c>
      <c r="G589" s="384">
        <v>0.2</v>
      </c>
      <c r="H589" s="383">
        <v>0.2</v>
      </c>
      <c r="I589" s="377" t="s">
        <v>207</v>
      </c>
      <c r="J589" s="377" t="s">
        <v>207</v>
      </c>
      <c r="K589" s="378" t="s">
        <v>207</v>
      </c>
    </row>
    <row r="590" spans="1:11" ht="16">
      <c r="B590" s="381"/>
      <c r="C590" s="393"/>
      <c r="D590" s="393"/>
      <c r="E590" s="393"/>
      <c r="F590" s="393"/>
      <c r="G590" s="393"/>
      <c r="H590" s="393"/>
      <c r="I590" s="393"/>
      <c r="J590" s="393"/>
      <c r="K590" s="394"/>
    </row>
    <row r="591" spans="1:11" ht="16">
      <c r="B591" s="373" t="s">
        <v>667</v>
      </c>
      <c r="C591" s="382">
        <v>41.1</v>
      </c>
      <c r="D591" s="382">
        <v>20.2</v>
      </c>
      <c r="E591" s="382">
        <v>20.900000000000002</v>
      </c>
      <c r="F591" s="382">
        <v>9.3000000000000007</v>
      </c>
      <c r="G591" s="391">
        <v>4.5999999999999996</v>
      </c>
      <c r="H591" s="382">
        <v>4.7000000000000011</v>
      </c>
      <c r="I591" s="382">
        <v>31.8</v>
      </c>
      <c r="J591" s="382">
        <v>15.6</v>
      </c>
      <c r="K591" s="389">
        <v>16.200000000000003</v>
      </c>
    </row>
    <row r="592" spans="1:11" ht="16">
      <c r="B592" s="381" t="s">
        <v>668</v>
      </c>
      <c r="C592" s="383">
        <v>9.3000000000000007</v>
      </c>
      <c r="D592" s="384">
        <v>4.5999999999999996</v>
      </c>
      <c r="E592" s="383">
        <v>4.7000000000000011</v>
      </c>
      <c r="F592" s="383">
        <v>9.3000000000000007</v>
      </c>
      <c r="G592" s="384">
        <v>4.5999999999999996</v>
      </c>
      <c r="H592" s="383">
        <v>4.7000000000000011</v>
      </c>
      <c r="I592" s="377" t="s">
        <v>207</v>
      </c>
      <c r="J592" s="377" t="s">
        <v>207</v>
      </c>
      <c r="K592" s="378" t="s">
        <v>207</v>
      </c>
    </row>
    <row r="593" spans="1:11" ht="16">
      <c r="B593" s="381"/>
      <c r="C593" s="393"/>
      <c r="D593" s="393"/>
      <c r="E593" s="393"/>
      <c r="F593" s="393"/>
      <c r="G593" s="393"/>
      <c r="H593" s="393"/>
      <c r="I593" s="393"/>
      <c r="J593" s="393"/>
      <c r="K593" s="394"/>
    </row>
    <row r="594" spans="1:11" ht="16">
      <c r="B594" s="373" t="s">
        <v>669</v>
      </c>
      <c r="C594" s="382">
        <v>44.8</v>
      </c>
      <c r="D594" s="382">
        <v>21.9</v>
      </c>
      <c r="E594" s="382">
        <v>22.9</v>
      </c>
      <c r="F594" s="382">
        <v>20.100000000000001</v>
      </c>
      <c r="G594" s="391">
        <v>9.8000000000000007</v>
      </c>
      <c r="H594" s="382">
        <v>10.3</v>
      </c>
      <c r="I594" s="382">
        <v>24.699999999999996</v>
      </c>
      <c r="J594" s="382">
        <v>12.099999999999998</v>
      </c>
      <c r="K594" s="389">
        <v>12.599999999999998</v>
      </c>
    </row>
    <row r="595" spans="1:11" ht="16">
      <c r="B595" s="381" t="s">
        <v>670</v>
      </c>
      <c r="C595" s="383">
        <v>11.2</v>
      </c>
      <c r="D595" s="384">
        <v>5.5</v>
      </c>
      <c r="E595" s="383">
        <v>5.6999999999999993</v>
      </c>
      <c r="F595" s="383">
        <v>11.2</v>
      </c>
      <c r="G595" s="384">
        <v>5.5</v>
      </c>
      <c r="H595" s="383">
        <v>5.6999999999999993</v>
      </c>
      <c r="I595" s="377" t="s">
        <v>207</v>
      </c>
      <c r="J595" s="377" t="s">
        <v>207</v>
      </c>
      <c r="K595" s="378" t="s">
        <v>207</v>
      </c>
    </row>
    <row r="596" spans="1:11" ht="16">
      <c r="B596" s="381" t="s">
        <v>671</v>
      </c>
      <c r="C596" s="383">
        <v>6.5</v>
      </c>
      <c r="D596" s="384">
        <v>3.2</v>
      </c>
      <c r="E596" s="383">
        <v>3.3</v>
      </c>
      <c r="F596" s="383">
        <v>6.5</v>
      </c>
      <c r="G596" s="384">
        <v>3.2</v>
      </c>
      <c r="H596" s="383">
        <v>3.3</v>
      </c>
      <c r="I596" s="377" t="s">
        <v>207</v>
      </c>
      <c r="J596" s="377" t="s">
        <v>207</v>
      </c>
      <c r="K596" s="378" t="s">
        <v>207</v>
      </c>
    </row>
    <row r="597" spans="1:11" ht="16">
      <c r="B597" s="381" t="s">
        <v>672</v>
      </c>
      <c r="C597" s="383">
        <v>0.2</v>
      </c>
      <c r="D597" s="384">
        <v>0.1</v>
      </c>
      <c r="E597" s="383">
        <v>0.1</v>
      </c>
      <c r="F597" s="383">
        <v>0.2</v>
      </c>
      <c r="G597" s="384">
        <v>0.1</v>
      </c>
      <c r="H597" s="383">
        <v>0.1</v>
      </c>
      <c r="I597" s="377" t="s">
        <v>207</v>
      </c>
      <c r="J597" s="377" t="s">
        <v>207</v>
      </c>
      <c r="K597" s="378" t="s">
        <v>207</v>
      </c>
    </row>
    <row r="598" spans="1:11" ht="16">
      <c r="B598" s="381" t="s">
        <v>894</v>
      </c>
      <c r="C598" s="383">
        <v>1</v>
      </c>
      <c r="D598" s="384">
        <v>0.5</v>
      </c>
      <c r="E598" s="383">
        <v>0.5</v>
      </c>
      <c r="F598" s="383">
        <v>1</v>
      </c>
      <c r="G598" s="384">
        <v>0.5</v>
      </c>
      <c r="H598" s="383">
        <v>0.5</v>
      </c>
      <c r="I598" s="377" t="s">
        <v>207</v>
      </c>
      <c r="J598" s="377" t="s">
        <v>207</v>
      </c>
      <c r="K598" s="378" t="s">
        <v>207</v>
      </c>
    </row>
    <row r="599" spans="1:11" ht="16">
      <c r="B599" s="381" t="s">
        <v>673</v>
      </c>
      <c r="C599" s="383">
        <v>0.5</v>
      </c>
      <c r="D599" s="384">
        <v>0.2</v>
      </c>
      <c r="E599" s="383">
        <v>0.3</v>
      </c>
      <c r="F599" s="383">
        <v>0.5</v>
      </c>
      <c r="G599" s="384">
        <v>0.2</v>
      </c>
      <c r="H599" s="383">
        <v>0.3</v>
      </c>
      <c r="I599" s="377" t="s">
        <v>207</v>
      </c>
      <c r="J599" s="377" t="s">
        <v>207</v>
      </c>
      <c r="K599" s="378" t="s">
        <v>207</v>
      </c>
    </row>
    <row r="600" spans="1:11" ht="16">
      <c r="B600" s="381" t="s">
        <v>674</v>
      </c>
      <c r="C600" s="383">
        <v>0.7</v>
      </c>
      <c r="D600" s="384">
        <v>0.3</v>
      </c>
      <c r="E600" s="383">
        <v>0.39999999999999997</v>
      </c>
      <c r="F600" s="383">
        <v>0.7</v>
      </c>
      <c r="G600" s="384">
        <v>0.3</v>
      </c>
      <c r="H600" s="383">
        <v>0.39999999999999997</v>
      </c>
      <c r="I600" s="377" t="s">
        <v>207</v>
      </c>
      <c r="J600" s="377" t="s">
        <v>207</v>
      </c>
      <c r="K600" s="378" t="s">
        <v>207</v>
      </c>
    </row>
    <row r="601" spans="1:11" ht="16">
      <c r="B601" s="381"/>
      <c r="C601" s="386"/>
      <c r="D601" s="386"/>
      <c r="E601" s="386"/>
      <c r="F601" s="386"/>
      <c r="G601" s="386"/>
      <c r="H601" s="386"/>
      <c r="I601" s="386"/>
      <c r="J601" s="386"/>
      <c r="K601" s="395"/>
    </row>
    <row r="602" spans="1:11" ht="16">
      <c r="A602" s="106" t="s">
        <v>829</v>
      </c>
      <c r="B602" s="373" t="s">
        <v>675</v>
      </c>
      <c r="C602" s="400">
        <v>318.60000000000002</v>
      </c>
      <c r="D602" s="400">
        <v>160.30000000000001</v>
      </c>
      <c r="E602" s="400">
        <v>158.30000000000001</v>
      </c>
      <c r="F602" s="382">
        <v>109</v>
      </c>
      <c r="G602" s="382">
        <v>54.3</v>
      </c>
      <c r="H602" s="400">
        <v>54.7</v>
      </c>
      <c r="I602" s="382">
        <v>209.6</v>
      </c>
      <c r="J602" s="382">
        <v>106</v>
      </c>
      <c r="K602" s="389">
        <v>103.6</v>
      </c>
    </row>
    <row r="603" spans="1:11" ht="16">
      <c r="B603" s="379" t="s">
        <v>298</v>
      </c>
      <c r="C603" s="383"/>
      <c r="D603" s="384"/>
      <c r="E603" s="383"/>
      <c r="F603" s="384"/>
      <c r="G603" s="384"/>
      <c r="H603" s="384"/>
      <c r="I603" s="384"/>
      <c r="J603" s="384"/>
      <c r="K603" s="414"/>
    </row>
    <row r="604" spans="1:11" ht="16">
      <c r="B604" s="373" t="s">
        <v>676</v>
      </c>
      <c r="C604" s="382">
        <v>46.7</v>
      </c>
      <c r="D604" s="382">
        <v>23.6</v>
      </c>
      <c r="E604" s="382">
        <v>23.1</v>
      </c>
      <c r="F604" s="382">
        <v>9.5</v>
      </c>
      <c r="G604" s="391">
        <v>4.8</v>
      </c>
      <c r="H604" s="382">
        <v>4.7</v>
      </c>
      <c r="I604" s="382">
        <v>37.200000000000003</v>
      </c>
      <c r="J604" s="382">
        <v>18.8</v>
      </c>
      <c r="K604" s="389">
        <v>18.400000000000002</v>
      </c>
    </row>
    <row r="605" spans="1:11" ht="16">
      <c r="B605" s="381" t="s">
        <v>677</v>
      </c>
      <c r="C605" s="383">
        <v>9.1</v>
      </c>
      <c r="D605" s="384">
        <v>4.5999999999999996</v>
      </c>
      <c r="E605" s="383">
        <v>4.5</v>
      </c>
      <c r="F605" s="383">
        <v>9.1</v>
      </c>
      <c r="G605" s="384">
        <v>4.5999999999999996</v>
      </c>
      <c r="H605" s="383">
        <v>4.5</v>
      </c>
      <c r="I605" s="377" t="s">
        <v>207</v>
      </c>
      <c r="J605" s="377" t="s">
        <v>207</v>
      </c>
      <c r="K605" s="378" t="s">
        <v>207</v>
      </c>
    </row>
    <row r="606" spans="1:11" ht="16">
      <c r="B606" s="381" t="s">
        <v>678</v>
      </c>
      <c r="C606" s="383">
        <v>0.4</v>
      </c>
      <c r="D606" s="384">
        <v>0.2</v>
      </c>
      <c r="E606" s="383">
        <v>0.2</v>
      </c>
      <c r="F606" s="383">
        <v>0.4</v>
      </c>
      <c r="G606" s="384">
        <v>0.2</v>
      </c>
      <c r="H606" s="383">
        <v>0.2</v>
      </c>
      <c r="I606" s="377" t="s">
        <v>207</v>
      </c>
      <c r="J606" s="377" t="s">
        <v>207</v>
      </c>
      <c r="K606" s="378" t="s">
        <v>207</v>
      </c>
    </row>
    <row r="607" spans="1:11" ht="16">
      <c r="B607" s="381"/>
      <c r="C607" s="393"/>
      <c r="D607" s="393"/>
      <c r="E607" s="393"/>
      <c r="F607" s="393"/>
      <c r="G607" s="393"/>
      <c r="H607" s="393"/>
      <c r="I607" s="393"/>
      <c r="J607" s="393"/>
      <c r="K607" s="394"/>
    </row>
    <row r="608" spans="1:11" ht="16">
      <c r="B608" s="373" t="s">
        <v>679</v>
      </c>
      <c r="C608" s="382">
        <v>86.7</v>
      </c>
      <c r="D608" s="382">
        <v>43.7</v>
      </c>
      <c r="E608" s="382">
        <v>43</v>
      </c>
      <c r="F608" s="382">
        <v>28.1</v>
      </c>
      <c r="G608" s="391">
        <v>14.3</v>
      </c>
      <c r="H608" s="382">
        <v>13.8</v>
      </c>
      <c r="I608" s="382">
        <v>58.6</v>
      </c>
      <c r="J608" s="382">
        <v>29.400000000000002</v>
      </c>
      <c r="K608" s="389">
        <v>29.2</v>
      </c>
    </row>
    <row r="609" spans="1:11" ht="16">
      <c r="B609" s="381" t="s">
        <v>680</v>
      </c>
      <c r="C609" s="383">
        <v>25.7</v>
      </c>
      <c r="D609" s="384">
        <v>13</v>
      </c>
      <c r="E609" s="383">
        <v>12.7</v>
      </c>
      <c r="F609" s="383">
        <v>25.7</v>
      </c>
      <c r="G609" s="384">
        <v>13</v>
      </c>
      <c r="H609" s="383">
        <v>12.7</v>
      </c>
      <c r="I609" s="377" t="s">
        <v>207</v>
      </c>
      <c r="J609" s="377" t="s">
        <v>207</v>
      </c>
      <c r="K609" s="378" t="s">
        <v>207</v>
      </c>
    </row>
    <row r="610" spans="1:11" ht="16">
      <c r="B610" s="381" t="s">
        <v>681</v>
      </c>
      <c r="C610" s="383">
        <v>0.9</v>
      </c>
      <c r="D610" s="384">
        <v>0.5</v>
      </c>
      <c r="E610" s="383">
        <v>0.4</v>
      </c>
      <c r="F610" s="383">
        <v>0.9</v>
      </c>
      <c r="G610" s="384">
        <v>0.5</v>
      </c>
      <c r="H610" s="383">
        <v>0.4</v>
      </c>
      <c r="I610" s="377" t="s">
        <v>207</v>
      </c>
      <c r="J610" s="377" t="s">
        <v>207</v>
      </c>
      <c r="K610" s="378" t="s">
        <v>207</v>
      </c>
    </row>
    <row r="611" spans="1:11" ht="16">
      <c r="B611" s="381" t="s">
        <v>682</v>
      </c>
      <c r="C611" s="383">
        <v>1.5</v>
      </c>
      <c r="D611" s="384">
        <v>0.8</v>
      </c>
      <c r="E611" s="383">
        <v>0.7</v>
      </c>
      <c r="F611" s="383">
        <v>1.5</v>
      </c>
      <c r="G611" s="384">
        <v>0.8</v>
      </c>
      <c r="H611" s="383">
        <v>0.7</v>
      </c>
      <c r="I611" s="377" t="s">
        <v>207</v>
      </c>
      <c r="J611" s="377" t="s">
        <v>207</v>
      </c>
      <c r="K611" s="378" t="s">
        <v>207</v>
      </c>
    </row>
    <row r="612" spans="1:11" ht="16">
      <c r="B612" s="381"/>
      <c r="C612" s="410"/>
      <c r="D612" s="410"/>
      <c r="E612" s="410"/>
      <c r="F612" s="410"/>
      <c r="G612" s="410"/>
      <c r="H612" s="410"/>
      <c r="I612" s="410"/>
      <c r="J612" s="410"/>
      <c r="K612" s="411"/>
    </row>
    <row r="613" spans="1:11" ht="16">
      <c r="B613" s="373" t="s">
        <v>683</v>
      </c>
      <c r="C613" s="382">
        <v>80.099999999999994</v>
      </c>
      <c r="D613" s="382">
        <v>40.299999999999997</v>
      </c>
      <c r="E613" s="382">
        <v>39.799999999999997</v>
      </c>
      <c r="F613" s="382">
        <v>22</v>
      </c>
      <c r="G613" s="391">
        <v>11</v>
      </c>
      <c r="H613" s="382">
        <v>11</v>
      </c>
      <c r="I613" s="382">
        <v>58.099999999999994</v>
      </c>
      <c r="J613" s="382">
        <v>29.299999999999997</v>
      </c>
      <c r="K613" s="389">
        <v>28.799999999999997</v>
      </c>
    </row>
    <row r="614" spans="1:11" ht="16">
      <c r="B614" s="381" t="s">
        <v>684</v>
      </c>
      <c r="C614" s="383">
        <v>22</v>
      </c>
      <c r="D614" s="384">
        <v>11</v>
      </c>
      <c r="E614" s="383">
        <v>11</v>
      </c>
      <c r="F614" s="383">
        <v>22</v>
      </c>
      <c r="G614" s="384">
        <v>11</v>
      </c>
      <c r="H614" s="383">
        <v>11</v>
      </c>
      <c r="I614" s="377" t="s">
        <v>207</v>
      </c>
      <c r="J614" s="377" t="s">
        <v>207</v>
      </c>
      <c r="K614" s="378" t="s">
        <v>207</v>
      </c>
    </row>
    <row r="615" spans="1:11" ht="16">
      <c r="B615" s="381"/>
      <c r="C615" s="405"/>
      <c r="D615" s="405"/>
      <c r="E615" s="405"/>
      <c r="F615" s="405"/>
      <c r="G615" s="405"/>
      <c r="H615" s="405"/>
      <c r="I615" s="405"/>
      <c r="J615" s="405"/>
      <c r="K615" s="406"/>
    </row>
    <row r="616" spans="1:11" ht="16">
      <c r="B616" s="373" t="s">
        <v>685</v>
      </c>
      <c r="C616" s="382">
        <v>105.1</v>
      </c>
      <c r="D616" s="382">
        <v>52.7</v>
      </c>
      <c r="E616" s="382">
        <v>52.399999999999991</v>
      </c>
      <c r="F616" s="382">
        <v>49.4</v>
      </c>
      <c r="G616" s="391">
        <v>24.2</v>
      </c>
      <c r="H616" s="382">
        <v>25.2</v>
      </c>
      <c r="I616" s="382">
        <v>55.699999999999996</v>
      </c>
      <c r="J616" s="382">
        <v>28.500000000000004</v>
      </c>
      <c r="K616" s="389">
        <v>27.199999999999992</v>
      </c>
    </row>
    <row r="617" spans="1:11" ht="16">
      <c r="B617" s="381" t="s">
        <v>686</v>
      </c>
      <c r="C617" s="383">
        <v>40.1</v>
      </c>
      <c r="D617" s="384">
        <v>19.600000000000001</v>
      </c>
      <c r="E617" s="383">
        <v>20.5</v>
      </c>
      <c r="F617" s="383">
        <v>40.1</v>
      </c>
      <c r="G617" s="384">
        <v>19.600000000000001</v>
      </c>
      <c r="H617" s="383">
        <v>20.5</v>
      </c>
      <c r="I617" s="377" t="s">
        <v>207</v>
      </c>
      <c r="J617" s="377" t="s">
        <v>207</v>
      </c>
      <c r="K617" s="378" t="s">
        <v>207</v>
      </c>
    </row>
    <row r="618" spans="1:11" ht="16">
      <c r="B618" s="381" t="s">
        <v>687</v>
      </c>
      <c r="C618" s="383">
        <v>3.8</v>
      </c>
      <c r="D618" s="384">
        <v>1.9</v>
      </c>
      <c r="E618" s="383">
        <v>1.9</v>
      </c>
      <c r="F618" s="383">
        <v>3.8</v>
      </c>
      <c r="G618" s="384">
        <v>1.9</v>
      </c>
      <c r="H618" s="383">
        <v>1.9</v>
      </c>
      <c r="I618" s="377" t="s">
        <v>207</v>
      </c>
      <c r="J618" s="377" t="s">
        <v>207</v>
      </c>
      <c r="K618" s="378" t="s">
        <v>207</v>
      </c>
    </row>
    <row r="619" spans="1:11" ht="16">
      <c r="B619" s="381" t="s">
        <v>688</v>
      </c>
      <c r="C619" s="383">
        <v>0.1</v>
      </c>
      <c r="D619" s="384">
        <v>0.1</v>
      </c>
      <c r="E619" s="383">
        <v>0</v>
      </c>
      <c r="F619" s="383">
        <v>0.1</v>
      </c>
      <c r="G619" s="384">
        <v>0.1</v>
      </c>
      <c r="H619" s="383">
        <v>0</v>
      </c>
      <c r="I619" s="377" t="s">
        <v>207</v>
      </c>
      <c r="J619" s="377" t="s">
        <v>207</v>
      </c>
      <c r="K619" s="378" t="s">
        <v>207</v>
      </c>
    </row>
    <row r="620" spans="1:11" ht="16">
      <c r="B620" s="381" t="s">
        <v>689</v>
      </c>
      <c r="C620" s="383">
        <v>2.5</v>
      </c>
      <c r="D620" s="384">
        <v>1.2</v>
      </c>
      <c r="E620" s="383">
        <v>1.3</v>
      </c>
      <c r="F620" s="383">
        <v>2.5</v>
      </c>
      <c r="G620" s="384">
        <v>1.2</v>
      </c>
      <c r="H620" s="383">
        <v>1.3</v>
      </c>
      <c r="I620" s="377" t="s">
        <v>207</v>
      </c>
      <c r="J620" s="377" t="s">
        <v>207</v>
      </c>
      <c r="K620" s="378" t="s">
        <v>207</v>
      </c>
    </row>
    <row r="621" spans="1:11" ht="16">
      <c r="B621" s="381" t="s">
        <v>690</v>
      </c>
      <c r="C621" s="383">
        <v>2.9</v>
      </c>
      <c r="D621" s="384">
        <v>1.4</v>
      </c>
      <c r="E621" s="383">
        <v>1.5</v>
      </c>
      <c r="F621" s="383">
        <v>2.9</v>
      </c>
      <c r="G621" s="384">
        <v>1.4</v>
      </c>
      <c r="H621" s="383">
        <v>1.5</v>
      </c>
      <c r="I621" s="377" t="s">
        <v>207</v>
      </c>
      <c r="J621" s="377" t="s">
        <v>207</v>
      </c>
      <c r="K621" s="378" t="s">
        <v>207</v>
      </c>
    </row>
    <row r="622" spans="1:11" ht="16">
      <c r="B622" s="381" t="s">
        <v>691</v>
      </c>
      <c r="C622" s="383">
        <v>0</v>
      </c>
      <c r="D622" s="384">
        <v>0</v>
      </c>
      <c r="E622" s="383">
        <v>0</v>
      </c>
      <c r="F622" s="383">
        <v>0</v>
      </c>
      <c r="G622" s="384">
        <v>0</v>
      </c>
      <c r="H622" s="383">
        <v>0</v>
      </c>
      <c r="I622" s="377" t="s">
        <v>207</v>
      </c>
      <c r="J622" s="377" t="s">
        <v>207</v>
      </c>
      <c r="K622" s="378" t="s">
        <v>207</v>
      </c>
    </row>
    <row r="623" spans="1:11" ht="16">
      <c r="B623" s="381"/>
      <c r="C623" s="405"/>
      <c r="D623" s="405"/>
      <c r="E623" s="405"/>
      <c r="F623" s="405"/>
      <c r="G623" s="405"/>
      <c r="H623" s="405"/>
      <c r="I623" s="405"/>
      <c r="J623" s="405"/>
      <c r="K623" s="406"/>
    </row>
    <row r="624" spans="1:11" ht="16">
      <c r="A624" s="106" t="s">
        <v>831</v>
      </c>
      <c r="B624" s="373" t="s">
        <v>692</v>
      </c>
      <c r="C624" s="382">
        <v>456.09999999999991</v>
      </c>
      <c r="D624" s="382">
        <v>227.69999999999996</v>
      </c>
      <c r="E624" s="382">
        <v>228.39999999999995</v>
      </c>
      <c r="F624" s="382">
        <v>134.5</v>
      </c>
      <c r="G624" s="382">
        <v>67.099999999999994</v>
      </c>
      <c r="H624" s="382">
        <v>67.400000000000006</v>
      </c>
      <c r="I624" s="382">
        <v>321.60000000000002</v>
      </c>
      <c r="J624" s="382">
        <v>160.6</v>
      </c>
      <c r="K624" s="389">
        <v>161.00000000000003</v>
      </c>
    </row>
    <row r="625" spans="2:11" ht="16">
      <c r="B625" s="379" t="s">
        <v>298</v>
      </c>
      <c r="C625" s="375"/>
      <c r="D625" s="375"/>
      <c r="E625" s="375"/>
      <c r="F625" s="375"/>
      <c r="G625" s="375"/>
      <c r="H625" s="375"/>
      <c r="I625" s="375"/>
      <c r="J625" s="375"/>
      <c r="K625" s="376"/>
    </row>
    <row r="626" spans="2:11" ht="16">
      <c r="B626" s="415" t="s">
        <v>693</v>
      </c>
      <c r="C626" s="382">
        <v>93.7</v>
      </c>
      <c r="D626" s="382">
        <v>46.8</v>
      </c>
      <c r="E626" s="382">
        <v>46.900000000000006</v>
      </c>
      <c r="F626" s="382">
        <v>83.2</v>
      </c>
      <c r="G626" s="391">
        <v>41.5</v>
      </c>
      <c r="H626" s="391">
        <v>41.7</v>
      </c>
      <c r="I626" s="382">
        <v>10.5</v>
      </c>
      <c r="J626" s="382">
        <v>5.2999999999999972</v>
      </c>
      <c r="K626" s="389">
        <v>5.2000000000000028</v>
      </c>
    </row>
    <row r="627" spans="2:11" ht="16">
      <c r="B627" s="381" t="s">
        <v>694</v>
      </c>
      <c r="C627" s="383">
        <v>80.3</v>
      </c>
      <c r="D627" s="384">
        <v>40</v>
      </c>
      <c r="E627" s="383">
        <v>40.299999999999997</v>
      </c>
      <c r="F627" s="383">
        <v>80.3</v>
      </c>
      <c r="G627" s="384">
        <v>40</v>
      </c>
      <c r="H627" s="383">
        <v>40.299999999999997</v>
      </c>
      <c r="I627" s="377" t="s">
        <v>207</v>
      </c>
      <c r="J627" s="377" t="s">
        <v>207</v>
      </c>
      <c r="K627" s="378" t="s">
        <v>207</v>
      </c>
    </row>
    <row r="628" spans="2:11" ht="16">
      <c r="B628" s="381" t="s">
        <v>462</v>
      </c>
      <c r="C628" s="383">
        <v>2.9</v>
      </c>
      <c r="D628" s="384">
        <v>1.5</v>
      </c>
      <c r="E628" s="383">
        <v>1.4</v>
      </c>
      <c r="F628" s="383">
        <v>2.9</v>
      </c>
      <c r="G628" s="384">
        <v>1.5</v>
      </c>
      <c r="H628" s="383">
        <v>1.4</v>
      </c>
      <c r="I628" s="377" t="s">
        <v>207</v>
      </c>
      <c r="J628" s="377" t="s">
        <v>207</v>
      </c>
      <c r="K628" s="378" t="s">
        <v>207</v>
      </c>
    </row>
    <row r="629" spans="2:11" ht="16">
      <c r="B629" s="381"/>
      <c r="C629" s="405"/>
      <c r="D629" s="405"/>
      <c r="E629" s="405"/>
      <c r="F629" s="405"/>
      <c r="G629" s="405"/>
      <c r="H629" s="405"/>
      <c r="I629" s="405"/>
      <c r="J629" s="405"/>
      <c r="K629" s="406"/>
    </row>
    <row r="630" spans="2:11" ht="16">
      <c r="B630" s="415" t="s">
        <v>695</v>
      </c>
      <c r="C630" s="382">
        <v>116.6</v>
      </c>
      <c r="D630" s="382">
        <v>57.9</v>
      </c>
      <c r="E630" s="382">
        <v>58.699999999999996</v>
      </c>
      <c r="F630" s="382">
        <v>7.4</v>
      </c>
      <c r="G630" s="391">
        <v>3.6</v>
      </c>
      <c r="H630" s="382">
        <v>3.8000000000000003</v>
      </c>
      <c r="I630" s="382">
        <v>109.19999999999999</v>
      </c>
      <c r="J630" s="382">
        <v>54.3</v>
      </c>
      <c r="K630" s="389">
        <v>54.899999999999991</v>
      </c>
    </row>
    <row r="631" spans="2:11" ht="16">
      <c r="B631" s="381" t="s">
        <v>696</v>
      </c>
      <c r="C631" s="383">
        <v>7.4</v>
      </c>
      <c r="D631" s="384">
        <v>3.6</v>
      </c>
      <c r="E631" s="383">
        <v>3.8000000000000003</v>
      </c>
      <c r="F631" s="383">
        <v>7.4</v>
      </c>
      <c r="G631" s="384">
        <v>3.6</v>
      </c>
      <c r="H631" s="383">
        <v>3.8000000000000003</v>
      </c>
      <c r="I631" s="377" t="s">
        <v>207</v>
      </c>
      <c r="J631" s="377" t="s">
        <v>207</v>
      </c>
      <c r="K631" s="378" t="s">
        <v>207</v>
      </c>
    </row>
    <row r="632" spans="2:11" ht="16">
      <c r="B632" s="381"/>
      <c r="C632" s="393"/>
      <c r="D632" s="393"/>
      <c r="E632" s="393"/>
      <c r="F632" s="393"/>
      <c r="G632" s="393"/>
      <c r="H632" s="393"/>
      <c r="I632" s="393"/>
      <c r="J632" s="393"/>
      <c r="K632" s="394"/>
    </row>
    <row r="633" spans="2:11" ht="16">
      <c r="B633" s="415" t="s">
        <v>697</v>
      </c>
      <c r="C633" s="382">
        <v>75.599999999999994</v>
      </c>
      <c r="D633" s="382">
        <v>37.700000000000003</v>
      </c>
      <c r="E633" s="382">
        <v>37.899999999999991</v>
      </c>
      <c r="F633" s="382">
        <v>5.8</v>
      </c>
      <c r="G633" s="391">
        <v>2.9</v>
      </c>
      <c r="H633" s="382">
        <v>2.9</v>
      </c>
      <c r="I633" s="382">
        <v>69.8</v>
      </c>
      <c r="J633" s="382">
        <v>34.800000000000004</v>
      </c>
      <c r="K633" s="389">
        <v>34.999999999999993</v>
      </c>
    </row>
    <row r="634" spans="2:11" ht="16">
      <c r="B634" s="381" t="s">
        <v>698</v>
      </c>
      <c r="C634" s="383">
        <v>5.8</v>
      </c>
      <c r="D634" s="384">
        <v>2.9</v>
      </c>
      <c r="E634" s="383">
        <v>2.9</v>
      </c>
      <c r="F634" s="383">
        <v>5.8</v>
      </c>
      <c r="G634" s="384">
        <v>2.9</v>
      </c>
      <c r="H634" s="383">
        <v>2.9</v>
      </c>
      <c r="I634" s="377" t="s">
        <v>207</v>
      </c>
      <c r="J634" s="377" t="s">
        <v>207</v>
      </c>
      <c r="K634" s="378" t="s">
        <v>207</v>
      </c>
    </row>
    <row r="635" spans="2:11" ht="16">
      <c r="B635" s="381"/>
      <c r="C635" s="386"/>
      <c r="D635" s="386"/>
      <c r="E635" s="386"/>
      <c r="F635" s="386"/>
      <c r="G635" s="386"/>
      <c r="H635" s="386"/>
      <c r="I635" s="386"/>
      <c r="J635" s="386"/>
      <c r="K635" s="395"/>
    </row>
    <row r="636" spans="2:11" ht="16">
      <c r="B636" s="415" t="s">
        <v>699</v>
      </c>
      <c r="C636" s="382">
        <v>50</v>
      </c>
      <c r="D636" s="382">
        <v>24.9</v>
      </c>
      <c r="E636" s="382">
        <v>25.1</v>
      </c>
      <c r="F636" s="382">
        <v>11.2</v>
      </c>
      <c r="G636" s="391">
        <v>5.6</v>
      </c>
      <c r="H636" s="382">
        <v>5.6</v>
      </c>
      <c r="I636" s="382">
        <v>38.799999999999997</v>
      </c>
      <c r="J636" s="382">
        <v>19.299999999999997</v>
      </c>
      <c r="K636" s="389">
        <v>19.5</v>
      </c>
    </row>
    <row r="637" spans="2:11" ht="16">
      <c r="B637" s="381" t="s">
        <v>700</v>
      </c>
      <c r="C637" s="383">
        <v>10.7</v>
      </c>
      <c r="D637" s="384">
        <v>5.3</v>
      </c>
      <c r="E637" s="383">
        <v>5.3999999999999995</v>
      </c>
      <c r="F637" s="383">
        <v>10.7</v>
      </c>
      <c r="G637" s="384">
        <v>5.3</v>
      </c>
      <c r="H637" s="383">
        <v>5.3999999999999995</v>
      </c>
      <c r="I637" s="377" t="s">
        <v>207</v>
      </c>
      <c r="J637" s="377" t="s">
        <v>207</v>
      </c>
      <c r="K637" s="378" t="s">
        <v>207</v>
      </c>
    </row>
    <row r="638" spans="2:11" ht="16">
      <c r="B638" s="381" t="s">
        <v>701</v>
      </c>
      <c r="C638" s="383">
        <v>0.1</v>
      </c>
      <c r="D638" s="384">
        <v>0.1</v>
      </c>
      <c r="E638" s="383">
        <v>0</v>
      </c>
      <c r="F638" s="383">
        <v>0.1</v>
      </c>
      <c r="G638" s="384">
        <v>0.1</v>
      </c>
      <c r="H638" s="383">
        <v>0</v>
      </c>
      <c r="I638" s="377" t="s">
        <v>207</v>
      </c>
      <c r="J638" s="377" t="s">
        <v>207</v>
      </c>
      <c r="K638" s="378" t="s">
        <v>207</v>
      </c>
    </row>
    <row r="639" spans="2:11" ht="16">
      <c r="B639" s="381" t="s">
        <v>702</v>
      </c>
      <c r="C639" s="383">
        <v>0</v>
      </c>
      <c r="D639" s="384">
        <v>0</v>
      </c>
      <c r="E639" s="383">
        <v>0</v>
      </c>
      <c r="F639" s="383">
        <v>0</v>
      </c>
      <c r="G639" s="384">
        <v>0</v>
      </c>
      <c r="H639" s="383">
        <v>0</v>
      </c>
      <c r="I639" s="377" t="s">
        <v>207</v>
      </c>
      <c r="J639" s="377" t="s">
        <v>207</v>
      </c>
      <c r="K639" s="378" t="s">
        <v>207</v>
      </c>
    </row>
    <row r="640" spans="2:11" ht="16">
      <c r="B640" s="381" t="s">
        <v>703</v>
      </c>
      <c r="C640" s="383">
        <v>0.4</v>
      </c>
      <c r="D640" s="384">
        <v>0.2</v>
      </c>
      <c r="E640" s="383">
        <v>0.2</v>
      </c>
      <c r="F640" s="383">
        <v>0.4</v>
      </c>
      <c r="G640" s="384">
        <v>0.2</v>
      </c>
      <c r="H640" s="383">
        <v>0.2</v>
      </c>
      <c r="I640" s="377" t="s">
        <v>207</v>
      </c>
      <c r="J640" s="377" t="s">
        <v>207</v>
      </c>
      <c r="K640" s="378" t="s">
        <v>207</v>
      </c>
    </row>
    <row r="641" spans="2:11" ht="16">
      <c r="B641" s="381"/>
      <c r="C641" s="393"/>
      <c r="D641" s="393"/>
      <c r="E641" s="393"/>
      <c r="F641" s="393"/>
      <c r="G641" s="393"/>
      <c r="H641" s="393"/>
      <c r="I641" s="393"/>
      <c r="J641" s="393"/>
      <c r="K641" s="394"/>
    </row>
    <row r="642" spans="2:11" ht="16">
      <c r="B642" s="415" t="s">
        <v>704</v>
      </c>
      <c r="C642" s="382">
        <v>46.7</v>
      </c>
      <c r="D642" s="382">
        <v>23.5</v>
      </c>
      <c r="E642" s="382">
        <v>23.200000000000003</v>
      </c>
      <c r="F642" s="382">
        <v>13.4</v>
      </c>
      <c r="G642" s="391">
        <v>6.8</v>
      </c>
      <c r="H642" s="382">
        <v>6.6000000000000005</v>
      </c>
      <c r="I642" s="382">
        <v>33.300000000000004</v>
      </c>
      <c r="J642" s="382">
        <v>16.7</v>
      </c>
      <c r="K642" s="389">
        <v>16.600000000000005</v>
      </c>
    </row>
    <row r="643" spans="2:11" ht="16">
      <c r="B643" s="381" t="s">
        <v>705</v>
      </c>
      <c r="C643" s="383">
        <v>13.4</v>
      </c>
      <c r="D643" s="384">
        <v>6.8</v>
      </c>
      <c r="E643" s="383">
        <v>6.6000000000000005</v>
      </c>
      <c r="F643" s="383">
        <v>13.4</v>
      </c>
      <c r="G643" s="384">
        <v>6.8</v>
      </c>
      <c r="H643" s="383">
        <v>6.6000000000000005</v>
      </c>
      <c r="I643" s="377" t="s">
        <v>207</v>
      </c>
      <c r="J643" s="377" t="s">
        <v>207</v>
      </c>
      <c r="K643" s="378" t="s">
        <v>207</v>
      </c>
    </row>
    <row r="644" spans="2:11" ht="16">
      <c r="B644" s="381"/>
      <c r="C644" s="393"/>
      <c r="D644" s="393"/>
      <c r="E644" s="393"/>
      <c r="F644" s="393"/>
      <c r="G644" s="393"/>
      <c r="H644" s="393"/>
      <c r="I644" s="393"/>
      <c r="J644" s="393"/>
      <c r="K644" s="394"/>
    </row>
    <row r="645" spans="2:11" ht="16">
      <c r="B645" s="415" t="s">
        <v>706</v>
      </c>
      <c r="C645" s="382">
        <v>32.4</v>
      </c>
      <c r="D645" s="382">
        <v>16.100000000000001</v>
      </c>
      <c r="E645" s="382">
        <v>16.299999999999997</v>
      </c>
      <c r="F645" s="382">
        <v>6.1</v>
      </c>
      <c r="G645" s="391">
        <v>3</v>
      </c>
      <c r="H645" s="382">
        <v>3.0999999999999996</v>
      </c>
      <c r="I645" s="382">
        <v>26.299999999999997</v>
      </c>
      <c r="J645" s="382">
        <v>13.100000000000001</v>
      </c>
      <c r="K645" s="389">
        <v>13.199999999999996</v>
      </c>
    </row>
    <row r="646" spans="2:11" ht="16">
      <c r="B646" s="381" t="s">
        <v>707</v>
      </c>
      <c r="C646" s="383">
        <v>6.1</v>
      </c>
      <c r="D646" s="384">
        <v>3</v>
      </c>
      <c r="E646" s="383">
        <v>3.0999999999999996</v>
      </c>
      <c r="F646" s="383">
        <v>6.1</v>
      </c>
      <c r="G646" s="384">
        <v>3</v>
      </c>
      <c r="H646" s="383">
        <v>3.0999999999999996</v>
      </c>
      <c r="I646" s="377" t="s">
        <v>207</v>
      </c>
      <c r="J646" s="377" t="s">
        <v>207</v>
      </c>
      <c r="K646" s="378" t="s">
        <v>207</v>
      </c>
    </row>
    <row r="647" spans="2:11" ht="16">
      <c r="B647" s="381"/>
      <c r="C647" s="393"/>
      <c r="D647" s="393"/>
      <c r="E647" s="393"/>
      <c r="F647" s="393"/>
      <c r="G647" s="393"/>
      <c r="H647" s="393"/>
      <c r="I647" s="393"/>
      <c r="J647" s="393"/>
      <c r="K647" s="394"/>
    </row>
    <row r="648" spans="2:11" ht="16">
      <c r="B648" s="415" t="s">
        <v>708</v>
      </c>
      <c r="C648" s="382">
        <v>25.2</v>
      </c>
      <c r="D648" s="382">
        <v>12.7</v>
      </c>
      <c r="E648" s="382">
        <v>12.5</v>
      </c>
      <c r="F648" s="382">
        <v>5.2</v>
      </c>
      <c r="G648" s="391">
        <v>2.6</v>
      </c>
      <c r="H648" s="382">
        <v>2.6</v>
      </c>
      <c r="I648" s="382">
        <v>20</v>
      </c>
      <c r="J648" s="382">
        <v>10.1</v>
      </c>
      <c r="K648" s="389">
        <v>9.9</v>
      </c>
    </row>
    <row r="649" spans="2:11" ht="16">
      <c r="B649" s="381" t="s">
        <v>709</v>
      </c>
      <c r="C649" s="383">
        <v>4.5</v>
      </c>
      <c r="D649" s="384">
        <v>2.2000000000000002</v>
      </c>
      <c r="E649" s="383">
        <v>2.2999999999999998</v>
      </c>
      <c r="F649" s="383">
        <v>4.5</v>
      </c>
      <c r="G649" s="384">
        <v>2.2000000000000002</v>
      </c>
      <c r="H649" s="383">
        <v>2.2999999999999998</v>
      </c>
      <c r="I649" s="377" t="s">
        <v>207</v>
      </c>
      <c r="J649" s="377" t="s">
        <v>207</v>
      </c>
      <c r="K649" s="378" t="s">
        <v>207</v>
      </c>
    </row>
    <row r="650" spans="2:11" ht="16">
      <c r="B650" s="381" t="s">
        <v>710</v>
      </c>
      <c r="C650" s="383">
        <v>0.7</v>
      </c>
      <c r="D650" s="384">
        <v>0.4</v>
      </c>
      <c r="E650" s="383">
        <v>0.29999999999999993</v>
      </c>
      <c r="F650" s="383">
        <v>0.7</v>
      </c>
      <c r="G650" s="384">
        <v>0.4</v>
      </c>
      <c r="H650" s="383">
        <v>0.29999999999999993</v>
      </c>
      <c r="I650" s="377" t="s">
        <v>207</v>
      </c>
      <c r="J650" s="377" t="s">
        <v>207</v>
      </c>
      <c r="K650" s="378" t="s">
        <v>207</v>
      </c>
    </row>
    <row r="651" spans="2:11" ht="16">
      <c r="B651" s="381"/>
      <c r="C651" s="393"/>
      <c r="D651" s="393"/>
      <c r="E651" s="393"/>
      <c r="F651" s="393"/>
      <c r="G651" s="393"/>
      <c r="H651" s="393"/>
      <c r="I651" s="393"/>
      <c r="J651" s="393"/>
      <c r="K651" s="394"/>
    </row>
    <row r="652" spans="2:11" ht="16">
      <c r="B652" s="415" t="s">
        <v>711</v>
      </c>
      <c r="C652" s="375">
        <v>15.9</v>
      </c>
      <c r="D652" s="375">
        <v>8.1</v>
      </c>
      <c r="E652" s="375">
        <v>7.8</v>
      </c>
      <c r="F652" s="375">
        <v>2.2000000000000002</v>
      </c>
      <c r="G652" s="375">
        <v>1.1000000000000001</v>
      </c>
      <c r="H652" s="375">
        <v>1.1000000000000001</v>
      </c>
      <c r="I652" s="375">
        <v>13.7</v>
      </c>
      <c r="J652" s="375">
        <v>7</v>
      </c>
      <c r="K652" s="376">
        <v>6.7000000000000011</v>
      </c>
    </row>
    <row r="653" spans="2:11" ht="17" thickBot="1">
      <c r="B653" s="416" t="s">
        <v>712</v>
      </c>
      <c r="C653" s="417">
        <v>2.2000000000000002</v>
      </c>
      <c r="D653" s="417">
        <v>1.1000000000000001</v>
      </c>
      <c r="E653" s="417">
        <v>1.1000000000000001</v>
      </c>
      <c r="F653" s="417">
        <v>2.2000000000000002</v>
      </c>
      <c r="G653" s="417">
        <v>1.1000000000000001</v>
      </c>
      <c r="H653" s="417">
        <v>1.1000000000000001</v>
      </c>
      <c r="I653" s="417" t="s">
        <v>207</v>
      </c>
      <c r="J653" s="417" t="s">
        <v>207</v>
      </c>
      <c r="K653" s="418" t="s">
        <v>207</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workbookViewId="0">
      <selection activeCell="N35" sqref="N35"/>
    </sheetView>
  </sheetViews>
  <sheetFormatPr baseColWidth="10" defaultColWidth="10.6640625" defaultRowHeight="14"/>
  <cols>
    <col min="1" max="1" width="5.6640625" style="301" customWidth="1"/>
    <col min="2" max="2" width="35.6640625" style="301" customWidth="1"/>
    <col min="3" max="15" width="12.6640625" style="301" customWidth="1"/>
    <col min="16" max="256" width="10.6640625" style="301"/>
    <col min="257" max="257" width="5.6640625" style="301" customWidth="1"/>
    <col min="258" max="258" width="35.6640625" style="301" customWidth="1"/>
    <col min="259" max="271" width="12.6640625" style="301" customWidth="1"/>
    <col min="272" max="512" width="10.6640625" style="301"/>
    <col min="513" max="513" width="5.6640625" style="301" customWidth="1"/>
    <col min="514" max="514" width="35.6640625" style="301" customWidth="1"/>
    <col min="515" max="527" width="12.6640625" style="301" customWidth="1"/>
    <col min="528" max="768" width="10.6640625" style="301"/>
    <col min="769" max="769" width="5.6640625" style="301" customWidth="1"/>
    <col min="770" max="770" width="35.6640625" style="301" customWidth="1"/>
    <col min="771" max="783" width="12.6640625" style="301" customWidth="1"/>
    <col min="784" max="1024" width="10.6640625" style="301"/>
    <col min="1025" max="1025" width="5.6640625" style="301" customWidth="1"/>
    <col min="1026" max="1026" width="35.6640625" style="301" customWidth="1"/>
    <col min="1027" max="1039" width="12.6640625" style="301" customWidth="1"/>
    <col min="1040" max="1280" width="10.6640625" style="301"/>
    <col min="1281" max="1281" width="5.6640625" style="301" customWidth="1"/>
    <col min="1282" max="1282" width="35.6640625" style="301" customWidth="1"/>
    <col min="1283" max="1295" width="12.6640625" style="301" customWidth="1"/>
    <col min="1296" max="1536" width="10.6640625" style="301"/>
    <col min="1537" max="1537" width="5.6640625" style="301" customWidth="1"/>
    <col min="1538" max="1538" width="35.6640625" style="301" customWidth="1"/>
    <col min="1539" max="1551" width="12.6640625" style="301" customWidth="1"/>
    <col min="1552" max="1792" width="10.6640625" style="301"/>
    <col min="1793" max="1793" width="5.6640625" style="301" customWidth="1"/>
    <col min="1794" max="1794" width="35.6640625" style="301" customWidth="1"/>
    <col min="1795" max="1807" width="12.6640625" style="301" customWidth="1"/>
    <col min="1808" max="2048" width="10.6640625" style="301"/>
    <col min="2049" max="2049" width="5.6640625" style="301" customWidth="1"/>
    <col min="2050" max="2050" width="35.6640625" style="301" customWidth="1"/>
    <col min="2051" max="2063" width="12.6640625" style="301" customWidth="1"/>
    <col min="2064" max="2304" width="10.6640625" style="301"/>
    <col min="2305" max="2305" width="5.6640625" style="301" customWidth="1"/>
    <col min="2306" max="2306" width="35.6640625" style="301" customWidth="1"/>
    <col min="2307" max="2319" width="12.6640625" style="301" customWidth="1"/>
    <col min="2320" max="2560" width="10.6640625" style="301"/>
    <col min="2561" max="2561" width="5.6640625" style="301" customWidth="1"/>
    <col min="2562" max="2562" width="35.6640625" style="301" customWidth="1"/>
    <col min="2563" max="2575" width="12.6640625" style="301" customWidth="1"/>
    <col min="2576" max="2816" width="10.6640625" style="301"/>
    <col min="2817" max="2817" width="5.6640625" style="301" customWidth="1"/>
    <col min="2818" max="2818" width="35.6640625" style="301" customWidth="1"/>
    <col min="2819" max="2831" width="12.6640625" style="301" customWidth="1"/>
    <col min="2832" max="3072" width="10.6640625" style="301"/>
    <col min="3073" max="3073" width="5.6640625" style="301" customWidth="1"/>
    <col min="3074" max="3074" width="35.6640625" style="301" customWidth="1"/>
    <col min="3075" max="3087" width="12.6640625" style="301" customWidth="1"/>
    <col min="3088" max="3328" width="10.6640625" style="301"/>
    <col min="3329" max="3329" width="5.6640625" style="301" customWidth="1"/>
    <col min="3330" max="3330" width="35.6640625" style="301" customWidth="1"/>
    <col min="3331" max="3343" width="12.6640625" style="301" customWidth="1"/>
    <col min="3344" max="3584" width="10.6640625" style="301"/>
    <col min="3585" max="3585" width="5.6640625" style="301" customWidth="1"/>
    <col min="3586" max="3586" width="35.6640625" style="301" customWidth="1"/>
    <col min="3587" max="3599" width="12.6640625" style="301" customWidth="1"/>
    <col min="3600" max="3840" width="10.6640625" style="301"/>
    <col min="3841" max="3841" width="5.6640625" style="301" customWidth="1"/>
    <col min="3842" max="3842" width="35.6640625" style="301" customWidth="1"/>
    <col min="3843" max="3855" width="12.6640625" style="301" customWidth="1"/>
    <col min="3856" max="4096" width="10.6640625" style="301"/>
    <col min="4097" max="4097" width="5.6640625" style="301" customWidth="1"/>
    <col min="4098" max="4098" width="35.6640625" style="301" customWidth="1"/>
    <col min="4099" max="4111" width="12.6640625" style="301" customWidth="1"/>
    <col min="4112" max="4352" width="10.6640625" style="301"/>
    <col min="4353" max="4353" width="5.6640625" style="301" customWidth="1"/>
    <col min="4354" max="4354" width="35.6640625" style="301" customWidth="1"/>
    <col min="4355" max="4367" width="12.6640625" style="301" customWidth="1"/>
    <col min="4368" max="4608" width="10.6640625" style="301"/>
    <col min="4609" max="4609" width="5.6640625" style="301" customWidth="1"/>
    <col min="4610" max="4610" width="35.6640625" style="301" customWidth="1"/>
    <col min="4611" max="4623" width="12.6640625" style="301" customWidth="1"/>
    <col min="4624" max="4864" width="10.6640625" style="301"/>
    <col min="4865" max="4865" width="5.6640625" style="301" customWidth="1"/>
    <col min="4866" max="4866" width="35.6640625" style="301" customWidth="1"/>
    <col min="4867" max="4879" width="12.6640625" style="301" customWidth="1"/>
    <col min="4880" max="5120" width="10.6640625" style="301"/>
    <col min="5121" max="5121" width="5.6640625" style="301" customWidth="1"/>
    <col min="5122" max="5122" width="35.6640625" style="301" customWidth="1"/>
    <col min="5123" max="5135" width="12.6640625" style="301" customWidth="1"/>
    <col min="5136" max="5376" width="10.6640625" style="301"/>
    <col min="5377" max="5377" width="5.6640625" style="301" customWidth="1"/>
    <col min="5378" max="5378" width="35.6640625" style="301" customWidth="1"/>
    <col min="5379" max="5391" width="12.6640625" style="301" customWidth="1"/>
    <col min="5392" max="5632" width="10.6640625" style="301"/>
    <col min="5633" max="5633" width="5.6640625" style="301" customWidth="1"/>
    <col min="5634" max="5634" width="35.6640625" style="301" customWidth="1"/>
    <col min="5635" max="5647" width="12.6640625" style="301" customWidth="1"/>
    <col min="5648" max="5888" width="10.6640625" style="301"/>
    <col min="5889" max="5889" width="5.6640625" style="301" customWidth="1"/>
    <col min="5890" max="5890" width="35.6640625" style="301" customWidth="1"/>
    <col min="5891" max="5903" width="12.6640625" style="301" customWidth="1"/>
    <col min="5904" max="6144" width="10.6640625" style="301"/>
    <col min="6145" max="6145" width="5.6640625" style="301" customWidth="1"/>
    <col min="6146" max="6146" width="35.6640625" style="301" customWidth="1"/>
    <col min="6147" max="6159" width="12.6640625" style="301" customWidth="1"/>
    <col min="6160" max="6400" width="10.6640625" style="301"/>
    <col min="6401" max="6401" width="5.6640625" style="301" customWidth="1"/>
    <col min="6402" max="6402" width="35.6640625" style="301" customWidth="1"/>
    <col min="6403" max="6415" width="12.6640625" style="301" customWidth="1"/>
    <col min="6416" max="6656" width="10.6640625" style="301"/>
    <col min="6657" max="6657" width="5.6640625" style="301" customWidth="1"/>
    <col min="6658" max="6658" width="35.6640625" style="301" customWidth="1"/>
    <col min="6659" max="6671" width="12.6640625" style="301" customWidth="1"/>
    <col min="6672" max="6912" width="10.6640625" style="301"/>
    <col min="6913" max="6913" width="5.6640625" style="301" customWidth="1"/>
    <col min="6914" max="6914" width="35.6640625" style="301" customWidth="1"/>
    <col min="6915" max="6927" width="12.6640625" style="301" customWidth="1"/>
    <col min="6928" max="7168" width="10.6640625" style="301"/>
    <col min="7169" max="7169" width="5.6640625" style="301" customWidth="1"/>
    <col min="7170" max="7170" width="35.6640625" style="301" customWidth="1"/>
    <col min="7171" max="7183" width="12.6640625" style="301" customWidth="1"/>
    <col min="7184" max="7424" width="10.6640625" style="301"/>
    <col min="7425" max="7425" width="5.6640625" style="301" customWidth="1"/>
    <col min="7426" max="7426" width="35.6640625" style="301" customWidth="1"/>
    <col min="7427" max="7439" width="12.6640625" style="301" customWidth="1"/>
    <col min="7440" max="7680" width="10.6640625" style="301"/>
    <col min="7681" max="7681" width="5.6640625" style="301" customWidth="1"/>
    <col min="7682" max="7682" width="35.6640625" style="301" customWidth="1"/>
    <col min="7683" max="7695" width="12.6640625" style="301" customWidth="1"/>
    <col min="7696" max="7936" width="10.6640625" style="301"/>
    <col min="7937" max="7937" width="5.6640625" style="301" customWidth="1"/>
    <col min="7938" max="7938" width="35.6640625" style="301" customWidth="1"/>
    <col min="7939" max="7951" width="12.6640625" style="301" customWidth="1"/>
    <col min="7952" max="8192" width="10.6640625" style="301"/>
    <col min="8193" max="8193" width="5.6640625" style="301" customWidth="1"/>
    <col min="8194" max="8194" width="35.6640625" style="301" customWidth="1"/>
    <col min="8195" max="8207" width="12.6640625" style="301" customWidth="1"/>
    <col min="8208" max="8448" width="10.6640625" style="301"/>
    <col min="8449" max="8449" width="5.6640625" style="301" customWidth="1"/>
    <col min="8450" max="8450" width="35.6640625" style="301" customWidth="1"/>
    <col min="8451" max="8463" width="12.6640625" style="301" customWidth="1"/>
    <col min="8464" max="8704" width="10.6640625" style="301"/>
    <col min="8705" max="8705" width="5.6640625" style="301" customWidth="1"/>
    <col min="8706" max="8706" width="35.6640625" style="301" customWidth="1"/>
    <col min="8707" max="8719" width="12.6640625" style="301" customWidth="1"/>
    <col min="8720" max="8960" width="10.6640625" style="301"/>
    <col min="8961" max="8961" width="5.6640625" style="301" customWidth="1"/>
    <col min="8962" max="8962" width="35.6640625" style="301" customWidth="1"/>
    <col min="8963" max="8975" width="12.6640625" style="301" customWidth="1"/>
    <col min="8976" max="9216" width="10.6640625" style="301"/>
    <col min="9217" max="9217" width="5.6640625" style="301" customWidth="1"/>
    <col min="9218" max="9218" width="35.6640625" style="301" customWidth="1"/>
    <col min="9219" max="9231" width="12.6640625" style="301" customWidth="1"/>
    <col min="9232" max="9472" width="10.6640625" style="301"/>
    <col min="9473" max="9473" width="5.6640625" style="301" customWidth="1"/>
    <col min="9474" max="9474" width="35.6640625" style="301" customWidth="1"/>
    <col min="9475" max="9487" width="12.6640625" style="301" customWidth="1"/>
    <col min="9488" max="9728" width="10.6640625" style="301"/>
    <col min="9729" max="9729" width="5.6640625" style="301" customWidth="1"/>
    <col min="9730" max="9730" width="35.6640625" style="301" customWidth="1"/>
    <col min="9731" max="9743" width="12.6640625" style="301" customWidth="1"/>
    <col min="9744" max="9984" width="10.6640625" style="301"/>
    <col min="9985" max="9985" width="5.6640625" style="301" customWidth="1"/>
    <col min="9986" max="9986" width="35.6640625" style="301" customWidth="1"/>
    <col min="9987" max="9999" width="12.6640625" style="301" customWidth="1"/>
    <col min="10000" max="10240" width="10.6640625" style="301"/>
    <col min="10241" max="10241" width="5.6640625" style="301" customWidth="1"/>
    <col min="10242" max="10242" width="35.6640625" style="301" customWidth="1"/>
    <col min="10243" max="10255" width="12.6640625" style="301" customWidth="1"/>
    <col min="10256" max="10496" width="10.6640625" style="301"/>
    <col min="10497" max="10497" width="5.6640625" style="301" customWidth="1"/>
    <col min="10498" max="10498" width="35.6640625" style="301" customWidth="1"/>
    <col min="10499" max="10511" width="12.6640625" style="301" customWidth="1"/>
    <col min="10512" max="10752" width="10.6640625" style="301"/>
    <col min="10753" max="10753" width="5.6640625" style="301" customWidth="1"/>
    <col min="10754" max="10754" width="35.6640625" style="301" customWidth="1"/>
    <col min="10755" max="10767" width="12.6640625" style="301" customWidth="1"/>
    <col min="10768" max="11008" width="10.6640625" style="301"/>
    <col min="11009" max="11009" width="5.6640625" style="301" customWidth="1"/>
    <col min="11010" max="11010" width="35.6640625" style="301" customWidth="1"/>
    <col min="11011" max="11023" width="12.6640625" style="301" customWidth="1"/>
    <col min="11024" max="11264" width="10.6640625" style="301"/>
    <col min="11265" max="11265" width="5.6640625" style="301" customWidth="1"/>
    <col min="11266" max="11266" width="35.6640625" style="301" customWidth="1"/>
    <col min="11267" max="11279" width="12.6640625" style="301" customWidth="1"/>
    <col min="11280" max="11520" width="10.6640625" style="301"/>
    <col min="11521" max="11521" width="5.6640625" style="301" customWidth="1"/>
    <col min="11522" max="11522" width="35.6640625" style="301" customWidth="1"/>
    <col min="11523" max="11535" width="12.6640625" style="301" customWidth="1"/>
    <col min="11536" max="11776" width="10.6640625" style="301"/>
    <col min="11777" max="11777" width="5.6640625" style="301" customWidth="1"/>
    <col min="11778" max="11778" width="35.6640625" style="301" customWidth="1"/>
    <col min="11779" max="11791" width="12.6640625" style="301" customWidth="1"/>
    <col min="11792" max="12032" width="10.6640625" style="301"/>
    <col min="12033" max="12033" width="5.6640625" style="301" customWidth="1"/>
    <col min="12034" max="12034" width="35.6640625" style="301" customWidth="1"/>
    <col min="12035" max="12047" width="12.6640625" style="301" customWidth="1"/>
    <col min="12048" max="12288" width="10.6640625" style="301"/>
    <col min="12289" max="12289" width="5.6640625" style="301" customWidth="1"/>
    <col min="12290" max="12290" width="35.6640625" style="301" customWidth="1"/>
    <col min="12291" max="12303" width="12.6640625" style="301" customWidth="1"/>
    <col min="12304" max="12544" width="10.6640625" style="301"/>
    <col min="12545" max="12545" width="5.6640625" style="301" customWidth="1"/>
    <col min="12546" max="12546" width="35.6640625" style="301" customWidth="1"/>
    <col min="12547" max="12559" width="12.6640625" style="301" customWidth="1"/>
    <col min="12560" max="12800" width="10.6640625" style="301"/>
    <col min="12801" max="12801" width="5.6640625" style="301" customWidth="1"/>
    <col min="12802" max="12802" width="35.6640625" style="301" customWidth="1"/>
    <col min="12803" max="12815" width="12.6640625" style="301" customWidth="1"/>
    <col min="12816" max="13056" width="10.6640625" style="301"/>
    <col min="13057" max="13057" width="5.6640625" style="301" customWidth="1"/>
    <col min="13058" max="13058" width="35.6640625" style="301" customWidth="1"/>
    <col min="13059" max="13071" width="12.6640625" style="301" customWidth="1"/>
    <col min="13072" max="13312" width="10.6640625" style="301"/>
    <col min="13313" max="13313" width="5.6640625" style="301" customWidth="1"/>
    <col min="13314" max="13314" width="35.6640625" style="301" customWidth="1"/>
    <col min="13315" max="13327" width="12.6640625" style="301" customWidth="1"/>
    <col min="13328" max="13568" width="10.6640625" style="301"/>
    <col min="13569" max="13569" width="5.6640625" style="301" customWidth="1"/>
    <col min="13570" max="13570" width="35.6640625" style="301" customWidth="1"/>
    <col min="13571" max="13583" width="12.6640625" style="301" customWidth="1"/>
    <col min="13584" max="13824" width="10.6640625" style="301"/>
    <col min="13825" max="13825" width="5.6640625" style="301" customWidth="1"/>
    <col min="13826" max="13826" width="35.6640625" style="301" customWidth="1"/>
    <col min="13827" max="13839" width="12.6640625" style="301" customWidth="1"/>
    <col min="13840" max="14080" width="10.6640625" style="301"/>
    <col min="14081" max="14081" width="5.6640625" style="301" customWidth="1"/>
    <col min="14082" max="14082" width="35.6640625" style="301" customWidth="1"/>
    <col min="14083" max="14095" width="12.6640625" style="301" customWidth="1"/>
    <col min="14096" max="14336" width="10.6640625" style="301"/>
    <col min="14337" max="14337" width="5.6640625" style="301" customWidth="1"/>
    <col min="14338" max="14338" width="35.6640625" style="301" customWidth="1"/>
    <col min="14339" max="14351" width="12.6640625" style="301" customWidth="1"/>
    <col min="14352" max="14592" width="10.6640625" style="301"/>
    <col min="14593" max="14593" width="5.6640625" style="301" customWidth="1"/>
    <col min="14594" max="14594" width="35.6640625" style="301" customWidth="1"/>
    <col min="14595" max="14607" width="12.6640625" style="301" customWidth="1"/>
    <col min="14608" max="14848" width="10.6640625" style="301"/>
    <col min="14849" max="14849" width="5.6640625" style="301" customWidth="1"/>
    <col min="14850" max="14850" width="35.6640625" style="301" customWidth="1"/>
    <col min="14851" max="14863" width="12.6640625" style="301" customWidth="1"/>
    <col min="14864" max="15104" width="10.6640625" style="301"/>
    <col min="15105" max="15105" width="5.6640625" style="301" customWidth="1"/>
    <col min="15106" max="15106" width="35.6640625" style="301" customWidth="1"/>
    <col min="15107" max="15119" width="12.6640625" style="301" customWidth="1"/>
    <col min="15120" max="15360" width="10.6640625" style="301"/>
    <col min="15361" max="15361" width="5.6640625" style="301" customWidth="1"/>
    <col min="15362" max="15362" width="35.6640625" style="301" customWidth="1"/>
    <col min="15363" max="15375" width="12.6640625" style="301" customWidth="1"/>
    <col min="15376" max="15616" width="10.6640625" style="301"/>
    <col min="15617" max="15617" width="5.6640625" style="301" customWidth="1"/>
    <col min="15618" max="15618" width="35.6640625" style="301" customWidth="1"/>
    <col min="15619" max="15631" width="12.6640625" style="301" customWidth="1"/>
    <col min="15632" max="15872" width="10.6640625" style="301"/>
    <col min="15873" max="15873" width="5.6640625" style="301" customWidth="1"/>
    <col min="15874" max="15874" width="35.6640625" style="301" customWidth="1"/>
    <col min="15875" max="15887" width="12.6640625" style="301" customWidth="1"/>
    <col min="15888" max="16128" width="10.6640625" style="301"/>
    <col min="16129" max="16129" width="5.6640625" style="301" customWidth="1"/>
    <col min="16130" max="16130" width="35.6640625" style="301" customWidth="1"/>
    <col min="16131" max="16143" width="12.6640625" style="301" customWidth="1"/>
    <col min="16144" max="16384" width="10.6640625" style="301"/>
  </cols>
  <sheetData>
    <row r="1" spans="2:15">
      <c r="H1" s="302"/>
      <c r="I1" s="303"/>
    </row>
    <row r="2" spans="2:15">
      <c r="B2" s="619" t="s">
        <v>204</v>
      </c>
      <c r="C2" s="619"/>
      <c r="D2" s="619"/>
      <c r="E2" s="619"/>
      <c r="F2" s="619"/>
      <c r="G2" s="619"/>
      <c r="H2" s="619"/>
      <c r="I2" s="619"/>
      <c r="J2" s="619"/>
      <c r="K2" s="619"/>
      <c r="L2" s="619"/>
      <c r="M2" s="619"/>
      <c r="N2" s="619"/>
    </row>
    <row r="3" spans="2:15" ht="15" thickBot="1">
      <c r="B3" s="620" t="s">
        <v>205</v>
      </c>
      <c r="C3" s="620"/>
      <c r="D3" s="620"/>
      <c r="E3" s="620"/>
      <c r="F3" s="620"/>
      <c r="G3" s="620"/>
      <c r="H3" s="620"/>
      <c r="I3" s="620"/>
      <c r="J3" s="620"/>
      <c r="K3" s="620"/>
      <c r="L3" s="620"/>
      <c r="M3" s="620"/>
      <c r="N3" s="620"/>
    </row>
    <row r="4" spans="2:15" s="309" customFormat="1" ht="30" customHeight="1" thickBot="1">
      <c r="B4" s="304"/>
      <c r="C4" s="305">
        <v>2007</v>
      </c>
      <c r="D4" s="306">
        <v>2008</v>
      </c>
      <c r="E4" s="306">
        <v>2009</v>
      </c>
      <c r="F4" s="306">
        <v>2010</v>
      </c>
      <c r="G4" s="306">
        <v>2011</v>
      </c>
      <c r="H4" s="306">
        <v>2012</v>
      </c>
      <c r="I4" s="306">
        <v>2013</v>
      </c>
      <c r="J4" s="306">
        <v>2014</v>
      </c>
      <c r="K4" s="306">
        <v>2015</v>
      </c>
      <c r="L4" s="306">
        <v>2016</v>
      </c>
      <c r="M4" s="307">
        <v>2017</v>
      </c>
      <c r="N4" s="308">
        <v>2018</v>
      </c>
      <c r="O4" s="591">
        <v>2019</v>
      </c>
    </row>
    <row r="5" spans="2:15">
      <c r="B5" s="310" t="s">
        <v>206</v>
      </c>
      <c r="C5" s="311" t="s">
        <v>207</v>
      </c>
      <c r="D5" s="311" t="s">
        <v>207</v>
      </c>
      <c r="E5" s="311" t="s">
        <v>207</v>
      </c>
      <c r="F5" s="311" t="s">
        <v>207</v>
      </c>
      <c r="G5" s="311" t="s">
        <v>207</v>
      </c>
      <c r="H5" s="312" t="s">
        <v>207</v>
      </c>
      <c r="I5" s="312" t="s">
        <v>207</v>
      </c>
      <c r="J5" s="312" t="s">
        <v>207</v>
      </c>
      <c r="K5" s="312" t="s">
        <v>207</v>
      </c>
      <c r="L5" s="312" t="s">
        <v>207</v>
      </c>
      <c r="M5" s="313" t="s">
        <v>207</v>
      </c>
      <c r="N5" s="314" t="s">
        <v>207</v>
      </c>
      <c r="O5" s="592" t="s">
        <v>207</v>
      </c>
    </row>
    <row r="6" spans="2:15">
      <c r="B6" s="315" t="s">
        <v>208</v>
      </c>
      <c r="C6" s="316" t="s">
        <v>207</v>
      </c>
      <c r="D6" s="316" t="s">
        <v>207</v>
      </c>
      <c r="E6" s="316" t="s">
        <v>207</v>
      </c>
      <c r="F6" s="316" t="s">
        <v>207</v>
      </c>
      <c r="G6" s="316" t="s">
        <v>207</v>
      </c>
      <c r="H6" s="317" t="s">
        <v>207</v>
      </c>
      <c r="I6" s="317" t="s">
        <v>207</v>
      </c>
      <c r="J6" s="317" t="s">
        <v>207</v>
      </c>
      <c r="K6" s="317" t="s">
        <v>207</v>
      </c>
      <c r="L6" s="317" t="s">
        <v>207</v>
      </c>
      <c r="M6" s="313" t="s">
        <v>207</v>
      </c>
      <c r="N6" s="314" t="s">
        <v>207</v>
      </c>
      <c r="O6" s="592" t="s">
        <v>207</v>
      </c>
    </row>
    <row r="7" spans="2:15">
      <c r="B7" s="315" t="s">
        <v>209</v>
      </c>
      <c r="C7" s="316" t="s">
        <v>207</v>
      </c>
      <c r="D7" s="316" t="s">
        <v>207</v>
      </c>
      <c r="E7" s="316" t="s">
        <v>207</v>
      </c>
      <c r="F7" s="316" t="s">
        <v>207</v>
      </c>
      <c r="G7" s="316" t="s">
        <v>207</v>
      </c>
      <c r="H7" s="317" t="s">
        <v>207</v>
      </c>
      <c r="I7" s="317" t="s">
        <v>207</v>
      </c>
      <c r="J7" s="317" t="s">
        <v>207</v>
      </c>
      <c r="K7" s="317" t="s">
        <v>207</v>
      </c>
      <c r="L7" s="317" t="s">
        <v>207</v>
      </c>
      <c r="M7" s="313" t="s">
        <v>207</v>
      </c>
      <c r="N7" s="314" t="s">
        <v>207</v>
      </c>
      <c r="O7" s="592" t="s">
        <v>207</v>
      </c>
    </row>
    <row r="8" spans="2:15">
      <c r="B8" s="315" t="s">
        <v>210</v>
      </c>
      <c r="C8" s="318">
        <v>3789.3</v>
      </c>
      <c r="D8" s="318">
        <v>3960</v>
      </c>
      <c r="E8" s="318">
        <v>2722.2</v>
      </c>
      <c r="F8" s="318">
        <v>2546.6999999999998</v>
      </c>
      <c r="G8" s="318">
        <v>2015.6</v>
      </c>
      <c r="H8" s="318">
        <v>1773.7</v>
      </c>
      <c r="I8" s="319">
        <v>1517.6</v>
      </c>
      <c r="J8" s="319">
        <v>1237.8</v>
      </c>
      <c r="K8" s="319">
        <v>863.1</v>
      </c>
      <c r="L8" s="319">
        <v>474.2</v>
      </c>
      <c r="M8" s="320">
        <v>270.3</v>
      </c>
      <c r="N8" s="321">
        <v>265.60000000000002</v>
      </c>
      <c r="O8" s="590">
        <v>132.80000000000001</v>
      </c>
    </row>
    <row r="9" spans="2:15">
      <c r="B9" s="315" t="s">
        <v>211</v>
      </c>
      <c r="C9" s="318">
        <v>73.400000000000006</v>
      </c>
      <c r="D9" s="318">
        <v>60.5</v>
      </c>
      <c r="E9" s="318">
        <v>56.2</v>
      </c>
      <c r="F9" s="318">
        <v>51.8</v>
      </c>
      <c r="G9" s="318">
        <v>43.2</v>
      </c>
      <c r="H9" s="318">
        <v>47.5</v>
      </c>
      <c r="I9" s="319">
        <v>38.9</v>
      </c>
      <c r="J9" s="319">
        <v>30.2</v>
      </c>
      <c r="K9" s="319">
        <v>17.3</v>
      </c>
      <c r="L9" s="319">
        <v>25.9</v>
      </c>
      <c r="M9" s="322">
        <v>30.2</v>
      </c>
      <c r="N9" s="323">
        <v>25.9</v>
      </c>
      <c r="O9" s="589">
        <v>30.2</v>
      </c>
    </row>
    <row r="10" spans="2:15" ht="15">
      <c r="B10" s="315" t="s">
        <v>212</v>
      </c>
      <c r="C10" s="318" t="s">
        <v>207</v>
      </c>
      <c r="D10" s="318" t="s">
        <v>207</v>
      </c>
      <c r="E10" s="318" t="s">
        <v>207</v>
      </c>
      <c r="F10" s="318" t="s">
        <v>207</v>
      </c>
      <c r="G10" s="318" t="s">
        <v>207</v>
      </c>
      <c r="H10" s="318" t="s">
        <v>207</v>
      </c>
      <c r="I10" s="316" t="s">
        <v>207</v>
      </c>
      <c r="J10" s="316" t="s">
        <v>207</v>
      </c>
      <c r="K10" s="316" t="s">
        <v>207</v>
      </c>
      <c r="L10" s="316" t="s">
        <v>207</v>
      </c>
      <c r="M10" s="313" t="s">
        <v>207</v>
      </c>
      <c r="N10" s="314" t="s">
        <v>207</v>
      </c>
      <c r="O10" s="592" t="s">
        <v>207</v>
      </c>
    </row>
    <row r="11" spans="2:15">
      <c r="B11" s="315" t="s">
        <v>213</v>
      </c>
      <c r="C11" s="318">
        <v>262.60000000000002</v>
      </c>
      <c r="D11" s="318">
        <v>331.5</v>
      </c>
      <c r="E11" s="318">
        <v>120.6</v>
      </c>
      <c r="F11" s="318">
        <v>64.599999999999994</v>
      </c>
      <c r="G11" s="318">
        <v>21.5</v>
      </c>
      <c r="H11" s="318">
        <v>21.5</v>
      </c>
      <c r="I11" s="319">
        <v>25.8</v>
      </c>
      <c r="J11" s="319">
        <v>17.2</v>
      </c>
      <c r="K11" s="319">
        <v>12.9</v>
      </c>
      <c r="L11" s="319">
        <v>4.3</v>
      </c>
      <c r="M11" s="322">
        <v>4.3</v>
      </c>
      <c r="N11" s="323">
        <v>4.3</v>
      </c>
      <c r="O11" s="589">
        <v>4.3</v>
      </c>
    </row>
    <row r="12" spans="2:15" ht="15">
      <c r="B12" s="324" t="s">
        <v>214</v>
      </c>
      <c r="C12" s="318">
        <v>703.8</v>
      </c>
      <c r="D12" s="318">
        <v>661.2</v>
      </c>
      <c r="E12" s="318">
        <v>524.6</v>
      </c>
      <c r="F12" s="318">
        <v>528.9</v>
      </c>
      <c r="G12" s="318">
        <v>537.5</v>
      </c>
      <c r="H12" s="318">
        <v>546</v>
      </c>
      <c r="I12" s="319">
        <v>511.8</v>
      </c>
      <c r="J12" s="319">
        <v>447.9</v>
      </c>
      <c r="K12" s="319">
        <v>405.2</v>
      </c>
      <c r="L12" s="319">
        <v>383.9</v>
      </c>
      <c r="M12" s="322">
        <v>362.6</v>
      </c>
      <c r="N12" s="323">
        <v>341.2</v>
      </c>
      <c r="O12" s="589">
        <v>324.2</v>
      </c>
    </row>
    <row r="13" spans="2:15" ht="15">
      <c r="B13" s="324" t="s">
        <v>215</v>
      </c>
      <c r="C13" s="316" t="s">
        <v>207</v>
      </c>
      <c r="D13" s="316" t="s">
        <v>207</v>
      </c>
      <c r="E13" s="316" t="s">
        <v>207</v>
      </c>
      <c r="F13" s="316" t="s">
        <v>207</v>
      </c>
      <c r="G13" s="316" t="s">
        <v>207</v>
      </c>
      <c r="H13" s="316" t="s">
        <v>207</v>
      </c>
      <c r="I13" s="316" t="s">
        <v>207</v>
      </c>
      <c r="J13" s="316" t="s">
        <v>207</v>
      </c>
      <c r="K13" s="317" t="s">
        <v>207</v>
      </c>
      <c r="L13" s="316" t="s">
        <v>207</v>
      </c>
      <c r="M13" s="313" t="s">
        <v>207</v>
      </c>
      <c r="N13" s="314" t="s">
        <v>207</v>
      </c>
      <c r="O13" s="592" t="s">
        <v>207</v>
      </c>
    </row>
    <row r="14" spans="2:15">
      <c r="B14" s="325" t="s">
        <v>216</v>
      </c>
      <c r="C14" s="316" t="s">
        <v>207</v>
      </c>
      <c r="D14" s="316" t="s">
        <v>207</v>
      </c>
      <c r="E14" s="316" t="s">
        <v>207</v>
      </c>
      <c r="F14" s="316" t="s">
        <v>207</v>
      </c>
      <c r="G14" s="316" t="s">
        <v>207</v>
      </c>
      <c r="H14" s="316" t="s">
        <v>207</v>
      </c>
      <c r="I14" s="316" t="s">
        <v>207</v>
      </c>
      <c r="J14" s="316" t="s">
        <v>207</v>
      </c>
      <c r="K14" s="317" t="s">
        <v>207</v>
      </c>
      <c r="L14" s="316" t="s">
        <v>207</v>
      </c>
      <c r="M14" s="313" t="s">
        <v>207</v>
      </c>
      <c r="N14" s="314" t="s">
        <v>207</v>
      </c>
      <c r="O14" s="592" t="s">
        <v>207</v>
      </c>
    </row>
    <row r="15" spans="2:15">
      <c r="B15" s="325" t="s">
        <v>217</v>
      </c>
      <c r="C15" s="316" t="s">
        <v>207</v>
      </c>
      <c r="D15" s="316" t="s">
        <v>207</v>
      </c>
      <c r="E15" s="316" t="s">
        <v>207</v>
      </c>
      <c r="F15" s="316" t="s">
        <v>207</v>
      </c>
      <c r="G15" s="316" t="s">
        <v>207</v>
      </c>
      <c r="H15" s="316" t="s">
        <v>207</v>
      </c>
      <c r="I15" s="316" t="s">
        <v>207</v>
      </c>
      <c r="J15" s="316" t="s">
        <v>207</v>
      </c>
      <c r="K15" s="317" t="s">
        <v>207</v>
      </c>
      <c r="L15" s="316" t="s">
        <v>207</v>
      </c>
      <c r="M15" s="313" t="s">
        <v>207</v>
      </c>
      <c r="N15" s="314" t="s">
        <v>207</v>
      </c>
      <c r="O15" s="592" t="s">
        <v>207</v>
      </c>
    </row>
    <row r="16" spans="2:15">
      <c r="B16" s="325" t="s">
        <v>218</v>
      </c>
      <c r="C16" s="316" t="s">
        <v>207</v>
      </c>
      <c r="D16" s="316" t="s">
        <v>207</v>
      </c>
      <c r="E16" s="316" t="s">
        <v>207</v>
      </c>
      <c r="F16" s="316" t="s">
        <v>207</v>
      </c>
      <c r="G16" s="316" t="s">
        <v>207</v>
      </c>
      <c r="H16" s="316" t="s">
        <v>207</v>
      </c>
      <c r="I16" s="316" t="s">
        <v>207</v>
      </c>
      <c r="J16" s="316" t="s">
        <v>207</v>
      </c>
      <c r="K16" s="317" t="s">
        <v>207</v>
      </c>
      <c r="L16" s="316" t="s">
        <v>207</v>
      </c>
      <c r="M16" s="313" t="s">
        <v>207</v>
      </c>
      <c r="N16" s="314" t="s">
        <v>207</v>
      </c>
      <c r="O16" s="592" t="s">
        <v>207</v>
      </c>
    </row>
    <row r="17" spans="2:15">
      <c r="B17" s="315" t="s">
        <v>219</v>
      </c>
      <c r="C17" s="316" t="s">
        <v>207</v>
      </c>
      <c r="D17" s="316" t="s">
        <v>207</v>
      </c>
      <c r="E17" s="316" t="s">
        <v>207</v>
      </c>
      <c r="F17" s="316" t="s">
        <v>207</v>
      </c>
      <c r="G17" s="316" t="s">
        <v>207</v>
      </c>
      <c r="H17" s="316" t="s">
        <v>207</v>
      </c>
      <c r="I17" s="316" t="s">
        <v>207</v>
      </c>
      <c r="J17" s="316" t="s">
        <v>207</v>
      </c>
      <c r="K17" s="317" t="s">
        <v>207</v>
      </c>
      <c r="L17" s="316" t="s">
        <v>207</v>
      </c>
      <c r="M17" s="313" t="s">
        <v>207</v>
      </c>
      <c r="N17" s="314" t="s">
        <v>207</v>
      </c>
      <c r="O17" s="592" t="s">
        <v>207</v>
      </c>
    </row>
    <row r="18" spans="2:15">
      <c r="B18" s="315" t="s">
        <v>80</v>
      </c>
      <c r="C18" s="316">
        <v>96648</v>
      </c>
      <c r="D18" s="316">
        <v>120073.1</v>
      </c>
      <c r="E18" s="318">
        <v>108964.1</v>
      </c>
      <c r="F18" s="318">
        <v>112410.8</v>
      </c>
      <c r="G18" s="318">
        <v>113547.4</v>
      </c>
      <c r="H18" s="318">
        <v>93322.2</v>
      </c>
      <c r="I18" s="319">
        <v>90111.4</v>
      </c>
      <c r="J18" s="319">
        <v>100618.6</v>
      </c>
      <c r="K18" s="319">
        <v>107442.3</v>
      </c>
      <c r="L18" s="319">
        <v>124480.3</v>
      </c>
      <c r="M18" s="322">
        <v>110403.1</v>
      </c>
      <c r="N18" s="323">
        <v>119343.9</v>
      </c>
      <c r="O18" s="589">
        <v>129558.1</v>
      </c>
    </row>
    <row r="19" spans="2:15">
      <c r="B19" s="315" t="s">
        <v>220</v>
      </c>
      <c r="C19" s="316">
        <v>1078.5</v>
      </c>
      <c r="D19" s="316">
        <v>1219.7</v>
      </c>
      <c r="E19" s="316">
        <v>1296.7</v>
      </c>
      <c r="F19" s="316">
        <v>1371.2</v>
      </c>
      <c r="G19" s="316">
        <v>2034</v>
      </c>
      <c r="H19" s="316">
        <v>2436.4</v>
      </c>
      <c r="I19" s="319">
        <v>2927.6</v>
      </c>
      <c r="J19" s="319">
        <v>3928.7</v>
      </c>
      <c r="K19" s="319">
        <v>4264.8999999999996</v>
      </c>
      <c r="L19" s="319">
        <v>4821.7</v>
      </c>
      <c r="M19" s="320">
        <v>4732.6000000000004</v>
      </c>
      <c r="N19" s="321">
        <v>5051.2</v>
      </c>
      <c r="O19" s="590">
        <v>5062.1000000000004</v>
      </c>
    </row>
    <row r="20" spans="2:15">
      <c r="B20" s="315" t="s">
        <v>79</v>
      </c>
      <c r="C20" s="326">
        <v>30003.1</v>
      </c>
      <c r="D20" s="316">
        <v>26797.3</v>
      </c>
      <c r="E20" s="316">
        <v>21050.3</v>
      </c>
      <c r="F20" s="316">
        <v>20719.099999999999</v>
      </c>
      <c r="G20" s="319">
        <v>21299</v>
      </c>
      <c r="H20" s="319">
        <v>23403.599999999999</v>
      </c>
      <c r="I20" s="319">
        <v>24175.8</v>
      </c>
      <c r="J20" s="319">
        <v>26251.200000000001</v>
      </c>
      <c r="K20" s="319">
        <v>28576.400000000001</v>
      </c>
      <c r="L20" s="319">
        <v>29057.4</v>
      </c>
      <c r="M20" s="322">
        <v>25684.6</v>
      </c>
      <c r="N20" s="323">
        <v>24117.5</v>
      </c>
      <c r="O20" s="589">
        <v>23104.799999999999</v>
      </c>
    </row>
    <row r="21" spans="2:15">
      <c r="B21" s="315" t="s">
        <v>221</v>
      </c>
      <c r="C21" s="316">
        <v>2925.6</v>
      </c>
      <c r="D21" s="316">
        <v>2749</v>
      </c>
      <c r="E21" s="318">
        <v>2236.1999999999998</v>
      </c>
      <c r="F21" s="318">
        <v>3045.4</v>
      </c>
      <c r="G21" s="318">
        <v>3207.2</v>
      </c>
      <c r="H21" s="318">
        <v>3259.8</v>
      </c>
      <c r="I21" s="319">
        <v>2872.6</v>
      </c>
      <c r="J21" s="319">
        <v>2314</v>
      </c>
      <c r="K21" s="319">
        <v>2066</v>
      </c>
      <c r="L21" s="319">
        <v>483.4</v>
      </c>
      <c r="M21" s="322">
        <v>554.79999999999995</v>
      </c>
      <c r="N21" s="323">
        <v>470.8</v>
      </c>
      <c r="O21" s="589">
        <v>414</v>
      </c>
    </row>
    <row r="22" spans="2:15" ht="15" thickBot="1">
      <c r="B22" s="327" t="s">
        <v>222</v>
      </c>
      <c r="C22" s="328" t="s">
        <v>207</v>
      </c>
      <c r="D22" s="328" t="s">
        <v>207</v>
      </c>
      <c r="E22" s="328" t="s">
        <v>207</v>
      </c>
      <c r="F22" s="328" t="s">
        <v>207</v>
      </c>
      <c r="G22" s="328" t="s">
        <v>207</v>
      </c>
      <c r="H22" s="328" t="s">
        <v>207</v>
      </c>
      <c r="I22" s="328" t="s">
        <v>207</v>
      </c>
      <c r="J22" s="328" t="s">
        <v>207</v>
      </c>
      <c r="K22" s="328" t="s">
        <v>207</v>
      </c>
      <c r="L22" s="328" t="s">
        <v>207</v>
      </c>
      <c r="M22" s="329" t="s">
        <v>207</v>
      </c>
      <c r="N22" s="330">
        <v>8.4</v>
      </c>
      <c r="O22" s="593">
        <v>44.099999999999994</v>
      </c>
    </row>
    <row r="23" spans="2:15">
      <c r="C23" s="309"/>
      <c r="D23" s="331"/>
      <c r="E23" s="309"/>
      <c r="F23" s="309"/>
      <c r="G23" s="309"/>
    </row>
    <row r="67" spans="2:6">
      <c r="B67"/>
      <c r="C67"/>
      <c r="D67"/>
      <c r="E67"/>
      <c r="F67"/>
    </row>
  </sheetData>
  <mergeCells count="2">
    <mergeCell ref="B2:N2"/>
    <mergeCell ref="B3:N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168</v>
      </c>
      <c r="I2" s="171"/>
      <c r="J2" s="171"/>
      <c r="K2" s="171"/>
    </row>
    <row r="3" spans="1:20" ht="19" thickTop="1" thickBot="1">
      <c r="A3" s="108" t="s">
        <v>1</v>
      </c>
      <c r="B3" s="109" t="s">
        <v>78</v>
      </c>
      <c r="C3" s="621" t="s">
        <v>137</v>
      </c>
      <c r="D3" s="622"/>
      <c r="E3" s="623"/>
      <c r="H3" s="171"/>
      <c r="I3" s="171"/>
      <c r="J3" s="171"/>
      <c r="K3" s="171"/>
    </row>
    <row r="4" spans="1:20" ht="16" customHeight="1" thickBot="1">
      <c r="A4" s="624" t="s">
        <v>829</v>
      </c>
      <c r="B4" s="116" t="s">
        <v>49</v>
      </c>
      <c r="C4" s="122" t="s">
        <v>178</v>
      </c>
      <c r="D4" s="117" t="s">
        <v>179</v>
      </c>
      <c r="E4" s="118" t="s">
        <v>51</v>
      </c>
      <c r="H4" s="171"/>
      <c r="I4" s="172">
        <v>2010</v>
      </c>
      <c r="J4" s="171"/>
      <c r="K4" s="171"/>
    </row>
    <row r="5" spans="1:20" ht="16" customHeight="1">
      <c r="A5" s="625"/>
      <c r="B5" s="110" t="s">
        <v>270</v>
      </c>
      <c r="C5" s="123" t="s">
        <v>178</v>
      </c>
      <c r="D5" s="111" t="s">
        <v>179</v>
      </c>
      <c r="E5" s="112" t="s">
        <v>51</v>
      </c>
      <c r="H5" s="173"/>
      <c r="I5" s="174" t="s">
        <v>169</v>
      </c>
      <c r="J5" s="175"/>
      <c r="K5" s="176"/>
    </row>
    <row r="6" spans="1:20" ht="16" customHeight="1">
      <c r="A6" s="625"/>
      <c r="B6" s="110" t="s">
        <v>272</v>
      </c>
      <c r="C6" s="123" t="s">
        <v>178</v>
      </c>
      <c r="D6" s="111" t="s">
        <v>179</v>
      </c>
      <c r="E6" s="112" t="s">
        <v>51</v>
      </c>
      <c r="H6" s="177" t="s">
        <v>167</v>
      </c>
      <c r="I6" s="178" t="e">
        <f>#REF!</f>
        <v>#REF!</v>
      </c>
      <c r="J6" s="179" t="s">
        <v>170</v>
      </c>
      <c r="K6" s="628" t="s">
        <v>116</v>
      </c>
    </row>
    <row r="7" spans="1:20" ht="16" customHeight="1">
      <c r="A7" s="625"/>
      <c r="B7" s="110" t="s">
        <v>50</v>
      </c>
      <c r="C7" s="123" t="s">
        <v>178</v>
      </c>
      <c r="D7" s="111" t="s">
        <v>179</v>
      </c>
      <c r="E7" s="112" t="s">
        <v>51</v>
      </c>
      <c r="H7" s="177" t="s">
        <v>171</v>
      </c>
      <c r="I7" s="178" t="e">
        <f>#REF!</f>
        <v>#REF!</v>
      </c>
      <c r="J7" s="179" t="s">
        <v>172</v>
      </c>
      <c r="K7" s="629"/>
    </row>
    <row r="8" spans="1:20" ht="16" customHeight="1">
      <c r="A8" s="625"/>
      <c r="B8" s="110" t="s">
        <v>271</v>
      </c>
      <c r="C8" s="123" t="s">
        <v>178</v>
      </c>
      <c r="D8" s="111" t="s">
        <v>179</v>
      </c>
      <c r="E8" s="112" t="s">
        <v>51</v>
      </c>
      <c r="H8" s="177" t="s">
        <v>174</v>
      </c>
      <c r="I8" s="178" t="e">
        <f>#REF!</f>
        <v>#REF!</v>
      </c>
      <c r="J8" s="179" t="s">
        <v>172</v>
      </c>
      <c r="K8" s="630"/>
    </row>
    <row r="9" spans="1:20" ht="16" customHeight="1" thickBot="1">
      <c r="A9" s="626"/>
      <c r="B9" s="119" t="s">
        <v>273</v>
      </c>
      <c r="C9" s="125" t="s">
        <v>178</v>
      </c>
      <c r="D9" s="120" t="s">
        <v>179</v>
      </c>
      <c r="E9" s="121" t="s">
        <v>51</v>
      </c>
      <c r="H9" s="177" t="s">
        <v>166</v>
      </c>
      <c r="I9" s="178" t="e">
        <f>#REF!</f>
        <v>#REF!</v>
      </c>
      <c r="J9" s="179" t="s">
        <v>175</v>
      </c>
      <c r="K9" s="628" t="s">
        <v>173</v>
      </c>
      <c r="N9" s="1"/>
      <c r="O9" s="1"/>
      <c r="P9" s="1"/>
      <c r="Q9" s="1"/>
    </row>
    <row r="10" spans="1:20" ht="16" customHeight="1">
      <c r="A10" s="625" t="s">
        <v>185</v>
      </c>
      <c r="B10" s="110" t="s">
        <v>49</v>
      </c>
      <c r="C10" s="123" t="s">
        <v>178</v>
      </c>
      <c r="D10" s="111" t="s">
        <v>179</v>
      </c>
      <c r="E10" s="112" t="s">
        <v>51</v>
      </c>
      <c r="H10" s="177" t="s">
        <v>176</v>
      </c>
      <c r="I10" s="178" t="e">
        <f>#REF!</f>
        <v>#REF!</v>
      </c>
      <c r="J10" s="179" t="s">
        <v>175</v>
      </c>
      <c r="K10" s="630"/>
      <c r="N10" s="1"/>
      <c r="O10" s="1"/>
      <c r="P10" s="1"/>
      <c r="Q10" s="1"/>
    </row>
    <row r="11" spans="1:20" ht="16" customHeight="1">
      <c r="A11" s="625"/>
      <c r="B11" s="110" t="s">
        <v>270</v>
      </c>
      <c r="C11" s="123" t="s">
        <v>178</v>
      </c>
      <c r="D11" s="111" t="s">
        <v>179</v>
      </c>
      <c r="E11" s="112" t="s">
        <v>51</v>
      </c>
      <c r="H11" s="177" t="s">
        <v>177</v>
      </c>
      <c r="I11" s="178" t="e">
        <f>#REF!</f>
        <v>#REF!</v>
      </c>
      <c r="J11" s="179" t="s">
        <v>175</v>
      </c>
      <c r="K11" s="180" t="s">
        <v>180</v>
      </c>
      <c r="N11" s="1"/>
      <c r="O11" s="1"/>
      <c r="P11" s="1"/>
      <c r="Q11" s="1"/>
    </row>
    <row r="12" spans="1:20" ht="16" customHeight="1" thickBot="1">
      <c r="A12" s="625"/>
      <c r="B12" s="110" t="s">
        <v>272</v>
      </c>
      <c r="C12" s="123" t="s">
        <v>178</v>
      </c>
      <c r="D12" s="111" t="s">
        <v>179</v>
      </c>
      <c r="E12" s="112" t="s">
        <v>51</v>
      </c>
      <c r="H12" s="181" t="s">
        <v>106</v>
      </c>
      <c r="I12" s="182" t="e">
        <f>SUM(I6:I11)</f>
        <v>#REF!</v>
      </c>
      <c r="J12" s="183"/>
      <c r="K12" s="184"/>
      <c r="N12" s="1"/>
      <c r="O12" s="1"/>
      <c r="P12" s="1"/>
      <c r="Q12" s="1"/>
    </row>
    <row r="13" spans="1:20" ht="16" customHeight="1">
      <c r="A13" s="625"/>
      <c r="B13" s="110" t="s">
        <v>50</v>
      </c>
      <c r="C13" s="123" t="s">
        <v>178</v>
      </c>
      <c r="D13" s="111" t="s">
        <v>179</v>
      </c>
      <c r="E13" s="112" t="s">
        <v>51</v>
      </c>
      <c r="N13" s="1"/>
      <c r="O13" s="1"/>
      <c r="P13" s="1"/>
      <c r="Q13" s="1"/>
    </row>
    <row r="14" spans="1:20" ht="16" customHeight="1">
      <c r="A14" s="625"/>
      <c r="B14" s="110" t="s">
        <v>271</v>
      </c>
      <c r="C14" s="123" t="s">
        <v>178</v>
      </c>
      <c r="D14" s="111" t="s">
        <v>179</v>
      </c>
      <c r="E14" s="112" t="s">
        <v>51</v>
      </c>
      <c r="N14" s="1"/>
      <c r="O14" s="1"/>
      <c r="P14" s="1"/>
      <c r="Q14" s="1"/>
      <c r="R14" s="1"/>
      <c r="S14" s="1"/>
      <c r="T14" s="1"/>
    </row>
    <row r="15" spans="1:20" ht="16" customHeight="1" thickBot="1">
      <c r="A15" s="627"/>
      <c r="B15" s="113" t="s">
        <v>273</v>
      </c>
      <c r="C15" s="124" t="s">
        <v>178</v>
      </c>
      <c r="D15" s="114" t="s">
        <v>179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35" t="s">
        <v>98</v>
      </c>
      <c r="C7" s="635"/>
      <c r="D7" s="636" t="s">
        <v>99</v>
      </c>
      <c r="E7" s="636"/>
      <c r="F7" s="637" t="s">
        <v>100</v>
      </c>
      <c r="G7" s="637"/>
      <c r="H7" s="637" t="s">
        <v>101</v>
      </c>
      <c r="I7" s="637"/>
      <c r="J7" s="638" t="s">
        <v>102</v>
      </c>
      <c r="K7" s="638"/>
      <c r="L7" s="633" t="s">
        <v>103</v>
      </c>
      <c r="M7" s="633"/>
      <c r="N7" s="634" t="s">
        <v>104</v>
      </c>
      <c r="O7" s="634"/>
      <c r="P7" s="634" t="s">
        <v>105</v>
      </c>
      <c r="Q7" s="634"/>
      <c r="U7" s="632" t="s">
        <v>69</v>
      </c>
      <c r="V7" s="632"/>
      <c r="W7" s="632" t="s">
        <v>71</v>
      </c>
      <c r="X7" s="632"/>
      <c r="Y7" s="632" t="s">
        <v>73</v>
      </c>
      <c r="Z7" s="632"/>
      <c r="AA7" s="143" t="s">
        <v>70</v>
      </c>
      <c r="AB7" s="143"/>
      <c r="AC7" s="143" t="s">
        <v>72</v>
      </c>
      <c r="AD7" s="143"/>
      <c r="AE7" s="143" t="s">
        <v>74</v>
      </c>
      <c r="AF7" s="143"/>
      <c r="AJ7" s="632" t="e">
        <f>Commodities!#REF!</f>
        <v>#REF!</v>
      </c>
      <c r="AK7" s="632"/>
      <c r="AL7" s="632" t="str">
        <f>Commodities!$C$7</f>
        <v>RHUDB</v>
      </c>
      <c r="AM7" s="632"/>
      <c r="AN7" s="632" t="str">
        <f>Commodities!$C$8</f>
        <v>RHRDB</v>
      </c>
      <c r="AO7" s="632"/>
      <c r="AP7" s="631" t="e">
        <f>Commodities!#REF!</f>
        <v>#REF!</v>
      </c>
      <c r="AQ7" s="631"/>
      <c r="AR7" s="631" t="str">
        <f>Commodities!$C$9</f>
        <v>RHUMB</v>
      </c>
      <c r="AS7" s="631"/>
      <c r="AT7" s="631" t="str">
        <f>Commodities!$C$10</f>
        <v>RHRMB</v>
      </c>
      <c r="AU7" s="63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LOG</vt:lpstr>
      <vt:lpstr>Intro</vt:lpstr>
      <vt:lpstr>Commodities</vt:lpstr>
      <vt:lpstr>Processes</vt:lpstr>
      <vt:lpstr>Appliances&amp;Cooking</vt:lpstr>
      <vt:lpstr>Cooling</vt:lpstr>
      <vt:lpstr>Boilers_DR</vt:lpstr>
      <vt:lpstr>Buildings_DR</vt:lpstr>
      <vt:lpstr>Dem</vt:lpstr>
      <vt:lpstr>RES_Fuel</vt:lpstr>
      <vt:lpstr>Emis</vt:lpstr>
      <vt:lpstr>Regional split</vt:lpstr>
      <vt:lpstr>Data manipulation</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2022-04-04T06:46:05Z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