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E0B8D612-D092-BC4D-A784-A67B5FAD31DA}" xr6:coauthVersionLast="47" xr6:coauthVersionMax="47" xr10:uidLastSave="{00000000-0000-0000-0000-000000000000}"/>
  <bookViews>
    <workbookView xWindow="0" yWindow="0" windowWidth="25600" windowHeight="16000" tabRatio="883" firstSheet="12" activeTab="20"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6" r:id="rId23"/>
    <sheet name="2015" sheetId="277" r:id="rId24"/>
    <sheet name="2019" sheetId="278"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17">'[15]Gas Works'!#REF!</definedName>
    <definedName name="åbyrelc">'[15]Gas Works'!#REF!</definedName>
    <definedName name="åfjvbrselc" localSheetId="17">'[15]Heat Production'!#REF!</definedName>
    <definedName name="åfjvbrselc">'[15]Heat Production'!#REF!</definedName>
    <definedName name="åfjvve" localSheetId="17">'[15]Heat Production'!#REF!</definedName>
    <definedName name="åfjvve">'[15]Heat Production'!#REF!</definedName>
    <definedName name="åfrsvttt" localSheetId="17">#REF!</definedName>
    <definedName name="åfrsvttt">#REF!</definedName>
    <definedName name="åfutbrsfjv" localSheetId="17">'[15]Heat Production'!#REF!</definedName>
    <definedName name="åfutbrsfjv">'[15]Heat Production'!#REF!</definedName>
    <definedName name="ågdtbrsfjv" localSheetId="17">'[15]Heat Production'!#REF!</definedName>
    <definedName name="ågdtbrsfjv">'[15]Heat Production'!#REF!</definedName>
    <definedName name="åimpbrsl" localSheetId="17">#REF!</definedName>
    <definedName name="åimpbrsl">#REF!</definedName>
    <definedName name="åimpfut" localSheetId="17">#REF!</definedName>
    <definedName name="åimpfut">#REF!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17">'[15]Heat Production'!#REF!</definedName>
    <definedName name="åkulbrsfjv">'[15]Heat Production'!#REF!</definedName>
    <definedName name="ålfittt" localSheetId="17">#REF!</definedName>
    <definedName name="ålfittt">#REF!</definedName>
    <definedName name="ålfuttt" localSheetId="17">#REF!</definedName>
    <definedName name="ålfuttt">#REF!</definedName>
    <definedName name="All_TP" localSheetId="17">#REF!,#REF!,#REF!</definedName>
    <definedName name="All_TP">#REF!,#REF!,#REF!</definedName>
    <definedName name="All_US" localSheetId="17">#REF!,#REF!,#REF!</definedName>
    <definedName name="All_US">#REF!,#REF!,#REF!</definedName>
    <definedName name="ålpgbrsfjv" localSheetId="17">'[15]Heat Production'!#REF!</definedName>
    <definedName name="ålpgbrsfjv">'[15]Heat Production'!#REF!</definedName>
    <definedName name="ålvnbrsfjv" localSheetId="17">'[15]Heat Production'!#REF!</definedName>
    <definedName name="ålvnbrsfjv">'[15]Heat Production'!#REF!</definedName>
    <definedName name="ångabrsfjv" localSheetId="17">'[15]Heat Production'!#REF!</definedName>
    <definedName name="ångabrsfjv">'[15]Heat Production'!#REF!</definedName>
    <definedName name="AnnualProd_1">[2]Plants1!$N$14:$N$1884</definedName>
    <definedName name="åoribrselc" localSheetId="17">'[15]Electricity Production'!#REF!</definedName>
    <definedName name="åoribrselc">'[15]Electricity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øttt" localSheetId="17">#REF!</definedName>
    <definedName name="åsøttt">#REF!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trpelc" localSheetId="17">#REF!</definedName>
    <definedName name="åtrpelc">#REF!</definedName>
    <definedName name="åtrpttt" localSheetId="17">#REF!</definedName>
    <definedName name="åtrpttt">#REF!</definedName>
    <definedName name="åudvraf" localSheetId="17">'[15]Gross Energy Consumption (obs.)'!#REF!</definedName>
    <definedName name="åudvraf">'[15]Gross Energy Consumption (obs.)'!#REF!</definedName>
    <definedName name="åvejttt" localSheetId="17">#REF!</definedName>
    <definedName name="åvejttt">#REF!</definedName>
    <definedName name="BaseYear">[2]Start!$D$22</definedName>
    <definedName name="BiomassLargeCHP">[3]TechnologyData!$A$14:$M$41</definedName>
    <definedName name="body1ea" localSheetId="17">#REF!</definedName>
    <definedName name="body1ea">#REF!</definedName>
    <definedName name="body1eb" localSheetId="17">#REF!</definedName>
    <definedName name="body1eb">#REF!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17">#REF!</definedName>
    <definedName name="countrye">#REF!</definedName>
    <definedName name="countryf" localSheetId="17">#REF!</definedName>
    <definedName name="countryf">#REF!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17">#REF!</definedName>
    <definedName name="fjvkorr_kurt">#REF!</definedName>
    <definedName name="FuelDesc">[2]Fuel!$T$12:$U$34</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17">[3]General!#REF!</definedName>
    <definedName name="nhydro">[3]General!#REF!</definedName>
    <definedName name="NyeNGCC">[3]Plants!$J$5</definedName>
    <definedName name="øbgabrsl" localSheetId="17">#REF!</definedName>
    <definedName name="øbgabrsl">#REF!</definedName>
    <definedName name="øelcbrsl" localSheetId="17">#REF!</definedName>
    <definedName name="øelcbrsl">#REF!</definedName>
    <definedName name="OffshoreWindPark">[3]TechnologyData!$O$43:$AA$70</definedName>
    <definedName name="øfjvbrsl" localSheetId="17">#REF!</definedName>
    <definedName name="øfjvbrsl">#REF!</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17">#REF!</definedName>
    <definedName name="TP.Electricity_and_RES">#REF!</definedName>
    <definedName name="TP.Petroleum" localSheetId="17">#REF!</definedName>
    <definedName name="TP.Petroleum">#REF!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17">#REF!</definedName>
    <definedName name="US.Electricity_and_RES">#REF!</definedName>
    <definedName name="US.Petroleum" localSheetId="17">#REF!</definedName>
    <definedName name="US.Petroleum">#REF!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17">#REF!</definedName>
    <definedName name="yeare">#REF!</definedName>
    <definedName name="yearf" localSheetId="17">#REF!</definedName>
    <definedName name="yearf">#REF!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O50" i="246" l="1"/>
  <c r="N50" i="246"/>
  <c r="M50" i="246"/>
  <c r="L50" i="246"/>
  <c r="K50" i="246"/>
  <c r="J50" i="246"/>
  <c r="I50" i="246"/>
  <c r="H50" i="246"/>
  <c r="G50" i="246"/>
  <c r="F50" i="246"/>
  <c r="E50" i="246"/>
  <c r="D50" i="246"/>
  <c r="C50" i="246"/>
  <c r="O30" i="246"/>
  <c r="N30" i="246"/>
  <c r="M30" i="246"/>
  <c r="L30" i="246"/>
  <c r="K30" i="246"/>
  <c r="J30" i="246"/>
  <c r="I30" i="246"/>
  <c r="H30" i="246"/>
  <c r="G30" i="246"/>
  <c r="F30" i="246"/>
  <c r="E30" i="246"/>
  <c r="D30" i="246"/>
  <c r="C30" i="246"/>
  <c r="C31" i="246"/>
  <c r="D31" i="246"/>
  <c r="E31" i="246"/>
  <c r="F31" i="246"/>
  <c r="G31" i="246"/>
  <c r="H31" i="246"/>
  <c r="I31" i="246"/>
  <c r="J31" i="246"/>
  <c r="K31" i="246"/>
  <c r="L31" i="246"/>
  <c r="M31" i="246"/>
  <c r="N31" i="246"/>
  <c r="O31" i="246"/>
  <c r="O10" i="246"/>
  <c r="N10" i="246"/>
  <c r="M10" i="246"/>
  <c r="L10" i="246"/>
  <c r="K10" i="246"/>
  <c r="J10" i="246"/>
  <c r="I10" i="246"/>
  <c r="H10" i="246"/>
  <c r="G10" i="246"/>
  <c r="F10" i="246"/>
  <c r="E10" i="246"/>
  <c r="D10" i="246"/>
  <c r="C10" i="246"/>
  <c r="V7" i="276"/>
  <c r="V8" i="276"/>
  <c r="V9" i="276"/>
  <c r="V10" i="276"/>
  <c r="V11" i="276"/>
  <c r="V12" i="276"/>
  <c r="V13" i="276"/>
  <c r="V14" i="276"/>
  <c r="V15" i="276"/>
  <c r="V16" i="276"/>
  <c r="V17" i="276"/>
  <c r="V18" i="276"/>
  <c r="V19" i="276"/>
  <c r="V20" i="276"/>
  <c r="V21" i="276"/>
  <c r="V22" i="276"/>
  <c r="V23" i="276"/>
  <c r="V24" i="276"/>
  <c r="V25" i="276"/>
  <c r="V26" i="276"/>
  <c r="V27" i="276"/>
  <c r="V28" i="276"/>
  <c r="V43" i="276"/>
  <c r="V44" i="276"/>
  <c r="V45" i="276"/>
  <c r="V46" i="276"/>
  <c r="V47" i="276"/>
  <c r="V48" i="276"/>
  <c r="V49" i="276"/>
  <c r="V50" i="276"/>
  <c r="V52" i="276"/>
  <c r="V53" i="276"/>
  <c r="V54" i="276"/>
  <c r="V55" i="276"/>
  <c r="V6" i="276"/>
  <c r="P42" i="276"/>
  <c r="V42" i="276" s="1"/>
  <c r="P41" i="276"/>
  <c r="V41" i="276" s="1"/>
  <c r="P40" i="276"/>
  <c r="V40" i="276" s="1"/>
  <c r="P39" i="276"/>
  <c r="V39" i="276" s="1"/>
  <c r="P38" i="276"/>
  <c r="V38" i="276" s="1"/>
  <c r="P37" i="276"/>
  <c r="V37" i="276" s="1"/>
  <c r="P36" i="276"/>
  <c r="V36" i="276" s="1"/>
  <c r="P35" i="276"/>
  <c r="V35" i="276" s="1"/>
  <c r="P34" i="276"/>
  <c r="V34" i="276" s="1"/>
  <c r="P33" i="276"/>
  <c r="V33" i="276" s="1"/>
  <c r="P32" i="276"/>
  <c r="V32" i="276" s="1"/>
  <c r="P31" i="276"/>
  <c r="V31" i="276" s="1"/>
  <c r="P30" i="276"/>
  <c r="V30" i="276" s="1"/>
  <c r="P29" i="276"/>
  <c r="V29" i="276" s="1"/>
  <c r="P51" i="276"/>
  <c r="V51" i="276" s="1"/>
  <c r="P50" i="246" l="1"/>
  <c r="P10" i="246"/>
  <c r="P31" i="246"/>
  <c r="P30" i="246"/>
  <c r="P51" i="277"/>
  <c r="P42" i="277"/>
  <c r="P41" i="277"/>
  <c r="V41" i="277" s="1"/>
  <c r="P40" i="277"/>
  <c r="V40" i="277" s="1"/>
  <c r="P39" i="277"/>
  <c r="V39" i="277" s="1"/>
  <c r="P38" i="277"/>
  <c r="V38" i="277" s="1"/>
  <c r="P37" i="277"/>
  <c r="P36" i="277"/>
  <c r="V36" i="277" s="1"/>
  <c r="P35" i="277"/>
  <c r="P34" i="277"/>
  <c r="P33" i="277"/>
  <c r="V33" i="277" s="1"/>
  <c r="P32" i="277"/>
  <c r="V32" i="277" s="1"/>
  <c r="P31" i="277"/>
  <c r="V31" i="277" s="1"/>
  <c r="P30" i="277"/>
  <c r="V30" i="277" s="1"/>
  <c r="P29" i="277"/>
  <c r="V7" i="277"/>
  <c r="V8" i="277"/>
  <c r="V9" i="277"/>
  <c r="V10" i="277"/>
  <c r="V11" i="277"/>
  <c r="V12" i="277"/>
  <c r="V13" i="277"/>
  <c r="V14" i="277"/>
  <c r="V15" i="277"/>
  <c r="V16" i="277"/>
  <c r="V17" i="277"/>
  <c r="V18" i="277"/>
  <c r="V19" i="277"/>
  <c r="V20" i="277"/>
  <c r="V21" i="277"/>
  <c r="V22" i="277"/>
  <c r="V23" i="277"/>
  <c r="V24" i="277"/>
  <c r="V25" i="277"/>
  <c r="V26" i="277"/>
  <c r="V27" i="277"/>
  <c r="V28" i="277"/>
  <c r="V29" i="277"/>
  <c r="V34" i="277"/>
  <c r="V35" i="277"/>
  <c r="V37" i="277"/>
  <c r="V42" i="277"/>
  <c r="V43" i="277"/>
  <c r="V44" i="277"/>
  <c r="V45" i="277"/>
  <c r="V46" i="277"/>
  <c r="V47" i="277"/>
  <c r="V48" i="277"/>
  <c r="V49" i="277"/>
  <c r="V50" i="277"/>
  <c r="V51" i="277"/>
  <c r="V52" i="277"/>
  <c r="V53" i="277"/>
  <c r="V54" i="277"/>
  <c r="V55" i="277"/>
  <c r="V6" i="277"/>
  <c r="P43" i="278" l="1"/>
  <c r="P42" i="278"/>
  <c r="V42" i="278" s="1"/>
  <c r="P41" i="278"/>
  <c r="P40" i="278"/>
  <c r="P39" i="278"/>
  <c r="P38" i="278"/>
  <c r="V38" i="278" s="1"/>
  <c r="P37" i="278"/>
  <c r="V37" i="278" s="1"/>
  <c r="P36" i="278"/>
  <c r="V36" i="278" s="1"/>
  <c r="P35" i="278"/>
  <c r="P34" i="278"/>
  <c r="V34" i="278" s="1"/>
  <c r="P33" i="278"/>
  <c r="P32" i="278"/>
  <c r="P31" i="278"/>
  <c r="P30" i="278"/>
  <c r="V30" i="278" s="1"/>
  <c r="V8" i="278"/>
  <c r="V9" i="278"/>
  <c r="V10" i="278"/>
  <c r="V11" i="278"/>
  <c r="V12" i="278"/>
  <c r="V13" i="278"/>
  <c r="V14" i="278"/>
  <c r="V15" i="278"/>
  <c r="V16" i="278"/>
  <c r="V17" i="278"/>
  <c r="V18" i="278"/>
  <c r="V19" i="278"/>
  <c r="V20" i="278"/>
  <c r="V21" i="278"/>
  <c r="V22" i="278"/>
  <c r="V23" i="278"/>
  <c r="V24" i="278"/>
  <c r="V25" i="278"/>
  <c r="V26" i="278"/>
  <c r="V27" i="278"/>
  <c r="V28" i="278"/>
  <c r="V29" i="278"/>
  <c r="V31" i="278"/>
  <c r="V32" i="278"/>
  <c r="V33" i="278"/>
  <c r="V35" i="278"/>
  <c r="V39" i="278"/>
  <c r="V40" i="278"/>
  <c r="V41" i="278"/>
  <c r="V43" i="278"/>
  <c r="V44" i="278"/>
  <c r="V45" i="278"/>
  <c r="V46" i="278"/>
  <c r="V47" i="278"/>
  <c r="V48" i="278"/>
  <c r="V49" i="278"/>
  <c r="V50" i="278"/>
  <c r="V51" i="278"/>
  <c r="V53" i="278"/>
  <c r="V54" i="278"/>
  <c r="V55" i="278"/>
  <c r="V7" i="278"/>
  <c r="P52" i="278"/>
  <c r="V52" i="278" s="1"/>
  <c r="W47" i="235" l="1"/>
  <c r="E16" i="232"/>
  <c r="B16" i="232"/>
  <c r="E498" i="231"/>
  <c r="C16" i="232" s="1"/>
  <c r="B498" i="231"/>
  <c r="L35" i="246"/>
  <c r="W18" i="278" l="1"/>
  <c r="Y18" i="278"/>
  <c r="W19" i="278"/>
  <c r="W20" i="278"/>
  <c r="A23" i="278"/>
  <c r="W27" i="278"/>
  <c r="X24" i="278" s="1"/>
  <c r="AA57" i="250"/>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4" i="246"/>
  <c r="R34" i="246"/>
  <c r="R14" i="246"/>
  <c r="E27" i="232"/>
  <c r="E509" i="231"/>
  <c r="C27" i="232" s="1"/>
  <c r="B27" i="232"/>
  <c r="G27" i="232"/>
  <c r="G28" i="232" s="1"/>
  <c r="G29" i="232" s="1"/>
  <c r="F27" i="232"/>
  <c r="F28" i="232" s="1"/>
  <c r="F29" i="232" s="1"/>
  <c r="G5" i="246"/>
  <c r="O5" i="246"/>
  <c r="K6" i="246"/>
  <c r="G7" i="246"/>
  <c r="O7" i="246"/>
  <c r="K8" i="246"/>
  <c r="G9" i="246"/>
  <c r="O9" i="246"/>
  <c r="K11" i="246"/>
  <c r="H12" i="246"/>
  <c r="D13" i="246"/>
  <c r="L13" i="246"/>
  <c r="H14" i="246"/>
  <c r="D15" i="246"/>
  <c r="L15" i="246"/>
  <c r="H16" i="246"/>
  <c r="D17" i="246"/>
  <c r="L17" i="246"/>
  <c r="C11" i="246"/>
  <c r="E19" i="246"/>
  <c r="H5" i="246"/>
  <c r="D6" i="246"/>
  <c r="L6" i="246"/>
  <c r="H7" i="246"/>
  <c r="D8" i="246"/>
  <c r="L8" i="246"/>
  <c r="H9" i="246"/>
  <c r="D11" i="246"/>
  <c r="L11" i="246"/>
  <c r="I12" i="246"/>
  <c r="E13" i="246"/>
  <c r="M13" i="246"/>
  <c r="I14" i="246"/>
  <c r="E15" i="246"/>
  <c r="M15" i="246"/>
  <c r="I16" i="246"/>
  <c r="E17" i="246"/>
  <c r="M17" i="246"/>
  <c r="C12" i="246"/>
  <c r="I5" i="246"/>
  <c r="E6" i="246"/>
  <c r="M6" i="246"/>
  <c r="I7" i="246"/>
  <c r="E8" i="246"/>
  <c r="M8" i="246"/>
  <c r="I9" i="246"/>
  <c r="E11" i="246"/>
  <c r="M11" i="246"/>
  <c r="J12" i="246"/>
  <c r="F13" i="246"/>
  <c r="N13" i="246"/>
  <c r="J14" i="246"/>
  <c r="F15" i="246"/>
  <c r="N15" i="246"/>
  <c r="J16" i="246"/>
  <c r="F17" i="246"/>
  <c r="N17" i="246"/>
  <c r="C13" i="246"/>
  <c r="M19" i="246"/>
  <c r="G12" i="246"/>
  <c r="O14" i="246"/>
  <c r="K17" i="246"/>
  <c r="C5" i="246"/>
  <c r="J5" i="246"/>
  <c r="F6" i="246"/>
  <c r="N6" i="246"/>
  <c r="J7" i="246"/>
  <c r="F8" i="246"/>
  <c r="N8" i="246"/>
  <c r="J9" i="246"/>
  <c r="F11" i="246"/>
  <c r="N11" i="246"/>
  <c r="K12" i="246"/>
  <c r="G13" i="246"/>
  <c r="O13" i="246"/>
  <c r="K14" i="246"/>
  <c r="G15" i="246"/>
  <c r="O15" i="246"/>
  <c r="K16" i="246"/>
  <c r="G17" i="246"/>
  <c r="O17" i="246"/>
  <c r="C14" i="246"/>
  <c r="L19" i="246"/>
  <c r="E5" i="246"/>
  <c r="I6" i="246"/>
  <c r="I8" i="246"/>
  <c r="M9" i="246"/>
  <c r="E12" i="246"/>
  <c r="J13" i="246"/>
  <c r="F14" i="246"/>
  <c r="J15" i="246"/>
  <c r="N16" i="246"/>
  <c r="C8" i="246"/>
  <c r="H19" i="246"/>
  <c r="N5" i="246"/>
  <c r="F7" i="246"/>
  <c r="J8" i="246"/>
  <c r="N9" i="246"/>
  <c r="O12" i="246"/>
  <c r="G14" i="246"/>
  <c r="G16" i="246"/>
  <c r="C9" i="246"/>
  <c r="K5" i="246"/>
  <c r="G6" i="246"/>
  <c r="O6" i="246"/>
  <c r="K7" i="246"/>
  <c r="G8" i="246"/>
  <c r="O8" i="246"/>
  <c r="K9" i="246"/>
  <c r="G11" i="246"/>
  <c r="O11" i="246"/>
  <c r="L12" i="246"/>
  <c r="H13" i="246"/>
  <c r="D14" i="246"/>
  <c r="L14" i="246"/>
  <c r="H15" i="246"/>
  <c r="D16" i="246"/>
  <c r="L16" i="246"/>
  <c r="H17" i="246"/>
  <c r="C6" i="246"/>
  <c r="C15" i="246"/>
  <c r="C19" i="246"/>
  <c r="D5" i="246"/>
  <c r="L5" i="246"/>
  <c r="H6" i="246"/>
  <c r="D7" i="246"/>
  <c r="L7" i="246"/>
  <c r="H8" i="246"/>
  <c r="D9" i="246"/>
  <c r="L9" i="246"/>
  <c r="H11" i="246"/>
  <c r="D12" i="246"/>
  <c r="M12" i="246"/>
  <c r="I13" i="246"/>
  <c r="E14" i="246"/>
  <c r="M14" i="246"/>
  <c r="I15" i="246"/>
  <c r="E16" i="246"/>
  <c r="M16" i="246"/>
  <c r="I17" i="246"/>
  <c r="C7" i="246"/>
  <c r="C16" i="246"/>
  <c r="O19" i="246"/>
  <c r="M5" i="246"/>
  <c r="E7" i="246"/>
  <c r="M7" i="246"/>
  <c r="E9" i="246"/>
  <c r="I11" i="246"/>
  <c r="N12" i="246"/>
  <c r="N14" i="246"/>
  <c r="F16" i="246"/>
  <c r="J17" i="246"/>
  <c r="C17" i="246"/>
  <c r="F12" i="246"/>
  <c r="F5" i="246"/>
  <c r="J6" i="246"/>
  <c r="N7" i="246"/>
  <c r="F9" i="246"/>
  <c r="J11" i="246"/>
  <c r="K13" i="246"/>
  <c r="K15" i="246"/>
  <c r="O16" i="246"/>
  <c r="N19" i="246"/>
  <c r="L37" i="246"/>
  <c r="D37" i="246"/>
  <c r="I36" i="246"/>
  <c r="N35" i="246"/>
  <c r="E35" i="246"/>
  <c r="J34" i="246"/>
  <c r="O33" i="246"/>
  <c r="G33" i="246"/>
  <c r="L32" i="246"/>
  <c r="D32" i="246"/>
  <c r="N29" i="246"/>
  <c r="F29" i="246"/>
  <c r="K28" i="246"/>
  <c r="C28" i="246"/>
  <c r="H27" i="246"/>
  <c r="M26" i="246"/>
  <c r="E26" i="246"/>
  <c r="J25" i="246"/>
  <c r="E39" i="246"/>
  <c r="C39" i="246"/>
  <c r="I37" i="246"/>
  <c r="O34" i="246"/>
  <c r="I32" i="246"/>
  <c r="K29" i="246"/>
  <c r="M27" i="246"/>
  <c r="J26" i="246"/>
  <c r="L39" i="246"/>
  <c r="H37" i="246"/>
  <c r="E36" i="246"/>
  <c r="F34" i="246"/>
  <c r="C33" i="246"/>
  <c r="G28" i="246"/>
  <c r="I26" i="246"/>
  <c r="K39" i="246"/>
  <c r="H29" i="246"/>
  <c r="J27" i="246"/>
  <c r="L25" i="246"/>
  <c r="H39" i="246"/>
  <c r="J36" i="246"/>
  <c r="K34" i="246"/>
  <c r="M32" i="246"/>
  <c r="L28" i="246"/>
  <c r="N26" i="246"/>
  <c r="G39" i="246"/>
  <c r="K37" i="246"/>
  <c r="C37" i="246"/>
  <c r="H36" i="246"/>
  <c r="M35" i="246"/>
  <c r="D35" i="246"/>
  <c r="I34" i="246"/>
  <c r="N33" i="246"/>
  <c r="F33" i="246"/>
  <c r="K32" i="246"/>
  <c r="C32" i="246"/>
  <c r="M29" i="246"/>
  <c r="E29" i="246"/>
  <c r="J28" i="246"/>
  <c r="O27" i="246"/>
  <c r="G27" i="246"/>
  <c r="L26" i="246"/>
  <c r="D26" i="246"/>
  <c r="I25" i="246"/>
  <c r="J39" i="246"/>
  <c r="N36" i="246"/>
  <c r="G34" i="246"/>
  <c r="D33" i="246"/>
  <c r="C29" i="246"/>
  <c r="E27" i="246"/>
  <c r="G25" i="246"/>
  <c r="N39" i="246"/>
  <c r="M36" i="246"/>
  <c r="I35" i="246"/>
  <c r="K33" i="246"/>
  <c r="H32" i="246"/>
  <c r="O28" i="246"/>
  <c r="D27" i="246"/>
  <c r="F25" i="246"/>
  <c r="E28" i="246"/>
  <c r="O26" i="246"/>
  <c r="F39" i="246"/>
  <c r="E37" i="246"/>
  <c r="O35" i="246"/>
  <c r="H33" i="246"/>
  <c r="O29" i="246"/>
  <c r="I27" i="246"/>
  <c r="K25" i="246"/>
  <c r="D39" i="246"/>
  <c r="J37" i="246"/>
  <c r="O36" i="246"/>
  <c r="G36" i="246"/>
  <c r="K35" i="246"/>
  <c r="C35" i="246"/>
  <c r="H34" i="246"/>
  <c r="M33" i="246"/>
  <c r="E33" i="246"/>
  <c r="J32" i="246"/>
  <c r="L29" i="246"/>
  <c r="D29" i="246"/>
  <c r="I28" i="246"/>
  <c r="N27" i="246"/>
  <c r="F27" i="246"/>
  <c r="K26" i="246"/>
  <c r="C26" i="246"/>
  <c r="H25" i="246"/>
  <c r="O39" i="246"/>
  <c r="F36" i="246"/>
  <c r="J35" i="246"/>
  <c r="L33" i="246"/>
  <c r="H28" i="246"/>
  <c r="O25" i="246"/>
  <c r="N34" i="246"/>
  <c r="J29" i="246"/>
  <c r="L27" i="246"/>
  <c r="N25" i="246"/>
  <c r="M39" i="246"/>
  <c r="M28" i="246"/>
  <c r="G26" i="246"/>
  <c r="D25" i="246"/>
  <c r="M37" i="246"/>
  <c r="F35" i="246"/>
  <c r="C34" i="246"/>
  <c r="E32" i="246"/>
  <c r="G29" i="246"/>
  <c r="D28" i="246"/>
  <c r="F26" i="246"/>
  <c r="C25" i="246"/>
  <c r="O37" i="246"/>
  <c r="G37" i="246"/>
  <c r="L36" i="246"/>
  <c r="D36" i="246"/>
  <c r="H35" i="246"/>
  <c r="M34" i="246"/>
  <c r="E34" i="246"/>
  <c r="J33" i="246"/>
  <c r="O32" i="246"/>
  <c r="G32" i="246"/>
  <c r="I29" i="246"/>
  <c r="N28" i="246"/>
  <c r="F28" i="246"/>
  <c r="K27" i="246"/>
  <c r="C27" i="246"/>
  <c r="H26" i="246"/>
  <c r="M25" i="246"/>
  <c r="E25" i="246"/>
  <c r="I39" i="246"/>
  <c r="N37" i="246"/>
  <c r="F37" i="246"/>
  <c r="K36" i="246"/>
  <c r="C36" i="246"/>
  <c r="G35" i="246"/>
  <c r="L34" i="246"/>
  <c r="D34" i="246"/>
  <c r="I33" i="246"/>
  <c r="N32" i="246"/>
  <c r="F32" i="246"/>
  <c r="N57" i="246"/>
  <c r="F57" i="246"/>
  <c r="K56" i="246"/>
  <c r="C56" i="246"/>
  <c r="H55" i="246"/>
  <c r="M54" i="246"/>
  <c r="E54" i="246"/>
  <c r="J53" i="246"/>
  <c r="O52" i="246"/>
  <c r="G52" i="246"/>
  <c r="L51" i="246"/>
  <c r="D51" i="246"/>
  <c r="I49" i="246"/>
  <c r="N48" i="246"/>
  <c r="E48" i="246"/>
  <c r="J47" i="246"/>
  <c r="O46" i="246"/>
  <c r="G46" i="246"/>
  <c r="L45" i="246"/>
  <c r="D45" i="246"/>
  <c r="N59" i="246"/>
  <c r="D59" i="246"/>
  <c r="H56" i="246"/>
  <c r="G53" i="246"/>
  <c r="D52" i="246"/>
  <c r="F49" i="246"/>
  <c r="O47" i="246"/>
  <c r="J59" i="246"/>
  <c r="G56" i="246"/>
  <c r="I54" i="246"/>
  <c r="K52" i="246"/>
  <c r="M49" i="246"/>
  <c r="N47" i="246"/>
  <c r="C46" i="246"/>
  <c r="K59" i="246"/>
  <c r="L56" i="246"/>
  <c r="K53" i="246"/>
  <c r="M51" i="246"/>
  <c r="O48" i="246"/>
  <c r="M45" i="246"/>
  <c r="F48" i="246"/>
  <c r="M57" i="246"/>
  <c r="E57" i="246"/>
  <c r="J56" i="246"/>
  <c r="O55" i="246"/>
  <c r="G55" i="246"/>
  <c r="L54" i="246"/>
  <c r="D54" i="246"/>
  <c r="I53" i="246"/>
  <c r="N52" i="246"/>
  <c r="F52" i="246"/>
  <c r="K51" i="246"/>
  <c r="C51" i="246"/>
  <c r="H49" i="246"/>
  <c r="M48" i="246"/>
  <c r="D48" i="246"/>
  <c r="I47" i="246"/>
  <c r="N46" i="246"/>
  <c r="F46" i="246"/>
  <c r="K45" i="246"/>
  <c r="C45" i="246"/>
  <c r="M59" i="246"/>
  <c r="C57" i="246"/>
  <c r="E55" i="246"/>
  <c r="O53" i="246"/>
  <c r="I51" i="246"/>
  <c r="K48" i="246"/>
  <c r="L46" i="246"/>
  <c r="I45" i="246"/>
  <c r="O56" i="246"/>
  <c r="D55" i="246"/>
  <c r="F53" i="246"/>
  <c r="C52" i="246"/>
  <c r="E49" i="246"/>
  <c r="F47" i="246"/>
  <c r="H45" i="246"/>
  <c r="G59" i="246"/>
  <c r="C59" i="246"/>
  <c r="I55" i="246"/>
  <c r="E51" i="246"/>
  <c r="K47" i="246"/>
  <c r="E45" i="246"/>
  <c r="E59" i="246"/>
  <c r="F59" i="246"/>
  <c r="L57" i="246"/>
  <c r="D57" i="246"/>
  <c r="I56" i="246"/>
  <c r="N55" i="246"/>
  <c r="F55" i="246"/>
  <c r="K54" i="246"/>
  <c r="C54" i="246"/>
  <c r="H53" i="246"/>
  <c r="M52" i="246"/>
  <c r="E52" i="246"/>
  <c r="J51" i="246"/>
  <c r="O49" i="246"/>
  <c r="G49" i="246"/>
  <c r="L48" i="246"/>
  <c r="C48" i="246"/>
  <c r="H47" i="246"/>
  <c r="M46" i="246"/>
  <c r="E46" i="246"/>
  <c r="J45" i="246"/>
  <c r="L59" i="246"/>
  <c r="K57" i="246"/>
  <c r="M55" i="246"/>
  <c r="J54" i="246"/>
  <c r="L52" i="246"/>
  <c r="N49" i="246"/>
  <c r="G47" i="246"/>
  <c r="D46" i="246"/>
  <c r="J57" i="246"/>
  <c r="L55" i="246"/>
  <c r="N53" i="246"/>
  <c r="H51" i="246"/>
  <c r="J48" i="246"/>
  <c r="K46" i="246"/>
  <c r="I59" i="246"/>
  <c r="G57" i="246"/>
  <c r="D56" i="246"/>
  <c r="F54" i="246"/>
  <c r="H52" i="246"/>
  <c r="G48" i="246"/>
  <c r="H46" i="246"/>
  <c r="I57" i="246"/>
  <c r="N56" i="246"/>
  <c r="F56" i="246"/>
  <c r="K55" i="246"/>
  <c r="C55" i="246"/>
  <c r="H54" i="246"/>
  <c r="M53" i="246"/>
  <c r="E53" i="246"/>
  <c r="J52" i="246"/>
  <c r="O51" i="246"/>
  <c r="G51" i="246"/>
  <c r="L49" i="246"/>
  <c r="D49" i="246"/>
  <c r="I48" i="246"/>
  <c r="M47" i="246"/>
  <c r="E47" i="246"/>
  <c r="J46" i="246"/>
  <c r="O45" i="246"/>
  <c r="G45" i="246"/>
  <c r="H59" i="246"/>
  <c r="H57" i="246"/>
  <c r="M56" i="246"/>
  <c r="E56" i="246"/>
  <c r="J55" i="246"/>
  <c r="O54" i="246"/>
  <c r="G54" i="246"/>
  <c r="L53" i="246"/>
  <c r="D53" i="246"/>
  <c r="I52" i="246"/>
  <c r="N51" i="246"/>
  <c r="F51" i="246"/>
  <c r="K49" i="246"/>
  <c r="C49" i="246"/>
  <c r="H48" i="246"/>
  <c r="L47" i="246"/>
  <c r="D47" i="246"/>
  <c r="I46" i="246"/>
  <c r="N45" i="246"/>
  <c r="F45" i="246"/>
  <c r="O57" i="246"/>
  <c r="N54" i="246"/>
  <c r="C53" i="246"/>
  <c r="J49" i="246"/>
  <c r="C47" i="246"/>
  <c r="O59" i="246"/>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J58" i="246"/>
  <c r="V121" i="252"/>
  <c r="BS42" i="250"/>
  <c r="BS51" i="250"/>
  <c r="BS57" i="250"/>
  <c r="BD57" i="250"/>
  <c r="BE57" i="250"/>
  <c r="BS36" i="250"/>
  <c r="X23" i="278"/>
  <c r="X26" i="278"/>
  <c r="X25" i="278"/>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D58" i="246"/>
  <c r="D18" i="246"/>
  <c r="K38" i="246"/>
  <c r="I58" i="246"/>
  <c r="E18" i="246"/>
  <c r="H18" i="246"/>
  <c r="O38" i="246"/>
  <c r="L18" i="246"/>
  <c r="M18" i="246"/>
  <c r="N18"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C38" i="246"/>
  <c r="P29" i="246"/>
  <c r="P47" i="246"/>
  <c r="P49" i="246"/>
  <c r="P52" i="246"/>
  <c r="C58" i="246"/>
  <c r="N58" i="246"/>
  <c r="L38" i="246"/>
  <c r="M38" i="246"/>
  <c r="J18" i="246"/>
  <c r="K18" i="246"/>
  <c r="K58" i="246"/>
  <c r="M58" i="246"/>
  <c r="O58" i="246"/>
  <c r="O18" i="246"/>
  <c r="G18" i="246"/>
  <c r="N38" i="246"/>
  <c r="F18" i="246"/>
  <c r="P45" i="246"/>
  <c r="E58" i="246"/>
  <c r="D38" i="246"/>
  <c r="F58" i="246"/>
  <c r="P56" i="246"/>
  <c r="E38" i="246"/>
  <c r="G58" i="246"/>
  <c r="P57" i="246"/>
  <c r="F38" i="246"/>
  <c r="H58" i="246"/>
  <c r="G38" i="246"/>
  <c r="P51" i="246"/>
  <c r="P55" i="246"/>
  <c r="H38" i="246"/>
  <c r="I38" i="246"/>
  <c r="P48" i="246"/>
  <c r="J38" i="246"/>
  <c r="L58" i="246"/>
  <c r="P46" i="246"/>
  <c r="P32" i="246"/>
  <c r="P36" i="246"/>
  <c r="P25" i="246"/>
  <c r="P37" i="246"/>
  <c r="P35" i="246"/>
  <c r="P26" i="246"/>
  <c r="P59" i="246"/>
  <c r="P39" i="246"/>
  <c r="P28" i="246"/>
  <c r="P27" i="246"/>
  <c r="P11" i="246"/>
  <c r="P12" i="246"/>
  <c r="P6" i="246"/>
  <c r="P7" i="246"/>
  <c r="P9" i="246"/>
  <c r="P8" i="246"/>
  <c r="P15"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9" i="246"/>
  <c r="J19" i="246"/>
  <c r="K19" i="246"/>
  <c r="D19" i="246"/>
  <c r="F19" i="246"/>
  <c r="G19" i="246"/>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54" i="246"/>
  <c r="P13"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58" i="246"/>
  <c r="P33" i="246"/>
  <c r="P38" i="246"/>
  <c r="I18" i="246"/>
  <c r="P34" i="246"/>
  <c r="P53" i="246"/>
  <c r="P19" i="246"/>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57" i="249"/>
  <c r="G85"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78" i="249"/>
  <c r="G15" i="249"/>
  <c r="G71" i="249"/>
  <c r="G64" i="249"/>
  <c r="G43" i="249"/>
  <c r="G36" i="249"/>
  <c r="G92" i="249"/>
  <c r="G22" i="249"/>
  <c r="E118" i="249"/>
  <c r="G8"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H28" i="250"/>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AG62" i="263"/>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G53" i="254"/>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G33" i="257"/>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G62" i="253"/>
  <c r="AN28" i="252"/>
  <c r="G28" i="252" s="1"/>
  <c r="AH56" i="254"/>
  <c r="AU35" i="253"/>
  <c r="AG54" i="264"/>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AG45" i="253"/>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53" i="249"/>
  <c r="G174" i="249"/>
  <c r="G80" i="249"/>
  <c r="G125" i="249"/>
  <c r="G160" i="249"/>
  <c r="G87" i="249"/>
  <c r="G60" i="249"/>
  <c r="F119" i="249"/>
  <c r="G11" i="249"/>
  <c r="G139" i="249"/>
  <c r="G247" i="249"/>
  <c r="G118" i="249"/>
  <c r="F118" i="249"/>
  <c r="G10" i="249"/>
  <c r="F125" i="249"/>
  <c r="G54" i="249"/>
  <c r="F133" i="249"/>
  <c r="AG28" i="251" l="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26" i="249"/>
  <c r="E33" i="249"/>
  <c r="G112" i="249"/>
  <c r="F126" i="249"/>
  <c r="G196" i="249"/>
  <c r="G75" i="249"/>
  <c r="F241" i="249"/>
  <c r="F120" i="249"/>
  <c r="G234" i="249"/>
  <c r="G262" i="249"/>
  <c r="G154" i="249"/>
  <c r="G158" i="249"/>
  <c r="E241" i="249"/>
  <c r="G12" i="249"/>
  <c r="G116" i="249"/>
  <c r="F10" i="249"/>
  <c r="G220" i="249"/>
  <c r="E20" i="249"/>
  <c r="E133" i="249"/>
  <c r="G193" i="249"/>
  <c r="F113" i="249"/>
  <c r="G147" i="249"/>
  <c r="G33" i="249"/>
  <c r="G122" i="249"/>
  <c r="E32" i="249"/>
  <c r="G132" i="249"/>
  <c r="G248" i="249"/>
  <c r="G167" i="249"/>
  <c r="E125" i="249"/>
  <c r="G173" i="249"/>
  <c r="E226" i="249"/>
  <c r="G96" i="249"/>
  <c r="F234" i="249"/>
  <c r="G19" i="249"/>
  <c r="E26" i="249"/>
  <c r="G268" i="249"/>
  <c r="E132" i="249"/>
  <c r="G213" i="249"/>
  <c r="G172" i="249"/>
  <c r="G151" i="249"/>
  <c r="F226" i="249"/>
  <c r="G68" i="249"/>
  <c r="F233" i="249"/>
  <c r="E134" i="249"/>
  <c r="G233" i="249"/>
  <c r="G159" i="249"/>
  <c r="G152" i="249"/>
  <c r="G126" i="249"/>
  <c r="G119" i="249"/>
  <c r="F212" i="249"/>
  <c r="G241" i="249"/>
  <c r="E139" i="249"/>
  <c r="G129" i="249"/>
  <c r="E119" i="249"/>
  <c r="E220" i="249"/>
  <c r="E141" i="249"/>
  <c r="G146" i="249"/>
  <c r="G181" i="249"/>
  <c r="F12" i="249"/>
  <c r="E10" i="249"/>
  <c r="G261" i="249"/>
  <c r="E120" i="249"/>
  <c r="E140" i="249"/>
  <c r="G188" i="249"/>
  <c r="E233" i="249"/>
  <c r="G59" i="249"/>
  <c r="G31" i="249"/>
  <c r="E227" i="249"/>
  <c r="G226" i="249"/>
  <c r="G212" i="249"/>
  <c r="F219" i="249"/>
  <c r="G175" i="249"/>
  <c r="E127" i="249"/>
  <c r="G187" i="249"/>
  <c r="E111" i="249"/>
  <c r="G47" i="249"/>
  <c r="F140" i="249"/>
  <c r="F220" i="249"/>
  <c r="G276" i="249"/>
  <c r="G275" i="249"/>
  <c r="G61" i="249"/>
  <c r="F19" i="249"/>
  <c r="G182" i="249"/>
  <c r="E219" i="249"/>
  <c r="F139" i="249"/>
  <c r="E234" i="249"/>
  <c r="E126" i="249"/>
  <c r="G115" i="249"/>
  <c r="G144" i="249"/>
  <c r="G123" i="249"/>
  <c r="G88" i="249"/>
  <c r="G117" i="249"/>
  <c r="E12" i="249"/>
  <c r="G168" i="249"/>
  <c r="G140" i="249"/>
  <c r="G81" i="249"/>
  <c r="G131" i="249"/>
  <c r="F13" i="249"/>
  <c r="G74" i="249"/>
  <c r="G227" i="249"/>
  <c r="E40" i="249"/>
  <c r="G269" i="249"/>
  <c r="G73" i="249"/>
  <c r="E213" i="249"/>
  <c r="F111" i="249"/>
  <c r="E113" i="249"/>
  <c r="F132" i="249"/>
  <c r="G186" i="249"/>
  <c r="G40" i="249"/>
  <c r="E212" i="249"/>
  <c r="G124" i="249"/>
  <c r="E13" i="249"/>
  <c r="E240" i="249"/>
  <c r="G111" i="249"/>
  <c r="G189" i="249"/>
  <c r="G133" i="249"/>
  <c r="G161" i="249"/>
  <c r="G240" i="249"/>
  <c r="E19" i="249"/>
  <c r="E112" i="249"/>
  <c r="G195" i="249"/>
  <c r="F112" i="249"/>
  <c r="F26" i="249"/>
  <c r="G219" i="249"/>
  <c r="G194" i="249"/>
  <c r="G145" i="249"/>
  <c r="G113" i="249"/>
  <c r="G130" i="249"/>
  <c r="F227" i="249"/>
  <c r="G32"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AG55" i="250"/>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62" i="249"/>
  <c r="F138" i="249"/>
  <c r="E221" i="249"/>
  <c r="G150" i="249"/>
  <c r="E239" i="249"/>
  <c r="G41" i="249"/>
  <c r="F20" i="249"/>
  <c r="E121" i="249"/>
  <c r="F127" i="249"/>
  <c r="G237" i="249"/>
  <c r="G155" i="249"/>
  <c r="G120" i="249"/>
  <c r="G239" i="249"/>
  <c r="E235" i="249"/>
  <c r="G69" i="249"/>
  <c r="G28" i="249"/>
  <c r="G223" i="249"/>
  <c r="G270" i="249"/>
  <c r="G214" i="249"/>
  <c r="F240" i="249"/>
  <c r="G197" i="249"/>
  <c r="E229" i="249"/>
  <c r="F32" i="249"/>
  <c r="G20" i="249"/>
  <c r="E135" i="249"/>
  <c r="G83" i="249"/>
  <c r="G34" i="249"/>
  <c r="F121" i="249"/>
  <c r="F147" i="249"/>
  <c r="F239" i="249"/>
  <c r="G109" i="249"/>
  <c r="G274" i="249"/>
  <c r="G110" i="249"/>
  <c r="G190" i="249"/>
  <c r="G180" i="249"/>
  <c r="E248" i="249"/>
  <c r="E225" i="249"/>
  <c r="G67" i="249"/>
  <c r="E31" i="249"/>
  <c r="E146" i="249"/>
  <c r="F214" i="249"/>
  <c r="G165" i="249"/>
  <c r="G108" i="249"/>
  <c r="G127" i="249"/>
  <c r="G273" i="249"/>
  <c r="E222" i="249"/>
  <c r="G179" i="249"/>
  <c r="F221" i="249"/>
  <c r="G97" i="249"/>
  <c r="G216" i="249"/>
  <c r="G55" i="249"/>
  <c r="G176" i="249"/>
  <c r="G238" i="249"/>
  <c r="G228" i="249"/>
  <c r="G218" i="249"/>
  <c r="E247" i="249"/>
  <c r="G76" i="249"/>
  <c r="F114" i="249"/>
  <c r="G183" i="249"/>
  <c r="G27" i="249"/>
  <c r="G249" i="249"/>
  <c r="E114" i="249"/>
  <c r="G263" i="249"/>
  <c r="E27" i="249"/>
  <c r="G229" i="249"/>
  <c r="G137" i="249"/>
  <c r="G13" i="249"/>
  <c r="G138" i="249"/>
  <c r="G166" i="249"/>
  <c r="G232" i="249"/>
  <c r="G231" i="249"/>
  <c r="E147" i="249"/>
  <c r="G217" i="249"/>
  <c r="G136" i="249"/>
  <c r="F213" i="249"/>
  <c r="G30" i="249"/>
  <c r="G162" i="249"/>
  <c r="E149" i="249"/>
  <c r="F248" i="249"/>
  <c r="E228" i="249"/>
  <c r="F247" i="249"/>
  <c r="F33" i="249"/>
  <c r="G134" i="249"/>
  <c r="E138" i="249"/>
  <c r="G291" i="249"/>
  <c r="G143" i="249"/>
  <c r="G48" i="249"/>
  <c r="G277" i="249"/>
  <c r="E148" i="249"/>
  <c r="G148" i="249"/>
  <c r="G82" i="249"/>
  <c r="G169" i="249"/>
  <c r="E128" i="249"/>
  <c r="E142" i="249"/>
  <c r="G230" i="249"/>
  <c r="G235" i="249"/>
  <c r="F225" i="249"/>
  <c r="G222" i="249"/>
  <c r="F146" i="249"/>
  <c r="G224" i="249"/>
  <c r="G225" i="249"/>
  <c r="G66" i="249"/>
  <c r="G79" i="249"/>
  <c r="F31" i="249"/>
  <c r="G90" i="249"/>
  <c r="G141" i="249"/>
  <c r="E108" i="249"/>
  <c r="G242" i="249"/>
  <c r="AG39" i="255" l="1"/>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G149" i="249"/>
  <c r="F40" i="249"/>
  <c r="AF6" i="232"/>
  <c r="E211" i="249"/>
  <c r="G177" i="249"/>
  <c r="G210" i="249"/>
  <c r="G121" i="249"/>
  <c r="E210" i="249"/>
  <c r="G260" i="249"/>
  <c r="E231" i="249"/>
  <c r="E215" i="249"/>
  <c r="G45" i="249"/>
  <c r="F223" i="249"/>
  <c r="AF14" i="232"/>
  <c r="G282" i="249"/>
  <c r="E30" i="249"/>
  <c r="G86" i="249"/>
  <c r="S6" i="232"/>
  <c r="E238" i="249"/>
  <c r="E59" i="249"/>
  <c r="G65" i="249"/>
  <c r="F43" i="249"/>
  <c r="G250" i="249"/>
  <c r="E131" i="249"/>
  <c r="E60" i="249"/>
  <c r="E236" i="249"/>
  <c r="F153" i="249"/>
  <c r="S9" i="232"/>
  <c r="E232" i="249"/>
  <c r="F230" i="249"/>
  <c r="G258" i="249"/>
  <c r="F60" i="249"/>
  <c r="F29" i="249"/>
  <c r="G114" i="249"/>
  <c r="E224" i="249"/>
  <c r="G266" i="249"/>
  <c r="G264" i="249"/>
  <c r="G284" i="249"/>
  <c r="E11" i="249"/>
  <c r="AF16" i="232"/>
  <c r="S16" i="232"/>
  <c r="E153" i="249"/>
  <c r="G18" i="249"/>
  <c r="G259" i="249"/>
  <c r="AF8" i="232"/>
  <c r="F245" i="249"/>
  <c r="F128" i="249"/>
  <c r="G283" i="249"/>
  <c r="G191" i="249"/>
  <c r="AF7" i="232"/>
  <c r="F224" i="249"/>
  <c r="S14" i="232"/>
  <c r="AF17" i="232"/>
  <c r="F59" i="249"/>
  <c r="G246" i="249"/>
  <c r="G292" i="249"/>
  <c r="F222" i="249"/>
  <c r="E155" i="249"/>
  <c r="F228" i="249"/>
  <c r="G299" i="249"/>
  <c r="G128" i="249"/>
  <c r="F216" i="249"/>
  <c r="G209" i="249"/>
  <c r="F136" i="249"/>
  <c r="F131" i="249"/>
  <c r="F30" i="249"/>
  <c r="F218" i="249"/>
  <c r="G170" i="249"/>
  <c r="G157" i="249"/>
  <c r="AF10" i="232"/>
  <c r="E218" i="249"/>
  <c r="E43" i="249"/>
  <c r="F137" i="249"/>
  <c r="S15" i="232"/>
  <c r="G17" i="249"/>
  <c r="G184" i="249"/>
  <c r="G163" i="249"/>
  <c r="G271" i="249"/>
  <c r="AF13" i="232"/>
  <c r="G39" i="249"/>
  <c r="E15" i="249"/>
  <c r="S12" i="232"/>
  <c r="G298" i="249"/>
  <c r="F246" i="249"/>
  <c r="F238" i="249"/>
  <c r="F237" i="249"/>
  <c r="G290" i="249"/>
  <c r="E230" i="249"/>
  <c r="AF12" i="232"/>
  <c r="E156" i="249"/>
  <c r="E246" i="249"/>
  <c r="G72" i="249"/>
  <c r="F134" i="249"/>
  <c r="S13" i="232"/>
  <c r="G44" i="249"/>
  <c r="E214" i="249"/>
  <c r="F231" i="249"/>
  <c r="E154" i="249"/>
  <c r="S17" i="232"/>
  <c r="G289" i="249"/>
  <c r="F154" i="249"/>
  <c r="F210" i="249"/>
  <c r="G256" i="249"/>
  <c r="G198" i="249"/>
  <c r="E223" i="249"/>
  <c r="G16" i="249"/>
  <c r="E217" i="249"/>
  <c r="G156" i="249"/>
  <c r="AF9" i="232"/>
  <c r="AF15" i="232"/>
  <c r="E216" i="249"/>
  <c r="S11" i="232"/>
  <c r="G287" i="249"/>
  <c r="G244" i="249"/>
  <c r="S8" i="232"/>
  <c r="G89" i="249"/>
  <c r="F130" i="249"/>
  <c r="G243" i="249"/>
  <c r="G142" i="249"/>
  <c r="AF11" i="232"/>
  <c r="E34" i="249"/>
  <c r="F211" i="249"/>
  <c r="E242" i="249"/>
  <c r="G285" i="249"/>
  <c r="S10" i="232"/>
  <c r="G135" i="249"/>
  <c r="F27" i="249"/>
  <c r="E245" i="249"/>
  <c r="G267" i="249"/>
  <c r="G280" i="249"/>
  <c r="G236" i="249"/>
  <c r="G38" i="249"/>
  <c r="G278" i="249"/>
  <c r="F232" i="249"/>
  <c r="G257" i="249"/>
  <c r="F217" i="249"/>
  <c r="G221" i="249"/>
  <c r="F144" i="249"/>
  <c r="S7" i="232"/>
  <c r="G245" i="249"/>
  <c r="F11" i="249"/>
  <c r="G46" i="249"/>
  <c r="G211" i="249"/>
  <c r="E237" i="249"/>
  <c r="F215"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AB13" i="232"/>
  <c r="F159" i="249"/>
  <c r="AG17" i="232"/>
  <c r="X17" i="232"/>
  <c r="O7" i="232"/>
  <c r="P8" i="232"/>
  <c r="E44" i="249"/>
  <c r="G265" i="249"/>
  <c r="O11" i="232"/>
  <c r="F262" i="249"/>
  <c r="E162" i="249"/>
  <c r="AK9" i="232"/>
  <c r="E144" i="249"/>
  <c r="AI8" i="232"/>
  <c r="F28" i="249"/>
  <c r="F34" i="249"/>
  <c r="F117" i="249"/>
  <c r="F261" i="249"/>
  <c r="AG12" i="232"/>
  <c r="F67" i="249"/>
  <c r="AG16" i="232"/>
  <c r="AB12" i="232"/>
  <c r="E66" i="249"/>
  <c r="X10" i="232"/>
  <c r="F18" i="249"/>
  <c r="E259" i="249"/>
  <c r="E249" i="249"/>
  <c r="G42" i="249"/>
  <c r="G281" i="249"/>
  <c r="AI10" i="232"/>
  <c r="E209" i="249"/>
  <c r="F44" i="249"/>
  <c r="F160" i="249"/>
  <c r="F116" i="249"/>
  <c r="AC6" i="232"/>
  <c r="AG11" i="232"/>
  <c r="T8" i="232"/>
  <c r="AK14" i="232"/>
  <c r="O17" i="232"/>
  <c r="AI16" i="232"/>
  <c r="V10" i="232"/>
  <c r="AK17" i="232"/>
  <c r="P11" i="232"/>
  <c r="F244" i="249"/>
  <c r="AK13" i="232"/>
  <c r="P15" i="232"/>
  <c r="X8" i="232"/>
  <c r="F209" i="249"/>
  <c r="T12" i="232"/>
  <c r="F229" i="249"/>
  <c r="E54" i="249"/>
  <c r="AC7" i="232"/>
  <c r="O13" i="232"/>
  <c r="X16" i="232"/>
  <c r="E159" i="249"/>
  <c r="F46" i="249"/>
  <c r="AC8" i="232"/>
  <c r="V6" i="232"/>
  <c r="AB7" i="232"/>
  <c r="AI9" i="232"/>
  <c r="O16" i="232"/>
  <c r="F141" i="249"/>
  <c r="V8" i="232"/>
  <c r="AG14" i="232"/>
  <c r="AG10" i="232"/>
  <c r="E136" i="249"/>
  <c r="AC15" i="232"/>
  <c r="T9" i="232"/>
  <c r="E130" i="249"/>
  <c r="E262" i="249"/>
  <c r="G37" i="249"/>
  <c r="F235" i="249"/>
  <c r="E16" i="249"/>
  <c r="AG15" i="232"/>
  <c r="G63" i="249"/>
  <c r="X13" i="232"/>
  <c r="T6" i="232"/>
  <c r="E160" i="249"/>
  <c r="V15" i="232"/>
  <c r="AC16" i="232"/>
  <c r="AK12" i="232"/>
  <c r="F158" i="249"/>
  <c r="F17" i="249"/>
  <c r="AK8" i="232"/>
  <c r="AB16" i="232"/>
  <c r="O15" i="232"/>
  <c r="P17" i="232"/>
  <c r="F135" i="249"/>
  <c r="E36" i="249"/>
  <c r="O9" i="232"/>
  <c r="AB14" i="232"/>
  <c r="AC17" i="232"/>
  <c r="E65" i="249"/>
  <c r="X11" i="232"/>
  <c r="AK7" i="232"/>
  <c r="P216" i="249"/>
  <c r="F39" i="249"/>
  <c r="AG9" i="232"/>
  <c r="T14" i="232"/>
  <c r="E47" i="249"/>
  <c r="E129" i="249"/>
  <c r="T16" i="232"/>
  <c r="E163" i="249"/>
  <c r="G288" i="249"/>
  <c r="F36" i="249"/>
  <c r="AB8" i="232"/>
  <c r="X7" i="232"/>
  <c r="AB9" i="232"/>
  <c r="AG8" i="232"/>
  <c r="P9" i="232"/>
  <c r="G25" i="249"/>
  <c r="F16" i="249"/>
  <c r="AB17" i="232"/>
  <c r="T11" i="232"/>
  <c r="F15" i="249"/>
  <c r="F38" i="249"/>
  <c r="E45" i="249"/>
  <c r="AC11" i="232"/>
  <c r="E161" i="249"/>
  <c r="E64" i="249"/>
  <c r="AC9" i="232"/>
  <c r="AG7" i="232"/>
  <c r="AB10" i="232"/>
  <c r="AI12" i="232"/>
  <c r="E67" i="249"/>
  <c r="AK6" i="232"/>
  <c r="O12" i="232"/>
  <c r="T7" i="232"/>
  <c r="F259" i="249"/>
  <c r="V16" i="232"/>
  <c r="P16" i="232"/>
  <c r="AC12" i="232"/>
  <c r="F64" i="249"/>
  <c r="P13" i="232"/>
  <c r="AI7" i="232"/>
  <c r="X14" i="232"/>
  <c r="AI17" i="232"/>
  <c r="P12" i="232"/>
  <c r="AK11" i="232"/>
  <c r="G215" i="249"/>
  <c r="T17" i="232"/>
  <c r="G14" i="249"/>
  <c r="T10" i="232"/>
  <c r="O6" i="232"/>
  <c r="V7" i="232"/>
  <c r="E29" i="249"/>
  <c r="F157" i="249"/>
  <c r="F258" i="249"/>
  <c r="E39" i="249"/>
  <c r="F66" i="249"/>
  <c r="E258" i="249"/>
  <c r="V17" i="232"/>
  <c r="P7" i="232"/>
  <c r="X15" i="232"/>
  <c r="AK10" i="232"/>
  <c r="AC10" i="232"/>
  <c r="O14" i="232"/>
  <c r="AK16" i="232"/>
  <c r="AI11" i="232"/>
  <c r="AK15" i="232"/>
  <c r="E157" i="249"/>
  <c r="G164" i="249"/>
  <c r="V9" i="232"/>
  <c r="P6" i="232"/>
  <c r="F145" i="249"/>
  <c r="AG13" i="232"/>
  <c r="E243" i="249"/>
  <c r="F47" i="249"/>
  <c r="AC14" i="232"/>
  <c r="F45" i="249"/>
  <c r="V11" i="232"/>
  <c r="G23" i="249"/>
  <c r="E17" i="249"/>
  <c r="AB15" i="232"/>
  <c r="AI13" i="232"/>
  <c r="AI6" i="232"/>
  <c r="T13" i="232"/>
  <c r="V12" i="232"/>
  <c r="F65" i="249"/>
  <c r="O10" i="232"/>
  <c r="E137" i="249"/>
  <c r="O8" i="232"/>
  <c r="E18" i="249"/>
  <c r="P14" i="232"/>
  <c r="V13" i="232"/>
  <c r="G24" i="249"/>
  <c r="F260" i="249"/>
  <c r="X9" i="232"/>
  <c r="E158" i="249"/>
  <c r="P10" i="232"/>
  <c r="AI14" i="232"/>
  <c r="E261" i="249"/>
  <c r="E38" i="249"/>
  <c r="AB11" i="232"/>
  <c r="X12" i="232"/>
  <c r="E260" i="249"/>
  <c r="T15" i="232"/>
  <c r="E244" i="249"/>
  <c r="AI15" i="232"/>
  <c r="AB6" i="232"/>
  <c r="V14" i="232"/>
  <c r="E46" i="249"/>
  <c r="AG6" i="232"/>
  <c r="F161" i="249"/>
  <c r="F129" i="249"/>
  <c r="AC13" i="232"/>
  <c r="X6" i="232"/>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E25" i="249"/>
  <c r="E255" i="249"/>
  <c r="AH12" i="232"/>
  <c r="F123" i="249"/>
  <c r="U16" i="232"/>
  <c r="AH11" i="232"/>
  <c r="E170" i="249"/>
  <c r="E74" i="249"/>
  <c r="AJ7" i="232"/>
  <c r="E41" i="249"/>
  <c r="E252" i="249"/>
  <c r="F167" i="249"/>
  <c r="U14" i="232"/>
  <c r="F72" i="249"/>
  <c r="W9" i="232"/>
  <c r="F265" i="249"/>
  <c r="AH10" i="232"/>
  <c r="E165" i="249"/>
  <c r="E73" i="249"/>
  <c r="G171" i="249"/>
  <c r="F268" i="249"/>
  <c r="E168" i="249"/>
  <c r="E269" i="249"/>
  <c r="E167" i="249"/>
  <c r="U7" i="232"/>
  <c r="F269" i="249"/>
  <c r="E116" i="249"/>
  <c r="F168" i="249"/>
  <c r="F255" i="249"/>
  <c r="F164" i="249"/>
  <c r="E254" i="249"/>
  <c r="AH16" i="232"/>
  <c r="E28" i="249"/>
  <c r="AJ15" i="232"/>
  <c r="F266" i="249"/>
  <c r="W16" i="232"/>
  <c r="E266" i="249"/>
  <c r="G35" i="249"/>
  <c r="E265" i="249"/>
  <c r="AH15" i="232"/>
  <c r="G252" i="249"/>
  <c r="W13" i="232"/>
  <c r="G254" i="249"/>
  <c r="E24" i="249"/>
  <c r="F165" i="249"/>
  <c r="U6" i="232"/>
  <c r="W17" i="232"/>
  <c r="F236" i="249"/>
  <c r="W12" i="232"/>
  <c r="U15" i="232"/>
  <c r="P209" i="249"/>
  <c r="W15" i="232"/>
  <c r="U9" i="232"/>
  <c r="E48" i="249"/>
  <c r="G70" i="249"/>
  <c r="E37" i="249"/>
  <c r="AJ13" i="232"/>
  <c r="W6" i="232"/>
  <c r="E145" i="249"/>
  <c r="U8" i="232"/>
  <c r="P223" i="249"/>
  <c r="F22" i="249"/>
  <c r="W7" i="232"/>
  <c r="AJ11" i="232"/>
  <c r="G255" i="249"/>
  <c r="AJ17" i="232"/>
  <c r="AJ14" i="232"/>
  <c r="AH8" i="232"/>
  <c r="F74" i="249"/>
  <c r="E70" i="249"/>
  <c r="U13" i="232"/>
  <c r="P129" i="249"/>
  <c r="E268" i="249"/>
  <c r="W11" i="232"/>
  <c r="E117" i="249"/>
  <c r="F37" i="249"/>
  <c r="G294" i="249"/>
  <c r="W14" i="232"/>
  <c r="E166" i="249"/>
  <c r="AJ16" i="232"/>
  <c r="U10" i="232"/>
  <c r="E169" i="249"/>
  <c r="G272" i="249"/>
  <c r="U17" i="232"/>
  <c r="F252" i="249"/>
  <c r="E250" i="249"/>
  <c r="F24" i="249"/>
  <c r="E267" i="249"/>
  <c r="F70" i="249"/>
  <c r="AH13" i="232"/>
  <c r="AJ8" i="232"/>
  <c r="W8" i="232"/>
  <c r="AJ12" i="232"/>
  <c r="E22" i="249"/>
  <c r="F267" i="249"/>
  <c r="W10" i="232"/>
  <c r="F142" i="249"/>
  <c r="AJ10" i="232"/>
  <c r="U11" i="232"/>
  <c r="G21" i="249"/>
  <c r="F166" i="249"/>
  <c r="F63" i="249"/>
  <c r="G296" i="249"/>
  <c r="AJ6" i="232"/>
  <c r="E71" i="249"/>
  <c r="E256" i="249"/>
  <c r="F242" i="249"/>
  <c r="F254" i="249"/>
  <c r="AH14" i="232"/>
  <c r="E63" i="249"/>
  <c r="U12" i="232"/>
  <c r="E72" i="249"/>
  <c r="G297" i="249"/>
  <c r="F73" i="249"/>
  <c r="AH7" i="232"/>
  <c r="F148" i="249"/>
  <c r="AJ9" i="232"/>
  <c r="E61" i="249"/>
  <c r="AH9" i="232"/>
  <c r="AH6" i="232"/>
  <c r="AH17" i="232"/>
  <c r="F71" i="249"/>
  <c r="F25" i="249"/>
  <c r="E164"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E55" i="249"/>
  <c r="E177" i="249"/>
  <c r="M15" i="232"/>
  <c r="AD9" i="232"/>
  <c r="Z7" i="232"/>
  <c r="M14" i="232"/>
  <c r="E77" i="249"/>
  <c r="AD17" i="232"/>
  <c r="F81" i="249"/>
  <c r="Z14" i="232"/>
  <c r="F253" i="249"/>
  <c r="E175" i="249"/>
  <c r="P28" i="249"/>
  <c r="Q8" i="232"/>
  <c r="F175" i="249"/>
  <c r="AD6" i="232"/>
  <c r="F79" i="249"/>
  <c r="F276" i="249"/>
  <c r="Q16" i="232"/>
  <c r="F249" i="249"/>
  <c r="F80" i="249"/>
  <c r="F48" i="249"/>
  <c r="E14" i="249"/>
  <c r="Q11" i="232"/>
  <c r="E176" i="249"/>
  <c r="AD7" i="232"/>
  <c r="F273" i="249"/>
  <c r="F35" i="249"/>
  <c r="F274" i="249"/>
  <c r="F275" i="249"/>
  <c r="F171" i="249"/>
  <c r="Z6" i="232"/>
  <c r="E274" i="249"/>
  <c r="E272" i="249"/>
  <c r="Z11" i="232"/>
  <c r="M12" i="232"/>
  <c r="F143" i="249"/>
  <c r="G279" i="249"/>
  <c r="E81" i="249"/>
  <c r="AD15" i="232"/>
  <c r="AD8" i="232"/>
  <c r="G95" i="249"/>
  <c r="M9" i="232"/>
  <c r="P230" i="249"/>
  <c r="AD12" i="232"/>
  <c r="Z9" i="232"/>
  <c r="M8" i="232"/>
  <c r="G178" i="249"/>
  <c r="M16" i="232"/>
  <c r="M17" i="232"/>
  <c r="Q13" i="232"/>
  <c r="F149" i="249"/>
  <c r="F41" i="249"/>
  <c r="Q9" i="232"/>
  <c r="G251" i="249"/>
  <c r="E123" i="249"/>
  <c r="Z8" i="232"/>
  <c r="AD10" i="232"/>
  <c r="E253" i="249"/>
  <c r="E23" i="249"/>
  <c r="Q15" i="232"/>
  <c r="F78" i="249"/>
  <c r="Q14" i="232"/>
  <c r="E174" i="249"/>
  <c r="E172" i="249"/>
  <c r="F243" i="249"/>
  <c r="Z17" i="232"/>
  <c r="F115" i="249"/>
  <c r="F173" i="249"/>
  <c r="E78" i="249"/>
  <c r="E173" i="249"/>
  <c r="P136" i="249"/>
  <c r="AD11" i="232"/>
  <c r="E275" i="249"/>
  <c r="E68" i="249"/>
  <c r="Z10" i="232"/>
  <c r="E276" i="249"/>
  <c r="F23" i="249"/>
  <c r="E35" i="249"/>
  <c r="F172" i="249"/>
  <c r="Z12" i="232"/>
  <c r="F174" i="249"/>
  <c r="Q10" i="232"/>
  <c r="F272" i="249"/>
  <c r="F54" i="249"/>
  <c r="F61" i="249"/>
  <c r="Q12" i="232"/>
  <c r="M7" i="232"/>
  <c r="F155" i="249"/>
  <c r="M13" i="232"/>
  <c r="F77" i="249"/>
  <c r="AD14" i="232"/>
  <c r="E257" i="249"/>
  <c r="E263" i="249"/>
  <c r="M11" i="232"/>
  <c r="M6" i="232"/>
  <c r="F14" i="249"/>
  <c r="M10" i="232"/>
  <c r="E42" i="249"/>
  <c r="E80" i="249"/>
  <c r="AD16" i="232"/>
  <c r="G295" i="249"/>
  <c r="Q7" i="232"/>
  <c r="Z13" i="232"/>
  <c r="F42" i="249"/>
  <c r="E273" i="249"/>
  <c r="F124" i="249"/>
  <c r="E171" i="249"/>
  <c r="Q17" i="232"/>
  <c r="Z15" i="232"/>
  <c r="Z16" i="232"/>
  <c r="AD13" i="232"/>
  <c r="G253" i="249"/>
  <c r="E79" i="249"/>
  <c r="G94"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F85" i="249"/>
  <c r="F180" i="249"/>
  <c r="E264" i="249"/>
  <c r="AA6" i="232"/>
  <c r="AA7" i="232"/>
  <c r="N6" i="232"/>
  <c r="AA11" i="232"/>
  <c r="E143" i="249"/>
  <c r="F281" i="249"/>
  <c r="G51" i="249"/>
  <c r="E124" i="249"/>
  <c r="E115" i="249"/>
  <c r="F181" i="249"/>
  <c r="AA12" i="232"/>
  <c r="N11" i="232"/>
  <c r="P42" i="249"/>
  <c r="G52" i="249"/>
  <c r="F122" i="249"/>
  <c r="AA16" i="232"/>
  <c r="F283" i="249"/>
  <c r="AA17" i="232"/>
  <c r="F279" i="249"/>
  <c r="E87" i="249"/>
  <c r="N16" i="232"/>
  <c r="F178" i="249"/>
  <c r="F55" i="249"/>
  <c r="E281" i="249"/>
  <c r="E184" i="249"/>
  <c r="E86" i="249"/>
  <c r="E181" i="249"/>
  <c r="P14" i="249"/>
  <c r="AA9" i="232"/>
  <c r="G53" i="249"/>
  <c r="E180" i="249"/>
  <c r="P35" i="249"/>
  <c r="AA15" i="232"/>
  <c r="E283" i="249"/>
  <c r="G84" i="249"/>
  <c r="G93" i="249"/>
  <c r="E178" i="249"/>
  <c r="E282" i="249"/>
  <c r="F88" i="249"/>
  <c r="E279" i="249"/>
  <c r="N9" i="232"/>
  <c r="AA13" i="232"/>
  <c r="N13" i="232"/>
  <c r="AA14" i="232"/>
  <c r="P237" i="249"/>
  <c r="F256" i="249"/>
  <c r="E84" i="249"/>
  <c r="G192" i="249"/>
  <c r="AA8" i="232"/>
  <c r="N7" i="232"/>
  <c r="E251" i="249"/>
  <c r="G286" i="249"/>
  <c r="N15" i="232"/>
  <c r="E88" i="249"/>
  <c r="F282" i="249"/>
  <c r="F21" i="249"/>
  <c r="E21" i="249"/>
  <c r="N10" i="232"/>
  <c r="E270" i="249"/>
  <c r="E182" i="249"/>
  <c r="F84" i="249"/>
  <c r="E179" i="249"/>
  <c r="E85" i="249"/>
  <c r="N12" i="232"/>
  <c r="F87" i="249"/>
  <c r="N8" i="232"/>
  <c r="G293" i="249"/>
  <c r="F179" i="249"/>
  <c r="F182" i="249"/>
  <c r="E183" i="249"/>
  <c r="F86" i="249"/>
  <c r="F162" i="249"/>
  <c r="AA10" i="232"/>
  <c r="N17" i="232"/>
  <c r="N14" i="232"/>
  <c r="G185" i="249"/>
  <c r="F280" i="249"/>
  <c r="E280"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91" i="249"/>
  <c r="F286" i="249"/>
  <c r="P21" i="249"/>
  <c r="F169" i="249"/>
  <c r="E290" i="249"/>
  <c r="E62" i="249"/>
  <c r="E75" i="249"/>
  <c r="F187" i="249"/>
  <c r="E93" i="249"/>
  <c r="F151" i="249"/>
  <c r="F92" i="249"/>
  <c r="E288" i="249"/>
  <c r="E94" i="249"/>
  <c r="F189" i="249"/>
  <c r="F50" i="249"/>
  <c r="F53" i="249"/>
  <c r="E122" i="249"/>
  <c r="E185" i="249"/>
  <c r="E186" i="249"/>
  <c r="E271" i="249"/>
  <c r="E82" i="249"/>
  <c r="G91" i="249"/>
  <c r="E51" i="249"/>
  <c r="E53" i="249"/>
  <c r="P115" i="249"/>
  <c r="F94" i="249"/>
  <c r="G49" i="249"/>
  <c r="E188" i="249"/>
  <c r="E189" i="249"/>
  <c r="F185" i="249"/>
  <c r="P143" i="249"/>
  <c r="E69" i="249"/>
  <c r="F290" i="249"/>
  <c r="F250" i="249"/>
  <c r="F251" i="249"/>
  <c r="F257" i="249"/>
  <c r="F186" i="249"/>
  <c r="F163" i="249"/>
  <c r="E187" i="249"/>
  <c r="F68" i="249"/>
  <c r="E287" i="249"/>
  <c r="F52" i="249"/>
  <c r="E95" i="249"/>
  <c r="F288" i="249"/>
  <c r="F188" i="249"/>
  <c r="E190" i="249"/>
  <c r="E286" i="249"/>
  <c r="E289" i="249"/>
  <c r="F156" i="249"/>
  <c r="E92" i="249"/>
  <c r="F95" i="249"/>
  <c r="F289" i="249"/>
  <c r="F287"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194" i="249"/>
  <c r="F75" i="249"/>
  <c r="F196" i="249"/>
  <c r="F295" i="249"/>
  <c r="F93" i="249"/>
  <c r="E52" i="249"/>
  <c r="E197" i="249"/>
  <c r="F192" i="249"/>
  <c r="E91" i="249"/>
  <c r="E96" i="249"/>
  <c r="F193" i="249"/>
  <c r="F296" i="249"/>
  <c r="F82" i="249"/>
  <c r="E277" i="249"/>
  <c r="E296" i="249"/>
  <c r="E294" i="249"/>
  <c r="F263" i="249"/>
  <c r="E297" i="249"/>
  <c r="F297" i="249"/>
  <c r="E193" i="249"/>
  <c r="F152" i="249"/>
  <c r="P251" i="249"/>
  <c r="E196" i="249"/>
  <c r="P244" i="249"/>
  <c r="F62" i="249"/>
  <c r="E195" i="249"/>
  <c r="P157" i="249"/>
  <c r="P122" i="249"/>
  <c r="E295" i="249"/>
  <c r="E50" i="249"/>
  <c r="F194" i="249"/>
  <c r="F294" i="249"/>
  <c r="E198" i="249"/>
  <c r="E151" i="249"/>
  <c r="E278" i="249"/>
  <c r="E192" i="249"/>
  <c r="E293" i="249"/>
  <c r="F51" i="249"/>
  <c r="F293" i="249"/>
  <c r="F195" i="249"/>
  <c r="E152"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R7" i="232"/>
  <c r="R12" i="232"/>
  <c r="F89" i="249"/>
  <c r="AE11" i="232"/>
  <c r="R14" i="232"/>
  <c r="R15" i="232"/>
  <c r="E76" i="249"/>
  <c r="F49" i="249"/>
  <c r="R9" i="232"/>
  <c r="F170" i="249"/>
  <c r="E49" i="249"/>
  <c r="F150" i="249"/>
  <c r="AE13" i="232"/>
  <c r="R10" i="232"/>
  <c r="AE8" i="232"/>
  <c r="F271" i="249"/>
  <c r="R17" i="232"/>
  <c r="R13" i="232"/>
  <c r="F96" i="249"/>
  <c r="AE10" i="232"/>
  <c r="AE17" i="232"/>
  <c r="E291" i="249"/>
  <c r="AE9" i="232"/>
  <c r="F264" i="249"/>
  <c r="E284" i="249"/>
  <c r="AE14" i="232"/>
  <c r="E285" i="249"/>
  <c r="AE12" i="232"/>
  <c r="R6" i="232"/>
  <c r="F270" i="249"/>
  <c r="F91" i="249"/>
  <c r="AE6" i="232"/>
  <c r="E89" i="249"/>
  <c r="F176" i="249"/>
  <c r="R16" i="232"/>
  <c r="F177" i="249"/>
  <c r="AE15" i="232"/>
  <c r="AE7" i="232"/>
  <c r="R8" i="232"/>
  <c r="F183" i="249"/>
  <c r="F76" i="249"/>
  <c r="F69" i="249"/>
  <c r="E83" i="249"/>
  <c r="AE16" i="232"/>
  <c r="F277" i="249"/>
  <c r="R11" i="232"/>
  <c r="E298"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F190" i="249"/>
  <c r="P49" i="249"/>
  <c r="F83" i="249"/>
  <c r="F184" i="249"/>
  <c r="P258" i="249"/>
  <c r="E150" i="249"/>
  <c r="E299" i="249"/>
  <c r="P265" i="249"/>
  <c r="E97" i="249"/>
  <c r="E292" i="249"/>
  <c r="F278" i="249"/>
  <c r="P164" i="249"/>
  <c r="P70" i="249"/>
  <c r="E90" i="249"/>
  <c r="F284" i="249"/>
  <c r="P171" i="249"/>
  <c r="P63" i="249"/>
  <c r="F197"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191" i="249"/>
  <c r="P272" i="249"/>
  <c r="F285" i="249"/>
  <c r="P150" i="249"/>
  <c r="P178" i="249"/>
  <c r="F90" i="249"/>
  <c r="F291" i="249"/>
  <c r="P77" i="249"/>
  <c r="F97" i="249"/>
  <c r="F298" i="249"/>
  <c r="F198"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192" i="249"/>
  <c r="P91" i="249"/>
  <c r="P84" i="249"/>
  <c r="P279"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4" i="246"/>
  <c r="V86" i="235"/>
  <c r="X86" i="235" s="1"/>
  <c r="C18" i="246"/>
  <c r="P18" i="246" s="1"/>
  <c r="L78" i="235" l="1"/>
  <c r="AM45" i="235" s="1"/>
  <c r="AN45" i="235" s="1"/>
  <c r="G45" i="235" s="1"/>
  <c r="AQ45" i="235" s="1"/>
  <c r="L81" i="235"/>
  <c r="L77" i="235"/>
  <c r="AM34" i="235" s="1"/>
  <c r="V90" i="235"/>
  <c r="L79" i="235"/>
  <c r="L80" i="235"/>
  <c r="L82" i="235"/>
  <c r="AM55" i="235" s="1"/>
  <c r="E8" i="249"/>
  <c r="E57"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7" i="249"/>
  <c r="G9" i="249"/>
  <c r="E58" i="249"/>
  <c r="G58" i="249"/>
  <c r="G56" i="249"/>
  <c r="AV34" i="235" l="1"/>
  <c r="AV55" i="235"/>
  <c r="AG45" i="235"/>
  <c r="AT45" i="235"/>
  <c r="F56" i="249"/>
  <c r="F7" i="249"/>
  <c r="F57" i="249"/>
  <c r="F8" i="249"/>
  <c r="F109" i="249"/>
  <c r="E109" i="249"/>
  <c r="AU45" i="235" l="1"/>
  <c r="AG55" i="235"/>
  <c r="AT55" i="235"/>
  <c r="AU34" i="235"/>
  <c r="F108" i="249"/>
  <c r="E56" i="249"/>
  <c r="F110" i="249"/>
  <c r="F9" i="249"/>
  <c r="F58" i="249"/>
  <c r="E7" i="249"/>
  <c r="E110" i="249"/>
  <c r="AU55" i="235" l="1"/>
  <c r="AG34" i="235"/>
  <c r="P7" i="249"/>
  <c r="L8" i="232"/>
  <c r="L16" i="232"/>
  <c r="L11" i="232"/>
  <c r="Y10" i="232"/>
  <c r="Y15" i="232"/>
  <c r="Y12" i="232"/>
  <c r="Y14" i="232"/>
  <c r="Y17" i="232"/>
  <c r="L6" i="232"/>
  <c r="L13" i="232"/>
  <c r="L15" i="232"/>
  <c r="P56" i="249"/>
  <c r="L9" i="232"/>
  <c r="L7" i="232"/>
  <c r="L21" i="232"/>
  <c r="Y7" i="232"/>
  <c r="Y13" i="232"/>
  <c r="Y11" i="232"/>
  <c r="L12" i="232"/>
  <c r="L17" i="232"/>
  <c r="Y8" i="232"/>
  <c r="L14" i="232"/>
  <c r="Y6" i="232"/>
  <c r="Y16" i="232"/>
  <c r="L10" i="232"/>
  <c r="Y9"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6" authorId="0" shapeId="0" xr:uid="{00000000-0006-0000-1800-000001000000}">
      <text>
        <r>
          <rPr>
            <b/>
            <sz val="9"/>
            <color indexed="81"/>
            <rFont val="Tahoma"/>
            <family val="2"/>
          </rPr>
          <t>Mikkel Bosack:</t>
        </r>
        <r>
          <rPr>
            <sz val="9"/>
            <color indexed="81"/>
            <rFont val="Tahoma"/>
            <family val="2"/>
          </rPr>
          <t xml:space="preserve">
could very well be energy consumption for the oil refineries</t>
        </r>
      </text>
    </comment>
    <comment ref="E27" authorId="0" shapeId="0" xr:uid="{00000000-0006-0000-1800-000002000000}">
      <text>
        <r>
          <rPr>
            <b/>
            <sz val="9"/>
            <color indexed="81"/>
            <rFont val="Tahoma"/>
            <family val="2"/>
          </rPr>
          <t>Mikkel Bosack:</t>
        </r>
        <r>
          <rPr>
            <sz val="9"/>
            <color indexed="81"/>
            <rFont val="Tahoma"/>
            <family val="2"/>
          </rPr>
          <t xml:space="preserve">
Most likely venting or flaring</t>
        </r>
      </text>
    </comment>
    <comment ref="Q27" authorId="0" shapeId="0" xr:uid="{00000000-0006-0000-1800-000003000000}">
      <text>
        <r>
          <rPr>
            <b/>
            <sz val="9"/>
            <color indexed="81"/>
            <rFont val="Tahoma"/>
            <family val="2"/>
          </rPr>
          <t>Mikkel Bosack:</t>
        </r>
        <r>
          <rPr>
            <sz val="9"/>
            <color indexed="81"/>
            <rFont val="Tahoma"/>
            <family val="2"/>
          </rPr>
          <t xml:space="preserve">
Assumed to be gas leakage in the system, dominantly form transport and gas production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<sst xmlns="http://schemas.openxmlformats.org/spreadsheetml/2006/main" count="6441" uniqueCount="590">
  <si>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</si>
  <si>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</si>
  <si>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</si>
  <si>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</si>
  <si>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</si>
  <si>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</si>
  <si>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</si>
  <si>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</si>
  <si>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</si>
  <si>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</si>
  <si>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</si>
  <si>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</si>
  <si>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</si>
  <si>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</si>
  <si>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</si>
  <si>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</si>
  <si>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</si>
  <si>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</si>
  <si>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</si>
  <si>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</si>
  <si>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</si>
  <si>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</si>
  <si>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</si>
  <si>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</si>
  <si>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</si>
  <si>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</si>
  <si>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</si>
  <si>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</si>
  <si>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</si>
  <si>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</si>
  <si>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</si>
  <si>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</si>
  <si>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</si>
  <si>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</si>
  <si>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</si>
  <si>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</si>
  <si>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</si>
  <si>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</si>
  <si>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</si>
  <si>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</si>
  <si>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</si>
  <si>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</si>
  <si>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</si>
  <si>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</si>
  <si>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</si>
  <si>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</si>
  <si>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</si>
  <si>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</si>
  <si>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</si>
  <si>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</si>
  <si>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</si>
  <si>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</si>
  <si>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</si>
  <si>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</si>
  <si>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</si>
  <si>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</si>
  <si>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</si>
  <si>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</si>
  <si>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</si>
  <si>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</si>
  <si>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</si>
  <si>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</si>
  <si>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</si>
  <si>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</si>
  <si>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</si>
  <si>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</si>
  <si>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</si>
  <si>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</si>
  <si>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</si>
  <si>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</si>
  <si>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</si>
  <si>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</si>
  <si>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</si>
  <si>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</si>
  <si>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</si>
  <si>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</si>
  <si>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</si>
  <si>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</si>
  <si>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</si>
  <si>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</si>
  <si>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</si>
  <si>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</si>
  <si>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</si>
  <si>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</si>
  <si>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</si>
  <si>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</si>
  <si>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</si>
  <si>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</si>
  <si>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</si>
  <si>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</si>
  <si>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</si>
  <si>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</si>
  <si>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</si>
  <si>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</si>
  <si>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</si>
  <si>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</si>
  <si>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</si>
  <si>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</si>
  <si>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</si>
  <si>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</si>
  <si>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</si>
  <si>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</si>
  <si>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</si>
  <si>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</si>
  <si>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</si>
  <si>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</si>
  <si>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</si>
  <si>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</si>
  <si>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</si>
  <si>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</si>
  <si>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</si>
  <si>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</si>
  <si>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</si>
  <si>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</si>
  <si>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</si>
  <si>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</si>
  <si>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</si>
  <si>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</si>
  <si>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</si>
  <si>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</si>
  <si>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</si>
  <si>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</si>
  <si>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</si>
  <si>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</si>
  <si>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</si>
  <si>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</si>
  <si>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</si>
  <si>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</si>
  <si>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</si>
  <si>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</si>
  <si>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</si>
  <si>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</si>
  <si>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</si>
  <si>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</si>
  <si>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</si>
  <si>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</si>
  <si>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</si>
  <si>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</si>
  <si>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</si>
  <si>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</si>
  <si>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</si>
  <si>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</si>
  <si>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</si>
  <si>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</si>
  <si>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</si>
  <si>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</si>
  <si>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</si>
  <si>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</si>
  <si>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</si>
  <si>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</si>
  <si>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</si>
  <si>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</si>
  <si>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</si>
  <si>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</si>
  <si>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</si>
  <si>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</si>
  <si>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</si>
  <si>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</si>
  <si>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</si>
  <si>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</si>
  <si>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</si>
  <si>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</si>
  <si>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</si>
  <si>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</si>
  <si>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</si>
  <si>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</si>
  <si>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</si>
  <si>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</si>
  <si>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</si>
  <si>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</si>
  <si>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</si>
  <si>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</si>
  <si>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</si>
  <si>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</si>
  <si>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</si>
  <si>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</si>
  <si>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</si>
  <si>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</si>
  <si>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</si>
  <si>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</si>
  <si>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</si>
  <si>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</si>
  <si>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</si>
  <si>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</si>
  <si>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</si>
  <si>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</si>
  <si>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</si>
  <si>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</si>
  <si>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</si>
  <si>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</si>
  <si>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</si>
  <si>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</si>
  <si>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</si>
  <si>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</si>
  <si>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</si>
  <si>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</si>
  <si>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</si>
  <si>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</si>
  <si>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</si>
  <si>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</si>
  <si>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</si>
  <si>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</si>
  <si>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</si>
  <si>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</si>
  <si>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</si>
  <si>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</si>
  <si>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</si>
  <si>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</si>
  <si>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</si>
  <si>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</si>
  <si>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</si>
  <si>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</si>
  <si>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</si>
  <si>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</si>
  <si>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</si>
  <si>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</si>
  <si>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</si>
  <si>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</si>
  <si>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</si>
  <si>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</si>
  <si>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</si>
  <si>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</si>
  <si>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</si>
  <si>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</si>
  <si>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</si>
  <si>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</si>
  <si>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</si>
  <si>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</si>
  <si>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</si>
  <si>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</si>
  <si>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</si>
  <si>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</si>
  <si>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</si>
  <si>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</si>
  <si>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</si>
  <si>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</si>
  <si>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</si>
  <si>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</si>
  <si>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</si>
  <si>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</si>
  <si>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</si>
  <si>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</si>
  <si>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</si>
  <si>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</si>
  <si>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</si>
  <si>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</si>
  <si>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</si>
  <si>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</si>
  <si>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</si>
  <si>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</si>
  <si>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</si>
  <si>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</si>
  <si>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</si>
  <si>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</si>
  <si>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</si>
  <si>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</si>
  <si>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</si>
  <si>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</si>
  <si>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</si>
  <si>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</si>
  <si>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</si>
  <si>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</si>
  <si>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</si>
  <si>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</si>
  <si>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</si>
  <si>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</si>
  <si>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</si>
  <si>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</si>
  <si>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</si>
  <si>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</si>
  <si>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</si>
  <si>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</si>
  <si>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</si>
  <si>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</si>
  <si>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</si>
  <si>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</si>
  <si>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</si>
  <si>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</si>
  <si>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</si>
  <si>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</si>
  <si>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</si>
  <si>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</si>
  <si>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</si>
  <si>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</si>
  <si>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</si>
  <si>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</si>
  <si>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</si>
  <si>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</si>
  <si>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</si>
  <si>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</si>
  <si>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</si>
  <si>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</si>
  <si>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</si>
  <si>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</si>
  <si>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</si>
  <si>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</si>
  <si>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</si>
  <si>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</si>
  <si>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</si>
  <si>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</si>
  <si>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</si>
  <si>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</si>
  <si>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</si>
  <si>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</si>
  <si>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</si>
  <si>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</si>
  <si>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</si>
  <si>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</si>
  <si>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</si>
  <si>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</si>
  <si>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</si>
  <si>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</si>
  <si>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</si>
  <si>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</si>
  <si>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</si>
  <si>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</si>
  <si>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</si>
  <si>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</si>
  <si>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</si>
  <si>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</si>
  <si>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</si>
  <si>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</si>
  <si>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</si>
  <si>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</si>
  <si>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</si>
  <si>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</si>
  <si>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</si>
  <si>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</si>
  <si>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</si>
  <si>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</si>
  <si>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</si>
  <si>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</si>
  <si>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</si>
  <si>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</si>
  <si>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</si>
  <si>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</si>
  <si>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</si>
  <si>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</si>
  <si>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</si>
  <si>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</si>
  <si>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</si>
  <si>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</si>
  <si>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</si>
  <si>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</si>
  <si>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</si>
  <si>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</si>
  <si>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</si>
  <si>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</si>
  <si>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</si>
  <si>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</si>
  <si>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</si>
  <si>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</si>
  <si>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</si>
  <si>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</si>
  <si>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</si>
  <si>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</si>
  <si>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</si>
  <si>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</si>
  <si>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</si>
  <si>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</si>
  <si>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</si>
  <si>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</si>
  <si>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</si>
  <si>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</si>
  <si>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</si>
  <si>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</si>
  <si>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</si>
  <si>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</si>
  <si>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</si>
  <si>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</si>
  <si>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</si>
  <si>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</si>
  <si>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</si>
  <si>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</si>
  <si>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</si>
  <si>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</si>
  <si>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</si>
  <si>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</si>
  <si>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</si>
  <si>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</si>
  <si>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</si>
  <si>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</si>
  <si>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</si>
  <si>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</si>
  <si>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</si>
  <si>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</si>
  <si>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</si>
  <si>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</si>
  <si>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</si>
  <si>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</si>
  <si>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</si>
  <si>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</si>
  <si>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</si>
  <si>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</si>
  <si>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</si>
  <si>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</si>
  <si>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</si>
  <si>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</si>
  <si>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</si>
  <si>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</si>
  <si>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</si>
  <si>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</si>
  <si>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</si>
  <si>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</si>
  <si>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</si>
  <si>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</si>
  <si>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</si>
  <si>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</si>
  <si>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</si>
  <si>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</si>
  <si>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</si>
  <si>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</si>
  <si>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</si>
  <si>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</si>
  <si>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</si>
  <si>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</si>
  <si>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</si>
  <si>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</si>
  <si>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</si>
  <si>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</si>
  <si>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</si>
  <si>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</si>
  <si>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</si>
  <si>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</si>
  <si>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</si>
  <si>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</si>
  <si>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</si>
  <si>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</si>
  <si>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</si>
  <si>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</si>
  <si>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</si>
  <si>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</si>
  <si>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</si>
  <si>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</si>
  <si>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</si>
  <si>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</si>
  <si>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</si>
  <si>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</si>
  <si>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</si>
  <si>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</si>
  <si>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</si>
  <si>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</si>
  <si>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</si>
  <si>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</si>
  <si>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</si>
  <si>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</si>
  <si>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</si>
  <si>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</si>
  <si>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</si>
  <si>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</si>
  <si>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</si>
  <si>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</si>
  <si>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</si>
  <si>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</si>
  <si>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</si>
  <si>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</si>
  <si>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</si>
  <si>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</si>
  <si>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</si>
  <si>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</si>
  <si>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</si>
  <si>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</si>
  <si>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</si>
  <si>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</si>
  <si>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</si>
  <si>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</si>
  <si>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</si>
  <si>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</si>
  <si>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</si>
  <si>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</si>
  <si>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</si>
  <si>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</si>
  <si>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</si>
  <si>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</si>
  <si>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</si>
  <si>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</si>
  <si>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</si>
  <si>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</si>
  <si>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</si>
  <si>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</si>
  <si>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</si>
  <si>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</si>
  <si>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</si>
  <si>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</si>
  <si>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</si>
  <si>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</si>
  <si>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</si>
  <si>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</si>
  <si>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</si>
  <si>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</si>
  <si>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</si>
  <si>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</si>
  <si>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</si>
  <si>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</si>
  <si>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</si>
  <si>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</si>
  <si>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</si>
  <si>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</si>
  <si>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</si>
  <si>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</si>
  <si>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</si>
  <si>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</si>
  <si>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</si>
  <si>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</si>
  <si>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</si>
  <si>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</si>
  <si>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</si>
  <si>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</si>
  <si>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</si>
  <si>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</si>
  <si>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</si>
  <si>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</si>
  <si>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</si>
  <si>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</si>
  <si>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</si>
  <si>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</si>
  <si>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</si>
  <si>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</si>
  <si>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</si>
  <si>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</si>
  <si>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</si>
  <si>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</si>
  <si>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</si>
  <si>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</si>
  <si>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</si>
  <si>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</si>
  <si>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</si>
  <si>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</si>
  <si>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</si>
  <si>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</si>
  <si>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</si>
  <si>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</si>
  <si>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</si>
  <si>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</si>
  <si>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</si>
  <si>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</si>
  <si>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</si>
  <si>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</si>
  <si>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</si>
  <si>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</si>
  <si>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</si>
  <si>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</si>
  <si>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</si>
  <si>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</si>
  <si>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</si>
  <si>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</si>
  <si>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</si>
  <si>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</si>
  <si>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</si>
  <si>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</si>
  <si>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</si>
  <si>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</si>
  <si>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</si>
  <si>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</si>
  <si>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</si>
  <si>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</si>
  <si>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</si>
  <si>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</si>
  <si>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</si>
  <si>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</si>
  <si>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</si>
  <si>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</si>
  <si>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</si>
  <si>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</si>
  <si>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</si>
  <si>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</si>
  <si>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</si>
  <si>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</si>
  <si>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</si>
  <si>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</si>
  <si>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</si>
  <si>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</si>
  <si>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</si>
  <si>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</si>
  <si>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</si>
  <si>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</si>
  <si>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</si>
  <si>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</si>
  <si>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</si>
  <si>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</si>
  <si>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</si>
  <si>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</si>
  <si>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</si>
  <si>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</si>
  <si>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</si>
  <si>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</si>
  <si>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</si>
  <si>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t>
  </si>
  <si>
    <t>:</t>
  </si>
  <si>
    <t>Manufactured Gases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</si>
</sst>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sz val="11"/>
      <name val="Times New Roman"/>
      <family val="1"/>
      <charset val="204"/>
    </font>
    <font>
      <b/>
      <sz val="16"/>
      <name val="Calibri"/>
      <family val="2"/>
      <scheme val="minor"/>
    </font>
    <font>
      <sz val="8"/>
      <color rgb="FFFF0000"/>
      <name val="Arial"/>
      <family val="2"/>
    </font>
    <font>
      <sz val="9"/>
      <name val="Arial"/>
      <family val="2"/>
    </font>
    <font>
      <sz val="9"/>
      <name val="Arial"/>
      <family val="2"/>
    </font>
  </fonts>
  <fills count="115">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1">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5" fontId="154" fillId="0" borderId="27" xfId="6370" applyNumberFormat="1" applyFont="1" applyBorder="1" applyAlignment="1">
      <alignment horizontal="right"/>
    </xf>
    <xf numFmtId="195" fontId="154" fillId="0" borderId="65" xfId="6370" applyNumberFormat="1" applyFont="1" applyBorder="1" applyAlignment="1">
      <alignment horizontal="right"/>
    </xf>
    <xf numFmtId="0" fontId="154" fillId="0" borderId="66" xfId="6370" applyFont="1" applyBorder="1" applyAlignment="1">
      <alignment horizontal="left"/>
    </xf>
    <xf numFmtId="195" fontId="154" fillId="0" borderId="52" xfId="6370" applyNumberFormat="1" applyFont="1" applyBorder="1" applyAlignment="1">
      <alignment horizontal="right"/>
    </xf>
    <xf numFmtId="195"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5" fontId="151" fillId="0" borderId="52" xfId="6370" applyNumberFormat="1" applyFont="1" applyBorder="1" applyAlignment="1">
      <alignment horizontal="right"/>
    </xf>
    <xf numFmtId="195"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5" xfId="51278" applyNumberFormat="1" applyFont="1" applyBorder="1" applyAlignment="1">
      <alignment horizontal="right"/>
    </xf>
    <xf numFmtId="195" fontId="154" fillId="0" borderId="52" xfId="51278" applyNumberFormat="1" applyFont="1" applyBorder="1" applyAlignment="1">
      <alignment horizontal="right"/>
    </xf>
    <xf numFmtId="195" fontId="154" fillId="0" borderId="67" xfId="51278" applyNumberFormat="1" applyFont="1" applyBorder="1" applyAlignment="1">
      <alignment horizontal="right"/>
    </xf>
    <xf numFmtId="195" fontId="151" fillId="0" borderId="52" xfId="51278" applyNumberFormat="1" applyFont="1" applyBorder="1" applyAlignment="1">
      <alignment horizontal="right"/>
    </xf>
    <xf numFmtId="195" fontId="151" fillId="0" borderId="67" xfId="51278" applyNumberFormat="1" applyFont="1" applyBorder="1" applyAlignment="1">
      <alignment horizontal="right"/>
    </xf>
    <xf numFmtId="0" fontId="154" fillId="0" borderId="66"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3"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95" fontId="157" fillId="0" borderId="27" xfId="51278" applyNumberFormat="1" applyFont="1" applyBorder="1" applyAlignment="1">
      <alignment horizontal="right"/>
    </xf>
    <xf numFmtId="195" fontId="157" fillId="0" borderId="65" xfId="51278" applyNumberFormat="1" applyFont="1" applyBorder="1" applyAlignment="1">
      <alignment horizontal="right"/>
    </xf>
    <xf numFmtId="195" fontId="157" fillId="0" borderId="52" xfId="51278" applyNumberFormat="1" applyFont="1" applyBorder="1" applyAlignment="1">
      <alignment horizontal="right"/>
    </xf>
    <xf numFmtId="195" fontId="157" fillId="0" borderId="67" xfId="51278" applyNumberFormat="1" applyFont="1" applyBorder="1" applyAlignment="1">
      <alignment horizontal="right"/>
    </xf>
    <xf numFmtId="195" fontId="155" fillId="0" borderId="52" xfId="51278" applyNumberFormat="1" applyFont="1" applyBorder="1" applyAlignment="1">
      <alignment horizontal="right"/>
    </xf>
    <xf numFmtId="195" fontId="155" fillId="0" borderId="67" xfId="51278" applyNumberFormat="1" applyFont="1" applyBorder="1" applyAlignment="1">
      <alignment horizontal="right"/>
    </xf>
    <xf numFmtId="173" fontId="154" fillId="0" borderId="0" xfId="51278" applyNumberFormat="1" applyFont="1"/>
    <xf numFmtId="196" fontId="154" fillId="0" borderId="0" xfId="51278" applyNumberFormat="1" applyFont="1"/>
    <xf numFmtId="195" fontId="155" fillId="0" borderId="55" xfId="51278" applyNumberFormat="1" applyFont="1" applyBorder="1" applyAlignment="1">
      <alignment horizontal="right"/>
    </xf>
    <xf numFmtId="195" fontId="157" fillId="0" borderId="55" xfId="51278" applyNumberFormat="1" applyFont="1" applyBorder="1" applyAlignment="1">
      <alignment horizontal="right"/>
    </xf>
    <xf numFmtId="195" fontId="155" fillId="0" borderId="63" xfId="51278" applyNumberFormat="1" applyFont="1" applyBorder="1" applyAlignment="1">
      <alignment horizontal="right"/>
    </xf>
    <xf numFmtId="0" fontId="120" fillId="0" borderId="0" xfId="12909" applyNumberFormat="1" applyFont="1" applyFill="1"/>
    <xf numFmtId="195" fontId="153" fillId="0" borderId="0" xfId="51278" applyNumberFormat="1" applyFont="1"/>
    <xf numFmtId="0" fontId="158"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9"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0" fontId="155" fillId="0" borderId="55" xfId="6370" applyFont="1" applyBorder="1" applyAlignment="1">
      <alignment horizontal="center" vertical="center" wrapText="1"/>
    </xf>
    <xf numFmtId="0" fontId="155" fillId="0" borderId="55" xfId="51279" applyFont="1" applyBorder="1" applyAlignment="1">
      <alignment horizontal="center" vertical="center" wrapText="1"/>
    </xf>
    <xf numFmtId="2" fontId="79" fillId="0" borderId="0" xfId="0" applyNumberFormat="1" applyFont="1"/>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195" fontId="157" fillId="0" borderId="75" xfId="51278" applyNumberFormat="1" applyFont="1" applyBorder="1" applyAlignment="1">
      <alignment horizontal="right"/>
    </xf>
    <xf numFmtId="195" fontId="155" fillId="0" borderId="75" xfId="51278" applyNumberFormat="1" applyFont="1" applyBorder="1" applyAlignment="1">
      <alignment horizontal="right"/>
    </xf>
    <xf numFmtId="200" fontId="160" fillId="114" borderId="0" xfId="0" applyNumberFormat="1" applyFont="1" applyFill="1" applyAlignment="1">
      <alignment horizontal="right" vertical="center" shrinkToFit="1"/>
    </xf>
    <xf numFmtId="196" fontId="160" fillId="0" borderId="0" xfId="0" applyNumberFormat="1" applyFont="1" applyAlignment="1">
      <alignment horizontal="right" vertical="center" shrinkToFit="1"/>
    </xf>
    <xf numFmtId="196" fontId="160" fillId="114" borderId="0" xfId="0" applyNumberFormat="1" applyFont="1" applyFill="1" applyAlignment="1">
      <alignment horizontal="right" vertical="center" shrinkToFit="1"/>
    </xf>
    <xf numFmtId="3" fontId="160" fillId="114" borderId="0" xfId="0" applyNumberFormat="1" applyFont="1" applyFill="1" applyAlignment="1">
      <alignment horizontal="right" vertical="center" shrinkToFit="1"/>
    </xf>
    <xf numFmtId="3" fontId="160" fillId="0" borderId="0" xfId="0" applyNumberFormat="1" applyFont="1" applyAlignment="1">
      <alignment horizontal="right" vertical="center" shrinkToFit="1"/>
    </xf>
    <xf numFmtId="200" fontId="160" fillId="0" borderId="0" xfId="0" applyNumberFormat="1" applyFont="1" applyAlignment="1">
      <alignment horizontal="right" vertical="center" shrinkToFit="1"/>
    </xf>
    <xf numFmtId="195" fontId="154" fillId="0" borderId="75" xfId="51278" applyNumberFormat="1" applyFont="1" applyBorder="1" applyAlignment="1">
      <alignment horizontal="right"/>
    </xf>
    <xf numFmtId="195" fontId="151" fillId="0" borderId="75" xfId="51278" applyNumberFormat="1" applyFont="1" applyBorder="1" applyAlignment="1">
      <alignment horizontal="right"/>
    </xf>
    <xf numFmtId="195" fontId="161" fillId="114"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6" fontId="161" fillId="0" borderId="0" xfId="0" applyNumberFormat="1" applyFont="1" applyAlignment="1">
      <alignment horizontal="right" vertical="center" shrinkToFit="1"/>
    </xf>
    <xf numFmtId="196" fontId="161" fillId="114"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5" fontId="154" fillId="0" borderId="75" xfId="6370" applyNumberFormat="1" applyFont="1" applyBorder="1" applyAlignment="1">
      <alignment horizontal="right"/>
    </xf>
    <xf numFmtId="195" fontId="151" fillId="0" borderId="75" xfId="6370" applyNumberFormat="1" applyFont="1" applyBorder="1" applyAlignment="1">
      <alignment horizontal="right"/>
    </xf>
    <xf numFmtId="182" fontId="160" fillId="114" borderId="0" xfId="0" applyNumberFormat="1" applyFont="1" applyFill="1" applyAlignment="1">
      <alignment horizontal="right" vertical="center" shrinkToFit="1"/>
    </xf>
    <xf numFmtId="182" fontId="160" fillId="0" borderId="0" xfId="0" applyNumberFormat="1" applyFont="1" applyAlignment="1">
      <alignment horizontal="right" vertical="center" shrinkToFit="1"/>
    </xf>
    <xf numFmtId="182" fontId="0" fillId="0" borderId="0" xfId="0" applyNumberFormat="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5" fillId="0" borderId="58"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485</v>
      </c>
      <c r="C17" s="243" t="s">
        <v>279</v>
      </c>
    </row>
    <row r="18" spans="2:3">
      <c r="B18" s="246" t="s">
        <v>342</v>
      </c>
      <c r="C18" s="243" t="s">
        <v>280</v>
      </c>
    </row>
    <row r="19" spans="2:3">
      <c r="B19" s="246" t="s">
        <v>359</v>
      </c>
      <c r="C19" s="243" t="s">
        <v>281</v>
      </c>
    </row>
    <row r="20" spans="2:3">
      <c r="B20" s="246" t="s">
        <v>238</v>
      </c>
      <c r="C20" s="243" t="s">
        <v>282</v>
      </c>
    </row>
    <row r="21" spans="2:3">
      <c r="B21" s="246" t="s">
        <v>543</v>
      </c>
      <c r="C21" s="243" t="s">
        <v>283</v>
      </c>
    </row>
    <row r="22" spans="2:3">
      <c r="B22" s="246" t="s">
        <v>355</v>
      </c>
      <c r="C22" s="243" t="s">
        <v>284</v>
      </c>
    </row>
    <row r="23" spans="2:3">
      <c r="B23" s="246" t="s">
        <v>544</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19">
        <v>2010</v>
      </c>
      <c r="C29" s="620" t="str">
        <f>B29&amp;" Energy statistics of Azerbaijan"</f>
        <v>2010 Energy statistics of Azerbaijan</v>
      </c>
    </row>
    <row r="30" spans="2:3">
      <c r="B30" s="244">
        <v>2015</v>
      </c>
      <c r="C30" s="620" t="str">
        <f>B30&amp;" Energy statistics of Azerbaijan"</f>
        <v>2015 Energy statistics of Azerbaijan</v>
      </c>
    </row>
    <row r="31" spans="2:3">
      <c r="B31" s="244">
        <v>2019</v>
      </c>
      <c r="C31" s="620"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527</v>
      </c>
      <c r="R17" s="106" t="s">
        <v>189</v>
      </c>
      <c r="S17" s="106" t="str">
        <f t="shared" si="2"/>
        <v>Heat Medium Temp. Boiler</v>
      </c>
      <c r="T17" s="108" t="s">
        <v>192</v>
      </c>
      <c r="U17" s="106" t="s">
        <v>579</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579</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583</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575</v>
      </c>
      <c r="E510" s="150" t="str">
        <f>"FT-IND"&amp;RIGHT(Commodities!E119,3)</f>
        <v>FT-INDIND</v>
      </c>
      <c r="F510" s="151" t="s">
        <v>44</v>
      </c>
      <c r="G510" s="151" t="s">
        <v>110</v>
      </c>
    </row>
    <row r="511" spans="2:10" ht="15" thickBot="1">
      <c r="D511" s="150" t="s">
        <v>573</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526</v>
      </c>
      <c r="W6" s="101" t="s">
        <v>344</v>
      </c>
      <c r="X6" s="104" t="s">
        <v>345</v>
      </c>
      <c r="Y6" s="102" t="str">
        <f>"0"&amp;T6&amp;" "&amp;AC6</f>
        <v>01 Iron and steel</v>
      </c>
      <c r="Z6" s="101"/>
      <c r="AA6" s="104"/>
      <c r="AB6" s="102"/>
      <c r="AC6" s="401" t="s">
        <v>474</v>
      </c>
      <c r="AD6" s="401" t="str">
        <f>AC6</f>
        <v>Iron and steel</v>
      </c>
      <c r="AE6" s="401" t="s">
        <v>346</v>
      </c>
      <c r="AF6" s="401"/>
      <c r="AG6" s="287"/>
      <c r="AH6" s="287"/>
      <c r="AI6" s="287"/>
      <c r="AJ6" s="101">
        <v>1</v>
      </c>
      <c r="AK6" s="102" t="s">
        <v>160</v>
      </c>
      <c r="AL6" s="102" t="s">
        <v>527</v>
      </c>
      <c r="AM6" s="102" t="s">
        <v>528</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602"/>
      <c r="AA7" s="603"/>
      <c r="AB7" s="604"/>
      <c r="AC7" s="614" t="s">
        <v>475</v>
      </c>
      <c r="AD7" s="401" t="str">
        <f t="shared" ref="AD7:AD18" si="4">AC7</f>
        <v>Chemical and petrochemical</v>
      </c>
      <c r="AE7" s="400" t="s">
        <v>239</v>
      </c>
      <c r="AF7" s="605"/>
      <c r="AJ7" s="101">
        <v>2</v>
      </c>
      <c r="AK7" s="102" t="s">
        <v>160</v>
      </c>
      <c r="AL7" s="102" t="s">
        <v>532</v>
      </c>
      <c r="AM7" s="102" t="s">
        <v>529</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602"/>
      <c r="AA8" s="603"/>
      <c r="AB8" s="604"/>
      <c r="AC8" s="614" t="s">
        <v>476</v>
      </c>
      <c r="AD8" s="401" t="str">
        <f t="shared" si="4"/>
        <v>Non-ferrous metal</v>
      </c>
      <c r="AE8" s="400" t="s">
        <v>357</v>
      </c>
      <c r="AF8" s="605"/>
      <c r="AJ8" s="101">
        <v>3</v>
      </c>
      <c r="AK8" s="102" t="s">
        <v>160</v>
      </c>
      <c r="AL8" s="102" t="s">
        <v>530</v>
      </c>
      <c r="AM8" s="102" t="s">
        <v>531</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602"/>
      <c r="AA9" s="603"/>
      <c r="AB9" s="604"/>
      <c r="AC9" s="614" t="s">
        <v>477</v>
      </c>
      <c r="AD9" s="401" t="str">
        <f t="shared" si="4"/>
        <v>Non-metallic minerals</v>
      </c>
      <c r="AE9" s="400" t="s">
        <v>299</v>
      </c>
      <c r="AF9" s="605"/>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540</v>
      </c>
      <c r="Y10" s="102" t="str">
        <f t="shared" si="3"/>
        <v>05 Transport equipment</v>
      </c>
      <c r="Z10" s="602"/>
      <c r="AA10" s="603"/>
      <c r="AB10" s="604"/>
      <c r="AC10" s="614" t="s">
        <v>478</v>
      </c>
      <c r="AD10" s="401" t="str">
        <f t="shared" si="4"/>
        <v>Transport equipment</v>
      </c>
      <c r="AE10" s="400" t="s">
        <v>485</v>
      </c>
      <c r="AF10" s="605"/>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602"/>
      <c r="AA11" s="603"/>
      <c r="AB11" s="604"/>
      <c r="AC11" s="402" t="s">
        <v>342</v>
      </c>
      <c r="AD11" s="401" t="str">
        <f t="shared" si="4"/>
        <v>Machinery</v>
      </c>
      <c r="AE11" s="402" t="s">
        <v>342</v>
      </c>
      <c r="AF11" s="605"/>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602"/>
      <c r="AA12" s="603"/>
      <c r="AB12" s="604"/>
      <c r="AC12" s="614" t="s">
        <v>479</v>
      </c>
      <c r="AD12" s="401" t="str">
        <f t="shared" si="4"/>
        <v>Mining and quarrying</v>
      </c>
      <c r="AE12" s="400" t="s">
        <v>359</v>
      </c>
      <c r="AF12" s="605"/>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602"/>
      <c r="AA13" s="603"/>
      <c r="AB13" s="604"/>
      <c r="AC13" s="614" t="s">
        <v>480</v>
      </c>
      <c r="AD13" s="401" t="str">
        <f t="shared" si="4"/>
        <v>Food and tobacco</v>
      </c>
      <c r="AE13" s="400" t="s">
        <v>238</v>
      </c>
      <c r="AF13" s="605"/>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602"/>
      <c r="AA14" s="603"/>
      <c r="AB14" s="604"/>
      <c r="AC14" s="400" t="s">
        <v>481</v>
      </c>
      <c r="AD14" s="401" t="str">
        <f t="shared" si="4"/>
        <v>Paper, pulp and printing</v>
      </c>
      <c r="AE14" s="400" t="s">
        <v>543</v>
      </c>
      <c r="AF14" s="605"/>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602"/>
      <c r="AA15" s="603"/>
      <c r="AB15" s="604"/>
      <c r="AC15" s="614" t="s">
        <v>482</v>
      </c>
      <c r="AD15" s="401" t="str">
        <f t="shared" si="4"/>
        <v>Wood and wood products</v>
      </c>
      <c r="AE15" s="614" t="s">
        <v>355</v>
      </c>
      <c r="AF15" s="605"/>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541</v>
      </c>
      <c r="W16" s="101" t="s">
        <v>585</v>
      </c>
      <c r="X16" s="104" t="s">
        <v>542</v>
      </c>
      <c r="Y16" s="102" t="str">
        <f t="shared" si="3"/>
        <v>011 Textile and leather</v>
      </c>
      <c r="Z16" s="602"/>
      <c r="AA16" s="603"/>
      <c r="AB16" s="604"/>
      <c r="AC16" s="614" t="s">
        <v>483</v>
      </c>
      <c r="AD16" s="401" t="str">
        <f t="shared" si="4"/>
        <v>Textile and leather</v>
      </c>
      <c r="AE16" s="400" t="s">
        <v>544</v>
      </c>
      <c r="AF16" s="605"/>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602"/>
      <c r="AA17" s="603"/>
      <c r="AB17" s="604"/>
      <c r="AC17" s="614" t="s">
        <v>253</v>
      </c>
      <c r="AD17" s="401" t="str">
        <f t="shared" si="4"/>
        <v>Construction</v>
      </c>
      <c r="AE17" s="400" t="s">
        <v>253</v>
      </c>
      <c r="AF17" s="605"/>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602"/>
      <c r="AA18" s="603"/>
      <c r="AB18" s="604"/>
      <c r="AC18" s="614" t="s">
        <v>484</v>
      </c>
      <c r="AD18" s="401" t="str">
        <f t="shared" si="4"/>
        <v>Non-specified</v>
      </c>
      <c r="AE18" s="400" t="s">
        <v>240</v>
      </c>
      <c r="AF18" s="605"/>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606"/>
      <c r="U22" s="607"/>
      <c r="V22" s="607"/>
      <c r="W22" s="607"/>
      <c r="X22" s="607"/>
      <c r="Y22" s="607"/>
      <c r="Z22" s="607"/>
      <c r="AA22" s="607"/>
      <c r="AB22" s="607"/>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607"/>
      <c r="U23" s="538"/>
      <c r="V23" s="429"/>
      <c r="W23" s="610"/>
      <c r="X23" s="538"/>
      <c r="Y23" s="607"/>
      <c r="Z23" s="607"/>
      <c r="AA23" s="607"/>
      <c r="AB23" s="607"/>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608"/>
      <c r="U24" s="538"/>
      <c r="V24" s="429"/>
      <c r="W24" s="610"/>
      <c r="X24" s="538"/>
      <c r="Y24" s="609"/>
      <c r="Z24" s="609"/>
      <c r="AA24" s="609"/>
      <c r="AB24" s="609"/>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610"/>
      <c r="U25" s="538"/>
      <c r="V25" s="429"/>
      <c r="W25" s="610"/>
      <c r="X25" s="538"/>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610"/>
      <c r="U26" s="538"/>
      <c r="V26" s="429"/>
      <c r="W26" s="610"/>
      <c r="X26" s="538"/>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610"/>
      <c r="U27" s="538"/>
      <c r="V27" s="429"/>
      <c r="W27" s="610"/>
      <c r="X27" s="538"/>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610"/>
      <c r="U28" s="538"/>
      <c r="V28" s="429"/>
      <c r="W28" s="610"/>
      <c r="X28" s="538"/>
      <c r="Y28" s="429"/>
      <c r="Z28" s="429"/>
      <c r="AA28" s="429"/>
      <c r="AB28" s="429"/>
      <c r="AC28" s="429"/>
      <c r="AE28" s="615"/>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611"/>
      <c r="U29" s="538"/>
      <c r="V29" s="429"/>
      <c r="W29" s="610"/>
      <c r="X29" s="538"/>
      <c r="Y29" s="429"/>
      <c r="Z29" s="612"/>
      <c r="AA29" s="612"/>
      <c r="AB29" s="612"/>
      <c r="AC29" s="429"/>
      <c r="AE29" s="615"/>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610"/>
      <c r="U30" s="538"/>
      <c r="V30" s="429"/>
      <c r="W30" s="610"/>
      <c r="X30" s="538"/>
      <c r="Y30" s="429"/>
      <c r="Z30" s="429"/>
      <c r="AA30" s="429"/>
      <c r="AB30" s="429"/>
      <c r="AC30" s="429"/>
      <c r="AE30" s="615"/>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610"/>
      <c r="U31" s="538"/>
      <c r="V31" s="429"/>
      <c r="W31" s="610"/>
      <c r="X31" s="538"/>
      <c r="Y31" s="429"/>
      <c r="Z31" s="429"/>
      <c r="AA31" s="429"/>
      <c r="AB31" s="429"/>
      <c r="AC31" s="429"/>
      <c r="AE31" s="616"/>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610"/>
      <c r="U32" s="538"/>
      <c r="V32" s="429"/>
      <c r="W32" s="610"/>
      <c r="X32" s="538"/>
      <c r="Y32" s="429"/>
      <c r="Z32" s="429"/>
      <c r="AA32" s="429"/>
      <c r="AB32" s="429"/>
      <c r="AC32" s="429"/>
      <c r="AE32" s="615"/>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610"/>
      <c r="U33" s="538"/>
      <c r="V33" s="429"/>
      <c r="W33" s="610"/>
      <c r="X33" s="538"/>
      <c r="Y33" s="429"/>
      <c r="Z33" s="429"/>
      <c r="AA33" s="429"/>
      <c r="AB33" s="429"/>
      <c r="AC33" s="429"/>
      <c r="AE33" s="615"/>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610"/>
      <c r="U34" s="538"/>
      <c r="V34" s="429"/>
      <c r="W34" s="610"/>
      <c r="X34" s="538"/>
      <c r="Y34" s="429"/>
      <c r="Z34" s="429"/>
      <c r="AA34" s="429"/>
      <c r="AB34" s="429"/>
      <c r="AC34" s="429"/>
      <c r="AE34" s="615"/>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610"/>
      <c r="U35" s="610"/>
      <c r="V35" s="610"/>
      <c r="W35" s="610"/>
      <c r="X35" s="538"/>
      <c r="Y35" s="429"/>
      <c r="Z35" s="429"/>
      <c r="AA35" s="429"/>
      <c r="AB35" s="429"/>
      <c r="AC35" s="429"/>
      <c r="AE35" s="617"/>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610"/>
      <c r="U36" s="610"/>
      <c r="V36" s="610"/>
      <c r="W36" s="610"/>
      <c r="X36" s="538"/>
      <c r="Y36" s="429"/>
      <c r="Z36" s="429"/>
      <c r="AA36" s="429"/>
      <c r="AB36" s="429"/>
      <c r="AC36" s="429"/>
      <c r="AE36" s="615"/>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15"/>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606"/>
      <c r="U38" s="429"/>
      <c r="V38" s="429"/>
      <c r="W38" s="429"/>
      <c r="X38" s="429"/>
      <c r="Y38" s="429"/>
      <c r="Z38" s="429"/>
      <c r="AA38" s="429"/>
      <c r="AB38" s="429"/>
      <c r="AC38" s="429"/>
      <c r="AE38" s="615"/>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608"/>
      <c r="U41" s="608"/>
      <c r="V41" s="608"/>
      <c r="W41" s="608"/>
      <c r="X41" s="609"/>
      <c r="Y41" s="609"/>
      <c r="Z41" s="609"/>
      <c r="AA41" s="609"/>
      <c r="AB41" s="609"/>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610"/>
      <c r="U42" s="610"/>
      <c r="V42" s="610"/>
      <c r="W42" s="610"/>
      <c r="X42" s="538"/>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610"/>
      <c r="U43" s="610"/>
      <c r="V43" s="610"/>
      <c r="W43" s="610"/>
      <c r="X43" s="538"/>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610"/>
      <c r="U44" s="610"/>
      <c r="V44" s="610"/>
      <c r="W44" s="610"/>
      <c r="X44" s="538"/>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610"/>
      <c r="U45" s="610"/>
      <c r="V45" s="610"/>
      <c r="W45" s="610"/>
      <c r="X45" s="538"/>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611"/>
      <c r="U46" s="611"/>
      <c r="V46" s="611"/>
      <c r="W46" s="611"/>
      <c r="X46" s="613"/>
      <c r="Y46" s="612"/>
      <c r="Z46" s="612"/>
      <c r="AA46" s="612"/>
      <c r="AB46" s="612"/>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610"/>
      <c r="U47" s="610"/>
      <c r="V47" s="610"/>
      <c r="W47" s="610"/>
      <c r="X47" s="538"/>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610"/>
      <c r="U48" s="610"/>
      <c r="V48" s="610"/>
      <c r="W48" s="610"/>
      <c r="X48" s="538"/>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610"/>
      <c r="U49" s="610"/>
      <c r="V49" s="610"/>
      <c r="W49" s="610"/>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610"/>
      <c r="U50" s="611"/>
      <c r="V50" s="610"/>
      <c r="W50" s="611"/>
      <c r="X50" s="538"/>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610"/>
      <c r="U51" s="610"/>
      <c r="V51" s="610"/>
      <c r="W51" s="610"/>
      <c r="X51" s="538"/>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610"/>
      <c r="U52" s="610"/>
      <c r="V52" s="610"/>
      <c r="W52" s="610"/>
      <c r="X52" s="538"/>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610"/>
      <c r="U53" s="610"/>
      <c r="V53" s="610"/>
      <c r="W53" s="610"/>
      <c r="X53" s="538"/>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581</v>
      </c>
      <c r="E107" s="137" t="s">
        <v>582</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571</v>
      </c>
      <c r="E120" s="250" t="s">
        <v>572</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533</v>
      </c>
      <c r="G6" s="51" t="s">
        <v>558</v>
      </c>
      <c r="I6" s="214" t="s">
        <v>241</v>
      </c>
      <c r="J6" s="215" t="s">
        <v>419</v>
      </c>
      <c r="K6" s="215" t="s">
        <v>508</v>
      </c>
      <c r="L6" s="215" t="s">
        <v>516</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260.55582315428575</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96.658545805714283</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60.859628307692319</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152.87967577222781</v>
      </c>
      <c r="F28" s="253">
        <f t="shared" ca="1" si="0"/>
        <v>0</v>
      </c>
      <c r="G28" s="253">
        <f t="shared" ca="1" si="1"/>
        <v>8.0463269130869168</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35.65203083316684</v>
      </c>
      <c r="F35" s="253">
        <f t="shared" ca="1" si="0"/>
        <v>1.9806876323676326</v>
      </c>
      <c r="G35" s="253">
        <f t="shared" ca="1" si="1"/>
        <v>1.9806876323676326</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60.699569718281737</v>
      </c>
      <c r="F42" s="253">
        <f t="shared" ca="1" si="41"/>
        <v>3.3722254465534465</v>
      </c>
      <c r="G42" s="253">
        <f t="shared" ca="1" si="42"/>
        <v>3.3722254465534465</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7.4494269890109894</v>
      </c>
      <c r="F49" s="253">
        <f t="shared" ca="1" si="41"/>
        <v>0.41389030969030977</v>
      </c>
      <c r="G49" s="253">
        <f t="shared" ca="1" si="42"/>
        <v>0.41389030969030977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98.216776951048956</v>
      </c>
      <c r="F56" s="253">
        <f t="shared" ca="1" si="41"/>
        <v>0</v>
      </c>
      <c r="G56" s="253">
        <f t="shared" ca="1" si="42"/>
        <v>5.1693363836163844</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97.379828523476547</v>
      </c>
      <c r="F63" s="253">
        <f t="shared" ca="1" si="41"/>
        <v>5.4100149770229775</v>
      </c>
      <c r="G63" s="253">
        <f t="shared" ca="1" si="42"/>
        <v>5.4100149770229775</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6.3947037362637369</v>
      </c>
      <c r="F70" s="253">
        <f t="shared" ca="1" si="41"/>
        <v>0.35529194805194808</v>
      </c>
      <c r="G70" s="253">
        <f t="shared" ca="1" si="42"/>
        <v>0.35529194805194808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11.81582404795205</v>
      </c>
      <c r="F77" s="253">
        <f t="shared" ca="1" si="81"/>
        <v>0.65647492507492489</v>
      </c>
      <c r="G77" s="253">
        <f t="shared" ca="1" si="82"/>
        <v>0.65647492507492489</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30.490428803196806</v>
      </c>
      <c r="F91" s="253">
        <f t="shared" ca="1" si="81"/>
        <v>1.6939652187812189</v>
      </c>
      <c r="G91" s="253">
        <f t="shared" ca="1" si="82"/>
        <v>1.6939652187812189</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559</v>
      </c>
      <c r="F107" s="51" t="s">
        <v>567</v>
      </c>
      <c r="G107" s="51" t="s">
        <v>568</v>
      </c>
      <c r="I107" s="214" t="s">
        <v>241</v>
      </c>
      <c r="J107" s="215" t="s">
        <v>419</v>
      </c>
      <c r="K107" s="215" t="s">
        <v>508</v>
      </c>
      <c r="L107" s="215" t="s">
        <v>508</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136.91113977029704</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32"/>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32"/>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32"/>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268.62247710891091</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32"/>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115.60243630099011</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32"/>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32"/>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67.470819255445562</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32"/>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32"/>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32"/>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151.22373775841584</v>
      </c>
      <c r="F129" s="253">
        <f t="shared" ca="1" si="123"/>
        <v>0</v>
      </c>
      <c r="G129" s="253">
        <f t="shared" ca="1" si="124"/>
        <v>7.959171207920793</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32"/>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32"/>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32"/>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34.126760459405936</v>
      </c>
      <c r="F136" s="253">
        <f t="shared" ca="1" si="123"/>
        <v>1.895953687128713</v>
      </c>
      <c r="G136" s="253">
        <f t="shared" ca="1" si="124"/>
        <v>1.895953687128713</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32"/>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32"/>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32"/>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57.120563548514859</v>
      </c>
      <c r="F143" s="253">
        <f t="shared" ca="1" si="190"/>
        <v>3.1733802534653468</v>
      </c>
      <c r="G143" s="253">
        <f t="shared" ca="1" si="191"/>
        <v>3.1733802534653468</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32"/>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32"/>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32"/>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6.0470280000000001</v>
      </c>
      <c r="F150" s="253">
        <f t="shared" ca="1" si="190"/>
        <v>0.33598329504950497</v>
      </c>
      <c r="G150" s="253">
        <f t="shared" ca="1" si="191"/>
        <v>0.33598329504950497</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32"/>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32"/>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32"/>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101.48559569108912</v>
      </c>
      <c r="F157" s="253">
        <f t="shared" ca="1" si="190"/>
        <v>0</v>
      </c>
      <c r="G157" s="253">
        <f t="shared" ca="1" si="191"/>
        <v>5.3413709702970289</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32"/>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32"/>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32"/>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89.937643295049497</v>
      </c>
      <c r="F164" s="253">
        <f t="shared" ca="1" si="190"/>
        <v>4.996566962376237</v>
      </c>
      <c r="G164" s="253">
        <f t="shared" ca="1" si="191"/>
        <v>4.996566962376237</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32"/>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32"/>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32"/>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4.5688170297029709</v>
      </c>
      <c r="F171" s="253">
        <f t="shared" ca="1" si="190"/>
        <v>0.25384918811881185</v>
      </c>
      <c r="G171" s="253">
        <f t="shared" ca="1" si="191"/>
        <v>0.25384918811881185</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32"/>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32"/>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32"/>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10.340997861386137</v>
      </c>
      <c r="F178" s="253">
        <f t="shared" ca="1" si="259"/>
        <v>0.5745328396039604</v>
      </c>
      <c r="G178" s="253">
        <f t="shared" ca="1" si="260"/>
        <v>0.5745328396039604</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32"/>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32"/>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32"/>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32"/>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32"/>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32"/>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29.839597378217821</v>
      </c>
      <c r="F192" s="255">
        <f t="shared" ca="1" si="259"/>
        <v>1.6577788277227725</v>
      </c>
      <c r="G192" s="255">
        <f t="shared" ca="1" si="260"/>
        <v>1.6577788277227725</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32"/>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32"/>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32"/>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560</v>
      </c>
      <c r="F208" s="51" t="s">
        <v>569</v>
      </c>
      <c r="G208" s="51" t="s">
        <v>570</v>
      </c>
      <c r="I208" s="214" t="s">
        <v>241</v>
      </c>
      <c r="J208" s="215" t="s">
        <v>419</v>
      </c>
      <c r="K208" s="215" t="s">
        <v>508</v>
      </c>
      <c r="L208" s="215" t="s">
        <v>508</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124.03460067326733</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8.0051638099009903</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3.8541831683168319</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19.302639184158416</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42.992216982178228</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1.497179405940594E-2</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218.35303150099008</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19.043544403960396</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123.74621800396039</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13.282416784158418</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153.69653484356439</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67.11260464158417</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1.8688826851485147</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3.5720140277227728</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17.585285417821783</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8.616197227722773E-2</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147.78330066534653</v>
      </c>
      <c r="F230" s="253">
        <f t="shared" ca="1" si="319"/>
        <v>0</v>
      </c>
      <c r="G230" s="253">
        <f t="shared" ca="1" si="320"/>
        <v>7.778088998019804</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0.99024601188118799</v>
      </c>
      <c r="F232" s="171">
        <f t="shared" ca="1" si="319"/>
        <v>0</v>
      </c>
      <c r="G232" s="171">
        <f t="shared" ca="1" si="320"/>
        <v>7.2126891089108911E-3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4.2722693465346531</v>
      </c>
      <c r="F233" s="171">
        <f t="shared" ca="1" si="319"/>
        <v>0</v>
      </c>
      <c r="G233" s="171">
        <f t="shared" ca="1" si="320"/>
        <v>0.22485792475247524</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38.450377283168322</v>
      </c>
      <c r="F234" s="171">
        <f t="shared" ca="1" si="319"/>
        <v>0</v>
      </c>
      <c r="G234" s="171">
        <f t="shared" ca="1" si="320"/>
        <v>2.0237057108910892</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0.24552805544554457</v>
      </c>
      <c r="F236" s="171">
        <f t="shared" ca="1" si="319"/>
        <v>0</v>
      </c>
      <c r="G236" s="171">
        <f t="shared" ca="1" si="320"/>
        <v>1.2926637623762376E-2</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39.714814764356433</v>
      </c>
      <c r="F237" s="253">
        <f t="shared" ca="1" si="319"/>
        <v>2.2063959445544556</v>
      </c>
      <c r="G237" s="253">
        <f t="shared" ca="1" si="320"/>
        <v>2.2063959445544556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5.0188919524752471</v>
      </c>
      <c r="F238" s="171">
        <f t="shared" ca="1" si="319"/>
        <v>0.27882819801980202</v>
      </c>
      <c r="G238" s="171">
        <f t="shared" ca="1" si="320"/>
        <v>0.27882819801980202</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4.0218859960396038</v>
      </c>
      <c r="F239" s="171">
        <f t="shared" ca="1" si="319"/>
        <v>0.21207179405940593</v>
      </c>
      <c r="G239" s="171">
        <f t="shared" ca="1" si="320"/>
        <v>0.21207179405940593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5.5008775603960389</v>
      </c>
      <c r="F240" s="171">
        <f t="shared" ca="1" si="319"/>
        <v>0.30561818613861391</v>
      </c>
      <c r="G240" s="171">
        <f t="shared" ca="1" si="320"/>
        <v>0.30561818613861391</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26.954287556435641</v>
      </c>
      <c r="F241" s="171">
        <f t="shared" ref="F241:F272" ca="1" si="381">+SUM(INDIRECT("'" &amp; $I241 &amp; "'!" &amp; K241 &amp; $M241 &amp; IF(ISBLANK($N241),"",":" &amp; K241 &amp; $N241)))</f>
        <v>1.4974604198019803</v>
      </c>
      <c r="G241" s="171">
        <f t="shared" ref="G241:G272" ca="1" si="382">+SUM(INDIRECT("'" &amp; $I241 &amp; "'!" &amp; L241 &amp; $M241 &amp; IF(ISBLANK($N241),"",":" &amp; L241 &amp; $N241)))</f>
        <v>1.4974604198019803</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0.14537783762376238</v>
      </c>
      <c r="F243" s="171">
        <f t="shared" ca="1" si="381"/>
        <v>8.0869544554455445E-3</v>
      </c>
      <c r="G243" s="171">
        <f t="shared" ca="1" si="382"/>
        <v>8.0869544554455445E-3</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59.315250582178237</v>
      </c>
      <c r="F244" s="253">
        <f t="shared" ca="1" si="381"/>
        <v>3.2953246574257431</v>
      </c>
      <c r="G244" s="253">
        <f t="shared" ca="1" si="382"/>
        <v>3.2953246574257431</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20.468581306930695</v>
      </c>
      <c r="F246" s="171">
        <f t="shared" ca="1" si="381"/>
        <v>0.59432870495049506</v>
      </c>
      <c r="G246" s="171">
        <f t="shared" ca="1" si="382"/>
        <v>0.59432870495049506</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16.005441100990101</v>
      </c>
      <c r="F247" s="171">
        <f t="shared" ca="1" si="381"/>
        <v>0.88920591683168326</v>
      </c>
      <c r="G247" s="171">
        <f t="shared" ca="1" si="382"/>
        <v>0.88920591683168326</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86.429372578217837</v>
      </c>
      <c r="F248" s="171">
        <f t="shared" ca="1" si="381"/>
        <v>4.8016370138613862</v>
      </c>
      <c r="G248" s="171">
        <f t="shared" ca="1" si="382"/>
        <v>4.8016370138613862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0.64217912079207928</v>
      </c>
      <c r="F250" s="171">
        <f t="shared" ca="1" si="381"/>
        <v>3.5688760396039604E-2</v>
      </c>
      <c r="G250" s="171">
        <f t="shared" ca="1" si="382"/>
        <v>3.5688760396039604E-2</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5.716415192079209</v>
      </c>
      <c r="F251" s="253">
        <f t="shared" ca="1" si="381"/>
        <v>0.31762372277227724</v>
      </c>
      <c r="G251" s="253">
        <f t="shared" ca="1" si="382"/>
        <v>0.31762372277227724</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0.20481226930693069</v>
      </c>
      <c r="F253" s="171">
        <f t="shared" ca="1" si="381"/>
        <v>1.0459960396039605E-3</v>
      </c>
      <c r="G253" s="171">
        <f t="shared" ca="1" si="382"/>
        <v>1.0459960396039605E-3</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0.57963792475247533</v>
      </c>
      <c r="F254" s="171">
        <f t="shared" ca="1" si="381"/>
        <v>3.2207310891089101E-2</v>
      </c>
      <c r="G254" s="171">
        <f t="shared" ca="1" si="382"/>
        <v>3.2207310891089101E-2</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5.2167257108910885</v>
      </c>
      <c r="F255" s="171">
        <f t="shared" ca="1" si="381"/>
        <v>0.28981896237623767</v>
      </c>
      <c r="G255" s="171">
        <f t="shared" ca="1" si="382"/>
        <v>0.28981896237623767</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105.79990783366337</v>
      </c>
      <c r="F258" s="253">
        <f t="shared" ca="1" si="381"/>
        <v>0</v>
      </c>
      <c r="G258" s="253">
        <f t="shared" ca="1" si="382"/>
        <v>5.5684457821782178</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11.655721211881188</v>
      </c>
      <c r="F259" s="255">
        <f t="shared" ca="1" si="381"/>
        <v>0</v>
      </c>
      <c r="G259" s="255">
        <f t="shared" ca="1" si="382"/>
        <v>0.61346887128712868</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23.792350811881185</v>
      </c>
      <c r="F260" s="171">
        <f t="shared" ca="1" si="381"/>
        <v>0</v>
      </c>
      <c r="G260" s="171">
        <f t="shared" ca="1" si="382"/>
        <v>0.64815847128712867</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5.1100341148514845</v>
      </c>
      <c r="F261" s="171">
        <f t="shared" ca="1" si="381"/>
        <v>0</v>
      </c>
      <c r="G261" s="171">
        <f t="shared" ca="1" si="382"/>
        <v>0.26896148910891093</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44.712739960396036</v>
      </c>
      <c r="F262" s="171">
        <f t="shared" ca="1" si="381"/>
        <v>0</v>
      </c>
      <c r="G262" s="171">
        <f t="shared" ca="1" si="382"/>
        <v>2.3533037465346536</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0.12277183366336634</v>
      </c>
      <c r="F264" s="171">
        <f t="shared" ca="1" si="381"/>
        <v>0</v>
      </c>
      <c r="G264" s="171">
        <f t="shared" ca="1" si="382"/>
        <v>6.4633188118811882E-3</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78.61459565940595</v>
      </c>
      <c r="F265" s="253">
        <f t="shared" ca="1" si="381"/>
        <v>4.3675018217821773</v>
      </c>
      <c r="G265" s="253">
        <f t="shared" ca="1" si="382"/>
        <v>4.3675018217821773</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25.934238463366338</v>
      </c>
      <c r="F267" s="171">
        <f t="shared" ca="1" si="381"/>
        <v>1.1412285148514851E-2</v>
      </c>
      <c r="G267" s="171">
        <f t="shared" ca="1" si="382"/>
        <v>1.1412285148514851E-2</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6.4113156356435637</v>
      </c>
      <c r="F268" s="171">
        <f t="shared" ca="1" si="381"/>
        <v>0.35618506930693072</v>
      </c>
      <c r="G268" s="171">
        <f t="shared" ca="1" si="382"/>
        <v>0.35618506930693072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57.701809497029707</v>
      </c>
      <c r="F269" s="171">
        <f t="shared" ca="1" si="381"/>
        <v>3.2056656237623766</v>
      </c>
      <c r="G269" s="171">
        <f t="shared" ca="1" si="382"/>
        <v>3.2056656237623766</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5.8154257425742581E-2</v>
      </c>
      <c r="F271" s="171">
        <f t="shared" ca="1" si="381"/>
        <v>3.2316594059405941E-3</v>
      </c>
      <c r="G271" s="171">
        <f t="shared" ca="1" si="382"/>
        <v>3.2316594059405941E-3</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4.0625549465346547</v>
      </c>
      <c r="F272" s="253">
        <f t="shared" ca="1" si="381"/>
        <v>0.22571657821782179</v>
      </c>
      <c r="G272" s="253">
        <f t="shared" ca="1" si="382"/>
        <v>0.22571657821782179</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2.1852886811881191</v>
      </c>
      <c r="F274" s="171">
        <f t="shared" ca="1" si="450"/>
        <v>2.6384079207920795E-3</v>
      </c>
      <c r="G274" s="171">
        <f t="shared" ca="1" si="451"/>
        <v>2.6384079207920795E-3</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1.4790696237623764</v>
      </c>
      <c r="F275" s="171">
        <f t="shared" ca="1" si="450"/>
        <v>8.218094257425744E-2</v>
      </c>
      <c r="G275" s="171">
        <f t="shared" ca="1" si="451"/>
        <v>8.218094257425744E-2</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13.311548554455447</v>
      </c>
      <c r="F276" s="171">
        <f t="shared" ca="1" si="450"/>
        <v>0.73953481188118808</v>
      </c>
      <c r="G276" s="171">
        <f t="shared" ca="1" si="451"/>
        <v>0.73953481188118808</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2.9084934653465348E-2</v>
      </c>
      <c r="F278" s="171">
        <f t="shared" ca="1" si="450"/>
        <v>1.6236356435643563E-3</v>
      </c>
      <c r="G278" s="171">
        <f t="shared" ca="1" si="451"/>
        <v>1.6236356435643563E-3</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9.1542294891089107</v>
      </c>
      <c r="F279" s="253">
        <f t="shared" ca="1" si="450"/>
        <v>0.50858825346534653</v>
      </c>
      <c r="G279" s="253">
        <f t="shared" ca="1" si="451"/>
        <v>0.50858825346534653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0.57526659801980196</v>
      </c>
      <c r="F280" s="255">
        <f t="shared" ca="1" si="450"/>
        <v>3.1973132673267332E-2</v>
      </c>
      <c r="G280" s="255">
        <f t="shared" ca="1" si="451"/>
        <v>3.1973132673267332E-2</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0.76184419009900983</v>
      </c>
      <c r="F281" s="171">
        <f t="shared" ca="1" si="450"/>
        <v>1.3316934653465347E-2</v>
      </c>
      <c r="G281" s="171">
        <f t="shared" ca="1" si="451"/>
        <v>1.3316934653465347E-2</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1.0718649267326734</v>
      </c>
      <c r="F282" s="171">
        <f t="shared" ca="1" si="450"/>
        <v>5.9559326732673265E-2</v>
      </c>
      <c r="G282" s="171">
        <f t="shared" ca="1" si="451"/>
        <v>5.9559326732673265E-2</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3.0894820039603959</v>
      </c>
      <c r="F283" s="171">
        <f t="shared" ca="1" si="450"/>
        <v>0.17165263366336633</v>
      </c>
      <c r="G283" s="171">
        <f t="shared" ca="1" si="451"/>
        <v>0.17165263366336633</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2.9084934653465348E-2</v>
      </c>
      <c r="F285" s="171">
        <f t="shared" ca="1" si="450"/>
        <v>1.6236356435643563E-3</v>
      </c>
      <c r="G285" s="171">
        <f t="shared" ca="1" si="451"/>
        <v>1.6236356435643563E-3</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0.59320464950495055</v>
      </c>
      <c r="F288" s="171">
        <f t="shared" ca="1" si="450"/>
        <v>3.2956681188118807E-2</v>
      </c>
      <c r="G288" s="171">
        <f t="shared" ca="1" si="451"/>
        <v>3.2956681188118807E-2</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2.6537544000000004</v>
      </c>
      <c r="F289" s="171">
        <f t="shared" ca="1" si="450"/>
        <v>0.14743860594059405</v>
      </c>
      <c r="G289" s="171">
        <f t="shared" ca="1" si="451"/>
        <v>0.14743860594059405</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12.332152800000001</v>
      </c>
      <c r="F290" s="171">
        <f t="shared" ca="1" si="450"/>
        <v>0.68512740594059396</v>
      </c>
      <c r="G290" s="171">
        <f t="shared" ca="1" si="451"/>
        <v>0.68512740594059396</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32.663443223762371</v>
      </c>
      <c r="F293" s="255">
        <f t="shared" ca="1" si="450"/>
        <v>1.8146782336633664</v>
      </c>
      <c r="G293" s="255">
        <f t="shared" ca="1" si="451"/>
        <v>1.8146782336633664</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5.0064805069306928</v>
      </c>
      <c r="F294" s="171">
        <f t="shared" ca="1" si="450"/>
        <v>0.2781412752475248</v>
      </c>
      <c r="G294" s="171">
        <f t="shared" ca="1" si="451"/>
        <v>0.2781412752475248</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7.8854831287128722</v>
      </c>
      <c r="F295" s="171">
        <f t="shared" ca="1" si="450"/>
        <v>8.6895730693069329E-2</v>
      </c>
      <c r="G295" s="171">
        <f t="shared" ca="1" si="451"/>
        <v>8.6895730693069329E-2</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8.7796224000000009</v>
      </c>
      <c r="F296" s="171">
        <f t="shared" ca="1" si="450"/>
        <v>0.4877620039603961</v>
      </c>
      <c r="G296" s="171">
        <f t="shared" ca="1" si="451"/>
        <v>0.4877620039603961</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33.472310399999998</v>
      </c>
      <c r="F297" s="171">
        <f t="shared" ca="1" si="450"/>
        <v>1.8595780039603962</v>
      </c>
      <c r="G297" s="171">
        <f t="shared" ca="1" si="451"/>
        <v>1.8595780039603962</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0.29191095445544557</v>
      </c>
      <c r="F299" s="171">
        <f t="shared" ca="1" si="450"/>
        <v>1.6220744554455446E-2</v>
      </c>
      <c r="G299" s="171">
        <f t="shared" ca="1" si="451"/>
        <v>1.6220744554455446E-2</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38"/>
      <c r="E18" s="287"/>
      <c r="I18" s="288"/>
      <c r="L18" s="288"/>
      <c r="M18" s="36"/>
      <c r="N18" s="36"/>
      <c r="O18" s="288"/>
      <c r="P18" s="36"/>
      <c r="R18" s="285"/>
      <c r="S18" s="25"/>
      <c r="U18" s="285"/>
      <c r="Z18" s="34"/>
      <c r="AA18" s="34"/>
      <c r="AB18" s="33"/>
      <c r="AE18" s="285"/>
      <c r="AF18" s="285"/>
      <c r="AG18" s="285"/>
      <c r="BK18" s="562"/>
      <c r="BL18" s="291"/>
      <c r="BM18" s="293"/>
      <c r="BN18" s="293"/>
      <c r="BO18" s="293"/>
      <c r="BP18" s="293"/>
      <c r="BQ18" s="291"/>
      <c r="BR18" s="291"/>
      <c r="BS18" s="291"/>
      <c r="BT18" s="291"/>
      <c r="BU18" s="291"/>
      <c r="BV18" s="291"/>
    </row>
    <row r="19" spans="3:78" ht="12.75" customHeight="1">
      <c r="C19" s="287"/>
      <c r="D19" s="287"/>
      <c r="E19" s="287"/>
      <c r="G19" s="526" t="s">
        <v>62</v>
      </c>
      <c r="H19" s="526"/>
      <c r="I19" s="533"/>
      <c r="J19" s="526"/>
      <c r="K19" s="526"/>
      <c r="L19" s="533"/>
      <c r="M19" s="526"/>
      <c r="N19" s="526"/>
      <c r="O19" s="526"/>
      <c r="P19" s="36"/>
      <c r="R19" s="285"/>
      <c r="S19" s="398"/>
      <c r="U19" s="285"/>
      <c r="Z19" s="25"/>
      <c r="AA19" s="25"/>
      <c r="AB19" s="230"/>
      <c r="AE19" s="285"/>
      <c r="AF19" s="285"/>
      <c r="AG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row>
    <row r="20" spans="3:78" ht="12.75" customHeight="1">
      <c r="E20" s="25"/>
      <c r="G20" s="527">
        <v>2010</v>
      </c>
      <c r="H20" s="527"/>
      <c r="I20" s="534"/>
      <c r="J20" s="527">
        <v>2015</v>
      </c>
      <c r="K20" s="527"/>
      <c r="L20" s="534"/>
      <c r="M20" s="527">
        <v>2019</v>
      </c>
      <c r="N20" s="527"/>
      <c r="O20" s="527"/>
      <c r="P20" s="67"/>
      <c r="Q20" s="68"/>
      <c r="R20" s="297"/>
      <c r="S20" s="67"/>
      <c r="T20" s="66"/>
      <c r="U20" s="295"/>
      <c r="X20" s="69"/>
      <c r="Y20" s="298"/>
      <c r="Z20" s="69"/>
      <c r="AA20" s="69"/>
      <c r="AB20" s="233"/>
      <c r="AC20" s="34"/>
      <c r="AD20" s="34"/>
      <c r="AE20" s="287"/>
      <c r="AF20" s="287"/>
      <c r="AG20" s="287"/>
      <c r="AI20" s="285"/>
      <c r="AJ20" s="285"/>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39" cm="1">
        <f t="array" ref="AO23">INDEX(RegSplit!$B$4:$AN$6,MATCH(AO22,RegSplit!$A$4:$A$6,0),MATCH($D$6&amp;AK19,RegSplit!$B$2:$AN$2&amp;RegSplit!$B$3:$AN$3,0))</f>
        <v>0</v>
      </c>
      <c r="AP23" s="539"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39" cm="1">
        <f t="array" ref="BB23">INDEX(RegSplit!$B$4:$AN$6,MATCH(BB22,RegSplit!$A$4:$A$6,0),MATCH($D$6&amp;AX19,RegSplit!$B$2:$AN$2&amp;RegSplit!$B$3:$AN$3,0))</f>
        <v>0</v>
      </c>
      <c r="BC23" s="539"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39" cm="1">
        <f t="array" ref="BO23">INDEX(RegSplit!$B$4:$AN$6,MATCH(BO22,RegSplit!$A$4:$A$6,0),MATCH($D$6&amp;BK19,RegSplit!$B$2:$AN$2&amp;RegSplit!$B$3:$AN$3,0))</f>
        <v>0</v>
      </c>
      <c r="BP23" s="539"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517</v>
      </c>
      <c r="I24" s="316" t="s">
        <v>518</v>
      </c>
      <c r="J24" s="76" t="s">
        <v>421</v>
      </c>
      <c r="K24" s="132" t="s">
        <v>519</v>
      </c>
      <c r="L24" s="316" t="s">
        <v>520</v>
      </c>
      <c r="M24" s="76" t="s">
        <v>561</v>
      </c>
      <c r="N24" s="132" t="s">
        <v>562</v>
      </c>
      <c r="O24" s="316" t="s">
        <v>563</v>
      </c>
      <c r="P24" s="304" t="s">
        <v>564</v>
      </c>
      <c r="Q24" s="316" t="s">
        <v>565</v>
      </c>
      <c r="R24" s="316" t="s">
        <v>566</v>
      </c>
      <c r="S24" s="282" t="s">
        <v>422</v>
      </c>
      <c r="T24" s="283" t="s">
        <v>521</v>
      </c>
      <c r="U24" s="316" t="s">
        <v>522</v>
      </c>
      <c r="V24" s="282" t="s">
        <v>325</v>
      </c>
      <c r="W24" s="565" t="s">
        <v>423</v>
      </c>
      <c r="X24" s="566" t="s">
        <v>523</v>
      </c>
      <c r="Y24" s="567" t="s">
        <v>524</v>
      </c>
      <c r="Z24" s="51" t="s">
        <v>0</v>
      </c>
      <c r="AA24" s="51" t="s">
        <v>324</v>
      </c>
      <c r="AB24" s="568" t="s">
        <v>58</v>
      </c>
      <c r="AC24" s="569" t="s">
        <v>106</v>
      </c>
      <c r="AD24" s="569" t="s">
        <v>294</v>
      </c>
      <c r="AE24" s="570" t="s">
        <v>111</v>
      </c>
      <c r="AG24" s="285"/>
      <c r="AH24" s="285"/>
      <c r="AI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5404.9880000000003</v>
      </c>
      <c r="N26" s="322">
        <f>ROUNDUP(BO26/($Z26*$AA26)*N$21*X26,3)</f>
        <v>0</v>
      </c>
      <c r="O26" s="322">
        <f>ROUNDUP(BP26/($Z26*$AA26)*O$21*Y26,3)</f>
        <v>0</v>
      </c>
      <c r="P26" s="322">
        <f>M26</f>
        <v>5404.9880000000003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71">
        <f t="shared" ref="X26:Y28" si="4">W26</f>
        <v>0.98</v>
      </c>
      <c r="Y26" s="571">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86.104112733885643</v>
      </c>
      <c r="AK26" s="544"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44"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44" t="str">
        <f ca="1">AK26</f>
        <v>ISDPH</v>
      </c>
      <c r="BL26" s="350" t="s">
        <v>97</v>
      </c>
      <c r="BM26" s="313">
        <f>I117/1000</f>
        <v>86.104112000000001</v>
      </c>
      <c r="BN26" s="310">
        <f>BM26*$AN$23</f>
        <v>86.104112000000001</v>
      </c>
      <c r="BO26" s="311">
        <f>BM26*$BB$23</f>
        <v>0</v>
      </c>
      <c r="BP26" s="311">
        <f>BM26*$BC$23</f>
        <v>0</v>
      </c>
      <c r="BQ26" s="313">
        <f>IFERROR(M26*$Z26*$AA26/M$21,0)</f>
        <v>84.382030479207927</v>
      </c>
      <c r="BR26" s="310">
        <f>IFERROR(N26*$Z26*$AA26/N$21,0)</f>
        <v>0</v>
      </c>
      <c r="BS26" s="357">
        <f>IFERROR(O26*$Z26*$AA26/O$21,0)</f>
        <v>0</v>
      </c>
      <c r="BT26" s="313">
        <f>IFERROR(BQ26/W26,0)</f>
        <v>86.104112733885643</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36">
        <f t="shared" si="4"/>
        <v>0.93099999999999994</v>
      </c>
      <c r="Y27" s="536">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54">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36">
        <f t="shared" si="4"/>
        <v>0.94079999999999997</v>
      </c>
      <c r="Y28" s="536">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54">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0</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36">
        <f>$W$29</f>
        <v>0.83299999999999996</v>
      </c>
      <c r="Y29" s="536">
        <f>$W$29</f>
        <v>0.83299999999999996</v>
      </c>
      <c r="Z29" s="169">
        <f>3.6*8760/1000000</f>
        <v>3.1536000000000002E-2</v>
      </c>
      <c r="AA29" s="390">
        <f>$AA$26</f>
        <v>0.5</v>
      </c>
      <c r="AB29" s="278">
        <v>20</v>
      </c>
      <c r="AC29" s="269">
        <v>0.5</v>
      </c>
      <c r="AD29" s="319">
        <v>0.5</v>
      </c>
      <c r="AE29" s="273">
        <v>5</v>
      </c>
      <c r="AF29" s="285"/>
      <c r="AG29" s="236">
        <f t="shared" si="5"/>
        <v>0</v>
      </c>
      <c r="AH29" s="236">
        <f t="shared" si="6"/>
        <v>0</v>
      </c>
      <c r="AI29" s="236">
        <f t="shared" si="7"/>
        <v>0</v>
      </c>
      <c r="AK29" s="290"/>
      <c r="AL29" s="573" t="s">
        <v>99</v>
      </c>
      <c r="AM29" s="574">
        <f>K77/1000</f>
        <v>0</v>
      </c>
      <c r="AN29" s="575">
        <f>AM29*$AN$23</f>
        <v>0</v>
      </c>
      <c r="AO29" s="576">
        <f t="shared" si="26"/>
        <v>0</v>
      </c>
      <c r="AP29" s="576">
        <f>AM29*$AP$23</f>
        <v>0</v>
      </c>
      <c r="AQ29" s="596">
        <f t="shared" si="27"/>
        <v>0</v>
      </c>
      <c r="AR29" s="576">
        <f t="shared" si="28"/>
        <v>0</v>
      </c>
      <c r="AS29" s="577">
        <f t="shared" si="29"/>
        <v>0</v>
      </c>
      <c r="AT29" s="574">
        <f t="shared" si="8"/>
        <v>0</v>
      </c>
      <c r="AU29" s="575">
        <f t="shared" si="8"/>
        <v>0</v>
      </c>
      <c r="AV29" s="580">
        <f t="shared" si="8"/>
        <v>0</v>
      </c>
      <c r="AW29" s="285"/>
      <c r="AX29" s="290"/>
      <c r="AY29" s="573" t="s">
        <v>99</v>
      </c>
      <c r="AZ29" s="574">
        <f>K97/1000</f>
        <v>0</v>
      </c>
      <c r="BA29" s="575">
        <f>AZ29*$AN$23</f>
        <v>0</v>
      </c>
      <c r="BB29" s="576">
        <f t="shared" si="30"/>
        <v>0</v>
      </c>
      <c r="BC29" s="576">
        <f t="shared" si="31"/>
        <v>0</v>
      </c>
      <c r="BD29" s="574">
        <f t="shared" si="32"/>
        <v>0</v>
      </c>
      <c r="BE29" s="575">
        <f t="shared" si="33"/>
        <v>0</v>
      </c>
      <c r="BF29" s="580">
        <f t="shared" si="34"/>
        <v>0</v>
      </c>
      <c r="BG29" s="574">
        <f t="shared" si="11"/>
        <v>0</v>
      </c>
      <c r="BH29" s="575">
        <f t="shared" si="12"/>
        <v>0</v>
      </c>
      <c r="BI29" s="580">
        <f t="shared" si="13"/>
        <v>0</v>
      </c>
      <c r="BJ29" s="285"/>
      <c r="BK29" s="290"/>
      <c r="BL29" s="573" t="s">
        <v>99</v>
      </c>
      <c r="BM29" s="574">
        <f>K117/1000</f>
        <v>0</v>
      </c>
      <c r="BN29" s="575">
        <f>BM29*$AN$23</f>
        <v>0</v>
      </c>
      <c r="BO29" s="576">
        <f t="shared" si="35"/>
        <v>0</v>
      </c>
      <c r="BP29" s="576">
        <f t="shared" si="36"/>
        <v>0</v>
      </c>
      <c r="BQ29" s="574">
        <f t="shared" si="37"/>
        <v>0</v>
      </c>
      <c r="BR29" s="575">
        <f t="shared" si="38"/>
        <v>0</v>
      </c>
      <c r="BS29" s="580">
        <f t="shared" si="39"/>
        <v>0</v>
      </c>
      <c r="BT29" s="574">
        <f t="shared" si="40"/>
        <v>0</v>
      </c>
      <c r="BU29" s="575">
        <f t="shared" si="41"/>
        <v>0</v>
      </c>
      <c r="BV29" s="580">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36">
        <f>$W$29</f>
        <v>0.83299999999999996</v>
      </c>
      <c r="Y30" s="536">
        <f>$W$29</f>
        <v>0.83299999999999996</v>
      </c>
      <c r="Z30" s="167"/>
      <c r="AA30" s="390"/>
      <c r="AB30" s="278"/>
      <c r="AC30" s="269">
        <f>1-AC29</f>
        <v>0.5</v>
      </c>
      <c r="AD30" s="319">
        <f>1-AD29</f>
        <v>0.5</v>
      </c>
      <c r="AE30" s="273">
        <v>5</v>
      </c>
      <c r="AF30" s="285"/>
      <c r="AG30" s="236">
        <f t="shared" si="5"/>
        <v>0</v>
      </c>
      <c r="AH30" s="236">
        <f t="shared" si="6"/>
        <v>0</v>
      </c>
      <c r="AI30" s="236">
        <f t="shared" si="7"/>
        <v>0</v>
      </c>
      <c r="AK30" s="354"/>
      <c r="AL30" s="573" t="s">
        <v>107</v>
      </c>
      <c r="AM30" s="574"/>
      <c r="AN30" s="575"/>
      <c r="AO30" s="576"/>
      <c r="AP30" s="576"/>
      <c r="AQ30" s="596">
        <f t="shared" si="27"/>
        <v>0</v>
      </c>
      <c r="AR30" s="576">
        <f t="shared" si="28"/>
        <v>0</v>
      </c>
      <c r="AS30" s="577">
        <f t="shared" si="29"/>
        <v>0</v>
      </c>
      <c r="AT30" s="574"/>
      <c r="AU30" s="575"/>
      <c r="AV30" s="580"/>
      <c r="AW30" s="285"/>
      <c r="AX30" s="354"/>
      <c r="AY30" s="573" t="s">
        <v>107</v>
      </c>
      <c r="AZ30" s="574"/>
      <c r="BA30" s="575"/>
      <c r="BB30" s="576"/>
      <c r="BC30" s="576"/>
      <c r="BD30" s="574">
        <f t="shared" si="32"/>
        <v>0</v>
      </c>
      <c r="BE30" s="575">
        <f t="shared" si="33"/>
        <v>0</v>
      </c>
      <c r="BF30" s="580">
        <f t="shared" si="34"/>
        <v>0</v>
      </c>
      <c r="BG30" s="574">
        <f t="shared" si="11"/>
        <v>0</v>
      </c>
      <c r="BH30" s="575">
        <f t="shared" si="12"/>
        <v>0</v>
      </c>
      <c r="BI30" s="580">
        <f t="shared" si="13"/>
        <v>0</v>
      </c>
      <c r="BJ30" s="285"/>
      <c r="BK30" s="354"/>
      <c r="BL30" s="573" t="s">
        <v>107</v>
      </c>
      <c r="BM30" s="574"/>
      <c r="BN30" s="575"/>
      <c r="BO30" s="576"/>
      <c r="BP30" s="576"/>
      <c r="BQ30" s="574">
        <f t="shared" si="37"/>
        <v>0</v>
      </c>
      <c r="BR30" s="575">
        <f t="shared" si="38"/>
        <v>0</v>
      </c>
      <c r="BS30" s="580">
        <f t="shared" si="39"/>
        <v>0</v>
      </c>
      <c r="BT30" s="574">
        <f t="shared" si="40"/>
        <v>0</v>
      </c>
      <c r="BU30" s="575">
        <f t="shared" si="41"/>
        <v>0</v>
      </c>
      <c r="BV30" s="580">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f t="shared" si="17"/>
        <v>0</v>
      </c>
      <c r="K31" s="322">
        <f t="shared" si="18"/>
        <v>0</v>
      </c>
      <c r="L31" s="322">
        <f t="shared" si="19"/>
        <v>0</v>
      </c>
      <c r="M31" s="322">
        <f t="shared" si="20"/>
        <v>0</v>
      </c>
      <c r="N31" s="322">
        <f t="shared" si="21"/>
        <v>0</v>
      </c>
      <c r="O31" s="322">
        <f t="shared" si="22"/>
        <v>0</v>
      </c>
      <c r="P31" s="322">
        <f t="shared" si="23"/>
        <v>0</v>
      </c>
      <c r="Q31" s="322">
        <f t="shared" si="24"/>
        <v>0</v>
      </c>
      <c r="R31" s="322">
        <f t="shared" si="25"/>
        <v>0</v>
      </c>
      <c r="S31" s="322">
        <f t="shared" si="1"/>
        <v>0</v>
      </c>
      <c r="T31" s="322">
        <f t="shared" si="2"/>
        <v>0</v>
      </c>
      <c r="U31" s="322">
        <f t="shared" si="3"/>
        <v>0</v>
      </c>
      <c r="V31" s="322">
        <v>5</v>
      </c>
      <c r="W31" s="343">
        <f>J131</f>
        <v>0.98</v>
      </c>
      <c r="X31" s="536">
        <f t="shared" ref="X31:Y34" si="43">W31</f>
        <v>0.98</v>
      </c>
      <c r="Y31" s="536">
        <f t="shared" si="43"/>
        <v>0.98</v>
      </c>
      <c r="Z31" s="169">
        <f t="shared" ref="Z31:Z36" si="44">3.6*8760/1000000</f>
        <v>3.1536000000000002E-2</v>
      </c>
      <c r="AA31" s="390">
        <f t="shared" ref="AA31:AA41" si="45">$AA$26</f>
        <v>0.5</v>
      </c>
      <c r="AB31" s="278">
        <v>20</v>
      </c>
      <c r="AC31" s="269"/>
      <c r="AD31" s="269"/>
      <c r="AE31" s="273"/>
      <c r="AF31" s="285"/>
      <c r="AG31" s="236">
        <f t="shared" si="5"/>
        <v>0</v>
      </c>
      <c r="AH31" s="236">
        <f t="shared" si="6"/>
        <v>0</v>
      </c>
      <c r="AI31" s="236">
        <f t="shared" si="7"/>
        <v>0</v>
      </c>
      <c r="AK31" s="290"/>
      <c r="AL31" s="573" t="s">
        <v>100</v>
      </c>
      <c r="AM31" s="574">
        <f>J77/1000</f>
        <v>0</v>
      </c>
      <c r="AN31" s="575">
        <f t="shared" ref="AN31:AN41" si="46">AM31*$AN$23</f>
        <v>0</v>
      </c>
      <c r="AO31" s="576">
        <f t="shared" ref="AO31:AO33" si="47">AM31*$AO$23</f>
        <v>0</v>
      </c>
      <c r="AP31" s="576">
        <f t="shared" ref="AP31:AP37" si="48">AM31*$AP$23</f>
        <v>0</v>
      </c>
      <c r="AQ31" s="596">
        <f t="shared" si="27"/>
        <v>0</v>
      </c>
      <c r="AR31" s="576">
        <f t="shared" si="28"/>
        <v>0</v>
      </c>
      <c r="AS31" s="577">
        <f>IFERROR(I31*$Z31*$AA31/I$21,0)</f>
        <v>0</v>
      </c>
      <c r="AT31" s="574">
        <f t="shared" ref="AT31:AV34" si="49">IFERROR(AQ31/W31,0)</f>
        <v>0</v>
      </c>
      <c r="AU31" s="575">
        <f t="shared" si="49"/>
        <v>0</v>
      </c>
      <c r="AV31" s="580">
        <f t="shared" si="49"/>
        <v>0</v>
      </c>
      <c r="AW31" s="285"/>
      <c r="AX31" s="290"/>
      <c r="AY31" s="573" t="s">
        <v>100</v>
      </c>
      <c r="AZ31" s="574">
        <f>J97/1000</f>
        <v>0</v>
      </c>
      <c r="BA31" s="575">
        <f>AZ31*$AN$23</f>
        <v>0</v>
      </c>
      <c r="BB31" s="576">
        <f>AZ31*$BB$23</f>
        <v>0</v>
      </c>
      <c r="BC31" s="576">
        <f>AZ31*$BC$23</f>
        <v>0</v>
      </c>
      <c r="BD31" s="574">
        <f t="shared" si="32"/>
        <v>0</v>
      </c>
      <c r="BE31" s="575">
        <f t="shared" si="33"/>
        <v>0</v>
      </c>
      <c r="BF31" s="580">
        <f t="shared" si="34"/>
        <v>0</v>
      </c>
      <c r="BG31" s="574">
        <f t="shared" si="11"/>
        <v>0</v>
      </c>
      <c r="BH31" s="575">
        <f t="shared" si="12"/>
        <v>0</v>
      </c>
      <c r="BI31" s="580">
        <f t="shared" si="13"/>
        <v>0</v>
      </c>
      <c r="BJ31" s="285"/>
      <c r="BK31" s="290"/>
      <c r="BL31" s="573" t="s">
        <v>100</v>
      </c>
      <c r="BM31" s="574">
        <f>J117/1000</f>
        <v>0</v>
      </c>
      <c r="BN31" s="575">
        <f>BM31*$AN$23</f>
        <v>0</v>
      </c>
      <c r="BO31" s="576">
        <f>BM31*$BB$23</f>
        <v>0</v>
      </c>
      <c r="BP31" s="576">
        <f>BM31*$BC$23</f>
        <v>0</v>
      </c>
      <c r="BQ31" s="574">
        <f t="shared" si="37"/>
        <v>0</v>
      </c>
      <c r="BR31" s="575">
        <f t="shared" si="38"/>
        <v>0</v>
      </c>
      <c r="BS31" s="580">
        <f t="shared" si="39"/>
        <v>0</v>
      </c>
      <c r="BT31" s="574">
        <f t="shared" si="40"/>
        <v>0</v>
      </c>
      <c r="BU31" s="575">
        <f t="shared" si="41"/>
        <v>0</v>
      </c>
      <c r="BV31" s="580">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36">
        <f t="shared" si="43"/>
        <v>0.93099999999999994</v>
      </c>
      <c r="Y32" s="536">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73" t="s">
        <v>101</v>
      </c>
      <c r="AM32" s="574">
        <f>E77/1000</f>
        <v>0.20174</v>
      </c>
      <c r="AN32" s="575">
        <f t="shared" si="46"/>
        <v>0.20174</v>
      </c>
      <c r="AO32" s="576">
        <f>AM32*$AO$23</f>
        <v>0</v>
      </c>
      <c r="AP32" s="576">
        <f t="shared" si="48"/>
        <v>0</v>
      </c>
      <c r="AQ32" s="596">
        <f>IFERROR(G32*$Z32*$AA32/G$21,0)</f>
        <v>0.18782980219780221</v>
      </c>
      <c r="AR32" s="576">
        <f t="shared" si="28"/>
        <v>0</v>
      </c>
      <c r="AS32" s="577">
        <f t="shared" si="29"/>
        <v>0</v>
      </c>
      <c r="AT32" s="574">
        <f t="shared" si="49"/>
        <v>0.20175059312331065</v>
      </c>
      <c r="AU32" s="575">
        <f t="shared" si="49"/>
        <v>0</v>
      </c>
      <c r="AV32" s="580">
        <f t="shared" si="49"/>
        <v>0</v>
      </c>
      <c r="AW32" s="285"/>
      <c r="AX32" s="290"/>
      <c r="AY32" s="573" t="s">
        <v>101</v>
      </c>
      <c r="AZ32" s="574">
        <f>E97/1000</f>
        <v>0</v>
      </c>
      <c r="BA32" s="575">
        <f>AZ32*$AN$23</f>
        <v>0</v>
      </c>
      <c r="BB32" s="576">
        <f t="shared" ref="BB32:BB34" si="50">AZ32*$BB$23</f>
        <v>0</v>
      </c>
      <c r="BC32" s="576">
        <f t="shared" ref="BC32:BC34" si="51">AZ32*$BC$23</f>
        <v>0</v>
      </c>
      <c r="BD32" s="574">
        <f>IFERROR(J32*$Z32*AA32/J$21,0)</f>
        <v>0</v>
      </c>
      <c r="BE32" s="575">
        <f>IFERROR(K32*$Z32*AA32/K$21,0)</f>
        <v>0</v>
      </c>
      <c r="BF32" s="580">
        <f t="shared" si="34"/>
        <v>0</v>
      </c>
      <c r="BG32" s="574">
        <f t="shared" si="11"/>
        <v>0</v>
      </c>
      <c r="BH32" s="575">
        <f t="shared" si="12"/>
        <v>0</v>
      </c>
      <c r="BI32" s="580">
        <f t="shared" si="13"/>
        <v>0</v>
      </c>
      <c r="BJ32" s="285"/>
      <c r="BK32" s="290"/>
      <c r="BL32" s="573" t="s">
        <v>101</v>
      </c>
      <c r="BM32" s="574">
        <f>E117/1000</f>
        <v>0</v>
      </c>
      <c r="BN32" s="575">
        <f>BM32*$AN$23</f>
        <v>0</v>
      </c>
      <c r="BO32" s="576">
        <f t="shared" ref="BO32:BO62" si="52">BM32*$BB$23</f>
        <v>0</v>
      </c>
      <c r="BP32" s="576">
        <f t="shared" ref="BP32:BP62" si="53">BM32*$BC$23</f>
        <v>0</v>
      </c>
      <c r="BQ32" s="574">
        <f t="shared" si="37"/>
        <v>0</v>
      </c>
      <c r="BR32" s="575">
        <f t="shared" si="38"/>
        <v>0</v>
      </c>
      <c r="BS32" s="580">
        <f t="shared" si="39"/>
        <v>0</v>
      </c>
      <c r="BT32" s="574">
        <f t="shared" si="40"/>
        <v>0</v>
      </c>
      <c r="BU32" s="575">
        <f t="shared" si="41"/>
        <v>0</v>
      </c>
      <c r="BV32" s="580">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f t="shared" si="20"/>
        <v>0.67600000000000005</v>
      </c>
      <c r="N33" s="322">
        <f t="shared" si="21"/>
        <v>0</v>
      </c>
      <c r="O33" s="322">
        <f t="shared" si="22"/>
        <v>0</v>
      </c>
      <c r="P33" s="322">
        <f t="shared" si="23"/>
        <v>0.67600000000000005</v>
      </c>
      <c r="Q33" s="322">
        <f t="shared" si="24"/>
        <v>0</v>
      </c>
      <c r="R33" s="322">
        <f t="shared" si="25"/>
        <v>0</v>
      </c>
      <c r="S33" s="322">
        <f t="shared" si="1"/>
        <v>0</v>
      </c>
      <c r="T33" s="322">
        <f t="shared" si="2"/>
        <v>0</v>
      </c>
      <c r="U33" s="322">
        <f t="shared" si="3"/>
        <v>0</v>
      </c>
      <c r="V33" s="322">
        <v>5</v>
      </c>
      <c r="W33" s="343">
        <f>H131</f>
        <v>0.98</v>
      </c>
      <c r="X33" s="536">
        <f t="shared" si="43"/>
        <v>0.98</v>
      </c>
      <c r="Y33" s="536">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f t="shared" si="7"/>
        <v>1.0769011921600324E-2</v>
      </c>
      <c r="AK33" s="290"/>
      <c r="AL33" s="573" t="s">
        <v>53</v>
      </c>
      <c r="AM33" s="574">
        <f>H77/1000</f>
        <v>0.65594174999999999</v>
      </c>
      <c r="AN33" s="575">
        <f t="shared" si="46"/>
        <v>0.65594174999999999</v>
      </c>
      <c r="AO33" s="576">
        <f t="shared" si="47"/>
        <v>0</v>
      </c>
      <c r="AP33" s="576">
        <f t="shared" si="48"/>
        <v>0</v>
      </c>
      <c r="AQ33" s="596">
        <f t="shared" si="27"/>
        <v>0.64283347852147854</v>
      </c>
      <c r="AR33" s="576">
        <f t="shared" si="28"/>
        <v>0</v>
      </c>
      <c r="AS33" s="577">
        <f t="shared" si="29"/>
        <v>0</v>
      </c>
      <c r="AT33" s="574">
        <f t="shared" si="49"/>
        <v>0.65595252910354951</v>
      </c>
      <c r="AU33" s="575">
        <f t="shared" si="49"/>
        <v>0</v>
      </c>
      <c r="AV33" s="580">
        <f t="shared" si="49"/>
        <v>0</v>
      </c>
      <c r="AW33" s="285"/>
      <c r="AX33" s="290"/>
      <c r="AY33" s="573" t="s">
        <v>53</v>
      </c>
      <c r="AZ33" s="574">
        <f>H97/1000</f>
        <v>1.1341499999999999E-2</v>
      </c>
      <c r="BA33" s="575">
        <f>AZ33*$AN$23</f>
        <v>1.1341499999999999E-2</v>
      </c>
      <c r="BB33" s="576">
        <f t="shared" si="50"/>
        <v>0</v>
      </c>
      <c r="BC33" s="576">
        <f t="shared" si="51"/>
        <v>0</v>
      </c>
      <c r="BD33" s="574">
        <f t="shared" si="32"/>
        <v>1.1115659405940595E-2</v>
      </c>
      <c r="BE33" s="575">
        <f t="shared" si="33"/>
        <v>0</v>
      </c>
      <c r="BF33" s="580">
        <f t="shared" si="34"/>
        <v>0</v>
      </c>
      <c r="BG33" s="574">
        <f t="shared" si="11"/>
        <v>1.1342509597898566E-2</v>
      </c>
      <c r="BH33" s="575">
        <f t="shared" si="12"/>
        <v>0</v>
      </c>
      <c r="BI33" s="580">
        <f t="shared" si="13"/>
        <v>0</v>
      </c>
      <c r="BJ33" s="285"/>
      <c r="BK33" s="290"/>
      <c r="BL33" s="573" t="s">
        <v>53</v>
      </c>
      <c r="BM33" s="574">
        <f>H117/1000</f>
        <v>1.07685E-2</v>
      </c>
      <c r="BN33" s="575">
        <f>BM33*$AN$23</f>
        <v>1.07685E-2</v>
      </c>
      <c r="BO33" s="576">
        <f t="shared" si="52"/>
        <v>0</v>
      </c>
      <c r="BP33" s="576">
        <f t="shared" si="53"/>
        <v>0</v>
      </c>
      <c r="BQ33" s="574">
        <f t="shared" si="37"/>
        <v>1.0553631683168318E-2</v>
      </c>
      <c r="BR33" s="575">
        <f t="shared" si="38"/>
        <v>0</v>
      </c>
      <c r="BS33" s="580">
        <f t="shared" si="39"/>
        <v>0</v>
      </c>
      <c r="BT33" s="574">
        <f t="shared" si="40"/>
        <v>1.0769011921600324E-2</v>
      </c>
      <c r="BU33" s="575">
        <f t="shared" si="41"/>
        <v>0</v>
      </c>
      <c r="BV33" s="580">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v>
      </c>
      <c r="N34" s="322">
        <f t="shared" si="21"/>
        <v>0</v>
      </c>
      <c r="O34" s="322">
        <f t="shared" si="22"/>
        <v>0</v>
      </c>
      <c r="P34" s="322">
        <f t="shared" si="23"/>
        <v>0</v>
      </c>
      <c r="Q34" s="322">
        <f t="shared" si="24"/>
        <v>0</v>
      </c>
      <c r="R34" s="322">
        <f t="shared" si="25"/>
        <v>0</v>
      </c>
      <c r="S34" s="322">
        <f t="shared" si="1"/>
        <v>0</v>
      </c>
      <c r="T34" s="322">
        <f t="shared" si="2"/>
        <v>0</v>
      </c>
      <c r="U34" s="322">
        <f t="shared" si="3"/>
        <v>0</v>
      </c>
      <c r="V34" s="322">
        <v>5</v>
      </c>
      <c r="W34" s="343">
        <f>L131</f>
        <v>0.93099999999999994</v>
      </c>
      <c r="X34" s="536">
        <f t="shared" si="43"/>
        <v>0.93099999999999994</v>
      </c>
      <c r="Y34" s="536">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0</v>
      </c>
      <c r="AK34" s="290"/>
      <c r="AL34" s="573" t="s">
        <v>102</v>
      </c>
      <c r="AM34" s="574">
        <f>$L77/1000</f>
        <v>0</v>
      </c>
      <c r="AN34" s="575">
        <f t="shared" si="46"/>
        <v>0</v>
      </c>
      <c r="AO34" s="576">
        <f t="shared" ref="AO34" si="54">AM34*$AO$23</f>
        <v>0</v>
      </c>
      <c r="AP34" s="576">
        <f t="shared" si="48"/>
        <v>0</v>
      </c>
      <c r="AQ34" s="596">
        <f t="shared" si="27"/>
        <v>0</v>
      </c>
      <c r="AR34" s="576">
        <f t="shared" si="28"/>
        <v>0</v>
      </c>
      <c r="AS34" s="577">
        <f t="shared" si="29"/>
        <v>0</v>
      </c>
      <c r="AT34" s="574">
        <f t="shared" si="49"/>
        <v>0</v>
      </c>
      <c r="AU34" s="575">
        <f t="shared" si="49"/>
        <v>0</v>
      </c>
      <c r="AV34" s="580">
        <f t="shared" si="49"/>
        <v>0</v>
      </c>
      <c r="AW34" s="285"/>
      <c r="AX34" s="290"/>
      <c r="AY34" s="573" t="s">
        <v>102</v>
      </c>
      <c r="AZ34" s="574">
        <f>$L97/1000</f>
        <v>0</v>
      </c>
      <c r="BA34" s="575">
        <f>AZ34*$AN$23</f>
        <v>0</v>
      </c>
      <c r="BB34" s="576">
        <f t="shared" si="50"/>
        <v>0</v>
      </c>
      <c r="BC34" s="576">
        <f t="shared" si="51"/>
        <v>0</v>
      </c>
      <c r="BD34" s="574">
        <f t="shared" si="32"/>
        <v>0</v>
      </c>
      <c r="BE34" s="575">
        <f t="shared" si="33"/>
        <v>0</v>
      </c>
      <c r="BF34" s="580">
        <f t="shared" si="34"/>
        <v>0</v>
      </c>
      <c r="BG34" s="574">
        <f t="shared" si="11"/>
        <v>0</v>
      </c>
      <c r="BH34" s="575">
        <f t="shared" si="12"/>
        <v>0</v>
      </c>
      <c r="BI34" s="580">
        <f t="shared" si="13"/>
        <v>0</v>
      </c>
      <c r="BJ34" s="285"/>
      <c r="BK34" s="290"/>
      <c r="BL34" s="573" t="s">
        <v>102</v>
      </c>
      <c r="BM34" s="574">
        <f>$L117/1000</f>
        <v>0</v>
      </c>
      <c r="BN34" s="575">
        <f>BM34*$AN$23</f>
        <v>0</v>
      </c>
      <c r="BO34" s="576">
        <f t="shared" si="52"/>
        <v>0</v>
      </c>
      <c r="BP34" s="576">
        <f t="shared" si="53"/>
        <v>0</v>
      </c>
      <c r="BQ34" s="574">
        <f t="shared" si="37"/>
        <v>0</v>
      </c>
      <c r="BR34" s="575">
        <f t="shared" si="38"/>
        <v>0</v>
      </c>
      <c r="BS34" s="580">
        <f t="shared" si="39"/>
        <v>0</v>
      </c>
      <c r="BT34" s="574">
        <f t="shared" si="40"/>
        <v>0</v>
      </c>
      <c r="BU34" s="575">
        <f t="shared" si="41"/>
        <v>0</v>
      </c>
      <c r="BV34" s="580">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36">
        <f>$W$35</f>
        <v>0.94079999999999997</v>
      </c>
      <c r="Y35" s="536">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73" t="s">
        <v>103</v>
      </c>
      <c r="AM35" s="574">
        <f>N77/1000</f>
        <v>0</v>
      </c>
      <c r="AN35" s="627">
        <f>AM35</f>
        <v>0</v>
      </c>
      <c r="AO35" s="628">
        <v>0</v>
      </c>
      <c r="AP35" s="628">
        <v>0</v>
      </c>
      <c r="AQ35" s="596">
        <f t="shared" si="27"/>
        <v>0</v>
      </c>
      <c r="AR35" s="576">
        <f t="shared" si="28"/>
        <v>0</v>
      </c>
      <c r="AS35" s="577">
        <f t="shared" si="29"/>
        <v>0</v>
      </c>
      <c r="AT35" s="574">
        <f>AN35-AQ35</f>
        <v>0</v>
      </c>
      <c r="AU35" s="575">
        <f>AO35-AR35</f>
        <v>0</v>
      </c>
      <c r="AV35" s="580">
        <f>AP35-AS35</f>
        <v>0</v>
      </c>
      <c r="AW35" s="285"/>
      <c r="AX35" s="290"/>
      <c r="AY35" s="573" t="s">
        <v>103</v>
      </c>
      <c r="AZ35" s="574">
        <f>N97/1000</f>
        <v>0</v>
      </c>
      <c r="BA35" s="627">
        <f>AZ35</f>
        <v>0</v>
      </c>
      <c r="BB35" s="628">
        <v>0</v>
      </c>
      <c r="BC35" s="628">
        <v>0</v>
      </c>
      <c r="BD35" s="574">
        <f t="shared" si="32"/>
        <v>0</v>
      </c>
      <c r="BE35" s="575">
        <f t="shared" si="33"/>
        <v>0</v>
      </c>
      <c r="BF35" s="580">
        <f t="shared" si="34"/>
        <v>0</v>
      </c>
      <c r="BG35" s="574">
        <f t="shared" si="11"/>
        <v>0</v>
      </c>
      <c r="BH35" s="575">
        <f t="shared" si="12"/>
        <v>0</v>
      </c>
      <c r="BI35" s="580">
        <f t="shared" si="13"/>
        <v>0</v>
      </c>
      <c r="BJ35" s="285"/>
      <c r="BK35" s="290"/>
      <c r="BL35" s="573" t="s">
        <v>103</v>
      </c>
      <c r="BM35" s="574">
        <f>N117/1000</f>
        <v>0</v>
      </c>
      <c r="BN35" s="627">
        <f>BM35</f>
        <v>0</v>
      </c>
      <c r="BO35" s="628">
        <v>0</v>
      </c>
      <c r="BP35" s="628">
        <v>0</v>
      </c>
      <c r="BQ35" s="574">
        <f t="shared" si="37"/>
        <v>0</v>
      </c>
      <c r="BR35" s="575">
        <f t="shared" si="38"/>
        <v>0</v>
      </c>
      <c r="BS35" s="580">
        <f t="shared" si="39"/>
        <v>0</v>
      </c>
      <c r="BT35" s="574">
        <f t="shared" si="40"/>
        <v>0</v>
      </c>
      <c r="BU35" s="575">
        <f t="shared" si="41"/>
        <v>0</v>
      </c>
      <c r="BV35" s="580">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36">
        <f>$W$35</f>
        <v>0.94079999999999997</v>
      </c>
      <c r="Y36" s="536">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73" t="s">
        <v>104</v>
      </c>
      <c r="AM36" s="574"/>
      <c r="AN36" s="627">
        <f>AM36</f>
        <v>0</v>
      </c>
      <c r="AO36" s="628">
        <v>0</v>
      </c>
      <c r="AP36" s="628">
        <v>0</v>
      </c>
      <c r="AQ36" s="596">
        <f t="shared" si="27"/>
        <v>0</v>
      </c>
      <c r="AR36" s="576">
        <f t="shared" si="28"/>
        <v>0</v>
      </c>
      <c r="AS36" s="577">
        <f t="shared" si="29"/>
        <v>0</v>
      </c>
      <c r="AT36" s="574"/>
      <c r="AU36" s="575"/>
      <c r="AV36" s="580"/>
      <c r="AW36" s="285"/>
      <c r="AX36" s="290"/>
      <c r="AY36" s="573" t="s">
        <v>104</v>
      </c>
      <c r="AZ36" s="574"/>
      <c r="BA36" s="627">
        <f>AZ36</f>
        <v>0</v>
      </c>
      <c r="BB36" s="628">
        <v>0</v>
      </c>
      <c r="BC36" s="628">
        <v>0</v>
      </c>
      <c r="BD36" s="574">
        <f t="shared" si="32"/>
        <v>0</v>
      </c>
      <c r="BE36" s="575">
        <f t="shared" si="33"/>
        <v>0</v>
      </c>
      <c r="BF36" s="580">
        <f t="shared" si="34"/>
        <v>0</v>
      </c>
      <c r="BG36" s="574"/>
      <c r="BH36" s="575"/>
      <c r="BI36" s="580"/>
      <c r="BJ36" s="285"/>
      <c r="BK36" s="290"/>
      <c r="BL36" s="573" t="s">
        <v>104</v>
      </c>
      <c r="BM36" s="574"/>
      <c r="BN36" s="627">
        <f>BM36</f>
        <v>0</v>
      </c>
      <c r="BO36" s="628">
        <v>0</v>
      </c>
      <c r="BP36" s="628">
        <v>0</v>
      </c>
      <c r="BQ36" s="574">
        <f t="shared" si="37"/>
        <v>0</v>
      </c>
      <c r="BR36" s="575">
        <f t="shared" si="38"/>
        <v>0</v>
      </c>
      <c r="BS36" s="580">
        <f t="shared" si="39"/>
        <v>0</v>
      </c>
      <c r="BT36" s="574"/>
      <c r="BU36" s="575"/>
      <c r="BV36" s="580"/>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837.16</v>
      </c>
      <c r="N37" s="324">
        <f t="shared" si="21"/>
        <v>0</v>
      </c>
      <c r="O37" s="324">
        <f t="shared" si="22"/>
        <v>0</v>
      </c>
      <c r="P37" s="324">
        <f t="shared" si="23"/>
        <v>837.16</v>
      </c>
      <c r="Q37" s="324">
        <f t="shared" si="24"/>
        <v>0</v>
      </c>
      <c r="R37" s="324">
        <f t="shared" si="25"/>
        <v>0</v>
      </c>
      <c r="S37" s="324">
        <f t="shared" si="1"/>
        <v>0</v>
      </c>
      <c r="T37" s="324">
        <f t="shared" si="2"/>
        <v>0</v>
      </c>
      <c r="U37" s="324">
        <f t="shared" si="3"/>
        <v>0</v>
      </c>
      <c r="V37" s="572">
        <v>5</v>
      </c>
      <c r="W37" s="345">
        <f>M131</f>
        <v>0.93099999999999994</v>
      </c>
      <c r="X37" s="537">
        <f t="shared" ref="X37:Y41" si="55">W37</f>
        <v>0.93099999999999994</v>
      </c>
      <c r="Y37" s="537">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14.038284055258373</v>
      </c>
      <c r="AK37" s="352"/>
      <c r="AL37" s="581" t="s">
        <v>61</v>
      </c>
      <c r="AM37" s="582">
        <f>M77/1000</f>
        <v>15.605568000000002</v>
      </c>
      <c r="AN37" s="575">
        <f t="shared" si="46"/>
        <v>15.605568000000002</v>
      </c>
      <c r="AO37" s="576">
        <f t="shared" ref="AO37" si="57">AM37*$AO$23</f>
        <v>0</v>
      </c>
      <c r="AP37" s="576">
        <f t="shared" si="48"/>
        <v>0</v>
      </c>
      <c r="AQ37" s="596">
        <f t="shared" si="27"/>
        <v>14.528786421578424</v>
      </c>
      <c r="AR37" s="576">
        <f t="shared" si="28"/>
        <v>0</v>
      </c>
      <c r="AS37" s="577">
        <f t="shared" si="29"/>
        <v>0</v>
      </c>
      <c r="AT37" s="582">
        <f t="shared" ref="AT37:AV41" si="58">IFERROR(AQ37/W37,0)</f>
        <v>15.605570807280801</v>
      </c>
      <c r="AU37" s="583">
        <f t="shared" si="58"/>
        <v>0</v>
      </c>
      <c r="AV37" s="584">
        <f t="shared" si="58"/>
        <v>0</v>
      </c>
      <c r="AW37" s="285"/>
      <c r="AX37" s="352"/>
      <c r="AY37" s="581" t="s">
        <v>61</v>
      </c>
      <c r="AZ37" s="582">
        <f>M97/1000</f>
        <v>15.012288</v>
      </c>
      <c r="BA37" s="575">
        <f>AZ37*$AN$23</f>
        <v>15.012288</v>
      </c>
      <c r="BB37" s="576">
        <f t="shared" ref="BB37:BB62" si="59">AZ37*$BB$23</f>
        <v>0</v>
      </c>
      <c r="BC37" s="576">
        <f t="shared" ref="BC37:BC62" si="60">AZ37*$BC$23</f>
        <v>0</v>
      </c>
      <c r="BD37" s="582">
        <f t="shared" si="32"/>
        <v>13.97644296237624</v>
      </c>
      <c r="BE37" s="583">
        <f t="shared" si="33"/>
        <v>0</v>
      </c>
      <c r="BF37" s="584">
        <f>IFERROR(L37*$Z37*AA37/L$21,0)</f>
        <v>0</v>
      </c>
      <c r="BG37" s="582">
        <f t="shared" ref="BG37:BG56" si="61">IFERROR(BD37/W37,0)</f>
        <v>15.012291044442794</v>
      </c>
      <c r="BH37" s="583">
        <f t="shared" ref="BH37:BH56" si="62">IFERROR(BE37/X37,0)</f>
        <v>0</v>
      </c>
      <c r="BI37" s="584">
        <f t="shared" ref="BI37:BI56" si="63">IFERROR(BF37/Y37,0)</f>
        <v>0</v>
      </c>
      <c r="BJ37" s="285"/>
      <c r="BK37" s="352"/>
      <c r="BL37" s="581" t="s">
        <v>61</v>
      </c>
      <c r="BM37" s="582">
        <f>M117/1000</f>
        <v>14.038271999999999</v>
      </c>
      <c r="BN37" s="575">
        <f>BM37*$AN$23</f>
        <v>14.038271999999999</v>
      </c>
      <c r="BO37" s="576">
        <f t="shared" si="52"/>
        <v>0</v>
      </c>
      <c r="BP37" s="576">
        <f t="shared" si="53"/>
        <v>0</v>
      </c>
      <c r="BQ37" s="582">
        <f t="shared" si="37"/>
        <v>13.069642455445544</v>
      </c>
      <c r="BR37" s="583">
        <f t="shared" si="38"/>
        <v>0</v>
      </c>
      <c r="BS37" s="584">
        <f t="shared" si="39"/>
        <v>0</v>
      </c>
      <c r="BT37" s="582">
        <f t="shared" ref="BT37:BT56" si="64">IFERROR(BQ37/W37,0)</f>
        <v>14.038284055258373</v>
      </c>
      <c r="BU37" s="583">
        <f t="shared" ref="BU37:BU56" si="65">IFERROR(BR37/X37,0)</f>
        <v>0</v>
      </c>
      <c r="BV37" s="584">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36">
        <f t="shared" si="55"/>
        <v>0.96039999999999992</v>
      </c>
      <c r="Y38" s="536">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44" t="str">
        <f ca="1">F38</f>
        <v>ISDCO</v>
      </c>
      <c r="AL38" s="585" t="s">
        <v>97</v>
      </c>
      <c r="AM38" s="586">
        <f>I78/1000</f>
        <v>0</v>
      </c>
      <c r="AN38" s="579">
        <f t="shared" si="46"/>
        <v>0</v>
      </c>
      <c r="AO38" s="579">
        <f>AM38*(1-$AN$23)</f>
        <v>0</v>
      </c>
      <c r="AP38" s="579"/>
      <c r="AQ38" s="578">
        <f t="shared" si="27"/>
        <v>0</v>
      </c>
      <c r="AR38" s="579">
        <f t="shared" si="28"/>
        <v>0</v>
      </c>
      <c r="AS38" s="587">
        <f t="shared" si="29"/>
        <v>0</v>
      </c>
      <c r="AT38" s="586">
        <f t="shared" si="58"/>
        <v>0</v>
      </c>
      <c r="AU38" s="588">
        <f t="shared" si="58"/>
        <v>0</v>
      </c>
      <c r="AV38" s="589">
        <f t="shared" si="58"/>
        <v>0</v>
      </c>
      <c r="AW38" s="285"/>
      <c r="AX38" s="544" t="str">
        <f t="shared" ca="1" si="9"/>
        <v>ISDCO</v>
      </c>
      <c r="AY38" s="585" t="s">
        <v>97</v>
      </c>
      <c r="AZ38" s="586">
        <f>I98/1000</f>
        <v>0</v>
      </c>
      <c r="BA38" s="579">
        <f>AZ38*$AN$23</f>
        <v>0</v>
      </c>
      <c r="BB38" s="579">
        <f t="shared" si="59"/>
        <v>0</v>
      </c>
      <c r="BC38" s="579">
        <f t="shared" si="60"/>
        <v>0</v>
      </c>
      <c r="BD38" s="586">
        <f t="shared" si="32"/>
        <v>0</v>
      </c>
      <c r="BE38" s="588">
        <f t="shared" si="33"/>
        <v>0</v>
      </c>
      <c r="BF38" s="589">
        <f t="shared" si="34"/>
        <v>0</v>
      </c>
      <c r="BG38" s="586">
        <f t="shared" si="61"/>
        <v>0</v>
      </c>
      <c r="BH38" s="588">
        <f t="shared" si="62"/>
        <v>0</v>
      </c>
      <c r="BI38" s="589">
        <f t="shared" si="63"/>
        <v>0</v>
      </c>
      <c r="BJ38" s="285"/>
      <c r="BK38" s="544" t="str">
        <f ca="1">AK38</f>
        <v>ISDCO</v>
      </c>
      <c r="BL38" s="585" t="s">
        <v>97</v>
      </c>
      <c r="BM38" s="586">
        <f>I118/1000</f>
        <v>0</v>
      </c>
      <c r="BN38" s="579">
        <f>BM38*$AN$23</f>
        <v>0</v>
      </c>
      <c r="BO38" s="579">
        <f t="shared" si="52"/>
        <v>0</v>
      </c>
      <c r="BP38" s="579">
        <f t="shared" si="53"/>
        <v>0</v>
      </c>
      <c r="BQ38" s="586">
        <f t="shared" si="37"/>
        <v>0</v>
      </c>
      <c r="BR38" s="588">
        <f t="shared" si="38"/>
        <v>0</v>
      </c>
      <c r="BS38" s="589">
        <f t="shared" si="39"/>
        <v>0</v>
      </c>
      <c r="BT38" s="586">
        <f t="shared" si="64"/>
        <v>0</v>
      </c>
      <c r="BU38" s="588">
        <f t="shared" si="65"/>
        <v>0</v>
      </c>
      <c r="BV38" s="589">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36">
        <f t="shared" si="55"/>
        <v>0.91237999999999997</v>
      </c>
      <c r="Y39" s="536">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73" t="s">
        <v>98</v>
      </c>
      <c r="AM39" s="574">
        <f>D78/1000</f>
        <v>0</v>
      </c>
      <c r="AN39" s="576">
        <f t="shared" si="46"/>
        <v>0</v>
      </c>
      <c r="AO39" s="576">
        <f>AM39*(1-$AN$23)</f>
        <v>0</v>
      </c>
      <c r="AP39" s="576"/>
      <c r="AQ39" s="596">
        <f t="shared" si="27"/>
        <v>0</v>
      </c>
      <c r="AR39" s="576">
        <f t="shared" si="28"/>
        <v>0</v>
      </c>
      <c r="AS39" s="577">
        <f t="shared" si="29"/>
        <v>0</v>
      </c>
      <c r="AT39" s="574">
        <f t="shared" si="58"/>
        <v>0</v>
      </c>
      <c r="AU39" s="575">
        <f t="shared" si="58"/>
        <v>0</v>
      </c>
      <c r="AV39" s="580">
        <f t="shared" si="58"/>
        <v>0</v>
      </c>
      <c r="AW39" s="285"/>
      <c r="AX39" s="290"/>
      <c r="AY39" s="573" t="s">
        <v>98</v>
      </c>
      <c r="AZ39" s="574">
        <f>D98/1000</f>
        <v>0</v>
      </c>
      <c r="BA39" s="576">
        <f>AZ39*$AN$23</f>
        <v>0</v>
      </c>
      <c r="BB39" s="576">
        <f t="shared" si="59"/>
        <v>0</v>
      </c>
      <c r="BC39" s="576">
        <f t="shared" si="60"/>
        <v>0</v>
      </c>
      <c r="BD39" s="574">
        <f t="shared" si="32"/>
        <v>0</v>
      </c>
      <c r="BE39" s="575">
        <f t="shared" si="33"/>
        <v>0</v>
      </c>
      <c r="BF39" s="580">
        <f t="shared" si="34"/>
        <v>0</v>
      </c>
      <c r="BG39" s="574">
        <f t="shared" si="61"/>
        <v>0</v>
      </c>
      <c r="BH39" s="575">
        <f t="shared" si="62"/>
        <v>0</v>
      </c>
      <c r="BI39" s="580">
        <f t="shared" si="63"/>
        <v>0</v>
      </c>
      <c r="BJ39" s="285"/>
      <c r="BK39" s="290"/>
      <c r="BL39" s="573" t="s">
        <v>98</v>
      </c>
      <c r="BM39" s="574">
        <f>D118/1000</f>
        <v>0</v>
      </c>
      <c r="BN39" s="576">
        <f>BM39*$AN$23</f>
        <v>0</v>
      </c>
      <c r="BO39" s="576">
        <f t="shared" si="52"/>
        <v>0</v>
      </c>
      <c r="BP39" s="576">
        <f t="shared" si="53"/>
        <v>0</v>
      </c>
      <c r="BQ39" s="574">
        <f t="shared" si="37"/>
        <v>0</v>
      </c>
      <c r="BR39" s="575">
        <f t="shared" si="38"/>
        <v>0</v>
      </c>
      <c r="BS39" s="580">
        <f t="shared" si="39"/>
        <v>0</v>
      </c>
      <c r="BT39" s="574">
        <f t="shared" si="64"/>
        <v>0</v>
      </c>
      <c r="BU39" s="575">
        <f t="shared" si="65"/>
        <v>0</v>
      </c>
      <c r="BV39" s="580">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36">
        <f t="shared" si="55"/>
        <v>0.92198399999999991</v>
      </c>
      <c r="Y40" s="536">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73" t="s">
        <v>59</v>
      </c>
      <c r="AM40" s="574">
        <f>F78/1000</f>
        <v>0</v>
      </c>
      <c r="AN40" s="576">
        <f t="shared" si="46"/>
        <v>0</v>
      </c>
      <c r="AO40" s="576">
        <f>AM40*(1-$AN$23)</f>
        <v>0</v>
      </c>
      <c r="AP40" s="576"/>
      <c r="AQ40" s="596">
        <f t="shared" si="27"/>
        <v>0</v>
      </c>
      <c r="AR40" s="576">
        <f t="shared" si="28"/>
        <v>0</v>
      </c>
      <c r="AS40" s="577">
        <f t="shared" si="29"/>
        <v>0</v>
      </c>
      <c r="AT40" s="574">
        <f t="shared" si="58"/>
        <v>0</v>
      </c>
      <c r="AU40" s="575">
        <f t="shared" si="58"/>
        <v>0</v>
      </c>
      <c r="AV40" s="580">
        <f t="shared" si="58"/>
        <v>0</v>
      </c>
      <c r="AW40" s="285"/>
      <c r="AX40" s="290"/>
      <c r="AY40" s="573" t="s">
        <v>59</v>
      </c>
      <c r="AZ40" s="574">
        <f>F98/1000</f>
        <v>0</v>
      </c>
      <c r="BA40" s="576">
        <f>AZ40*$AN$23</f>
        <v>0</v>
      </c>
      <c r="BB40" s="576">
        <f t="shared" si="59"/>
        <v>0</v>
      </c>
      <c r="BC40" s="576">
        <f t="shared" si="60"/>
        <v>0</v>
      </c>
      <c r="BD40" s="574">
        <f t="shared" si="32"/>
        <v>0</v>
      </c>
      <c r="BE40" s="575">
        <f t="shared" si="33"/>
        <v>0</v>
      </c>
      <c r="BF40" s="580">
        <f t="shared" si="34"/>
        <v>0</v>
      </c>
      <c r="BG40" s="574">
        <f t="shared" si="61"/>
        <v>0</v>
      </c>
      <c r="BH40" s="575">
        <f t="shared" si="62"/>
        <v>0</v>
      </c>
      <c r="BI40" s="580">
        <f t="shared" si="63"/>
        <v>0</v>
      </c>
      <c r="BJ40" s="285"/>
      <c r="BK40" s="290"/>
      <c r="BL40" s="573" t="s">
        <v>59</v>
      </c>
      <c r="BM40" s="574">
        <f>F118/1000</f>
        <v>0</v>
      </c>
      <c r="BN40" s="576">
        <f>BM40*$AN$23</f>
        <v>0</v>
      </c>
      <c r="BO40" s="576">
        <f t="shared" si="52"/>
        <v>0</v>
      </c>
      <c r="BP40" s="576">
        <f t="shared" si="53"/>
        <v>0</v>
      </c>
      <c r="BQ40" s="574">
        <f t="shared" si="37"/>
        <v>0</v>
      </c>
      <c r="BR40" s="575">
        <f t="shared" si="38"/>
        <v>0</v>
      </c>
      <c r="BS40" s="580">
        <f t="shared" si="39"/>
        <v>0</v>
      </c>
      <c r="BT40" s="574">
        <f t="shared" si="64"/>
        <v>0</v>
      </c>
      <c r="BU40" s="575">
        <f t="shared" si="65"/>
        <v>0</v>
      </c>
      <c r="BV40" s="580">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36">
        <f t="shared" si="55"/>
        <v>0.81633999999999995</v>
      </c>
      <c r="Y41" s="536">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73" t="s">
        <v>99</v>
      </c>
      <c r="AM41" s="574">
        <f>K78/1000</f>
        <v>0</v>
      </c>
      <c r="AN41" s="576">
        <f t="shared" si="46"/>
        <v>0</v>
      </c>
      <c r="AO41" s="576">
        <f>AM41*(1-$AN$23)</f>
        <v>0</v>
      </c>
      <c r="AP41" s="576"/>
      <c r="AQ41" s="596">
        <f t="shared" si="27"/>
        <v>0</v>
      </c>
      <c r="AR41" s="576">
        <f t="shared" si="28"/>
        <v>0</v>
      </c>
      <c r="AS41" s="577">
        <f t="shared" si="29"/>
        <v>0</v>
      </c>
      <c r="AT41" s="574">
        <f t="shared" si="58"/>
        <v>0</v>
      </c>
      <c r="AU41" s="575">
        <f t="shared" si="58"/>
        <v>0</v>
      </c>
      <c r="AV41" s="580">
        <f t="shared" si="58"/>
        <v>0</v>
      </c>
      <c r="AW41" s="285"/>
      <c r="AX41" s="290"/>
      <c r="AY41" s="573" t="s">
        <v>99</v>
      </c>
      <c r="AZ41" s="574">
        <f>K98/1000</f>
        <v>0</v>
      </c>
      <c r="BA41" s="576">
        <f>AZ41*$AN$23</f>
        <v>0</v>
      </c>
      <c r="BB41" s="576">
        <f t="shared" si="59"/>
        <v>0</v>
      </c>
      <c r="BC41" s="576">
        <f t="shared" si="60"/>
        <v>0</v>
      </c>
      <c r="BD41" s="574">
        <f t="shared" si="32"/>
        <v>0</v>
      </c>
      <c r="BE41" s="575">
        <f t="shared" si="33"/>
        <v>0</v>
      </c>
      <c r="BF41" s="580">
        <f t="shared" si="34"/>
        <v>0</v>
      </c>
      <c r="BG41" s="574">
        <f t="shared" si="61"/>
        <v>0</v>
      </c>
      <c r="BH41" s="575">
        <f t="shared" si="62"/>
        <v>0</v>
      </c>
      <c r="BI41" s="580">
        <f t="shared" si="63"/>
        <v>0</v>
      </c>
      <c r="BJ41" s="285"/>
      <c r="BK41" s="290"/>
      <c r="BL41" s="573" t="s">
        <v>99</v>
      </c>
      <c r="BM41" s="574">
        <f>K118/1000</f>
        <v>0</v>
      </c>
      <c r="BN41" s="576">
        <f>BM41*$AN$23</f>
        <v>0</v>
      </c>
      <c r="BO41" s="576">
        <f t="shared" si="52"/>
        <v>0</v>
      </c>
      <c r="BP41" s="576">
        <f t="shared" si="53"/>
        <v>0</v>
      </c>
      <c r="BQ41" s="574">
        <f t="shared" si="37"/>
        <v>0</v>
      </c>
      <c r="BR41" s="575">
        <f t="shared" si="38"/>
        <v>0</v>
      </c>
      <c r="BS41" s="580">
        <f t="shared" si="39"/>
        <v>0</v>
      </c>
      <c r="BT41" s="574">
        <f t="shared" si="64"/>
        <v>0</v>
      </c>
      <c r="BU41" s="575">
        <f t="shared" si="65"/>
        <v>0</v>
      </c>
      <c r="BV41" s="580">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36"/>
      <c r="Y42" s="536"/>
      <c r="Z42" s="177"/>
      <c r="AA42" s="392"/>
      <c r="AB42" s="280"/>
      <c r="AC42" s="319">
        <f>1-AC41</f>
        <v>0.5</v>
      </c>
      <c r="AD42" s="319">
        <f>1-AD41</f>
        <v>0.5</v>
      </c>
      <c r="AE42" s="273">
        <v>5</v>
      </c>
      <c r="AF42" s="285"/>
      <c r="AG42" s="236"/>
      <c r="AH42" s="236"/>
      <c r="AI42" s="236"/>
      <c r="AK42" s="290"/>
      <c r="AL42" s="573" t="s">
        <v>107</v>
      </c>
      <c r="AM42" s="574"/>
      <c r="AN42" s="576"/>
      <c r="AO42" s="576"/>
      <c r="AP42" s="576"/>
      <c r="AQ42" s="596">
        <f t="shared" si="27"/>
        <v>0</v>
      </c>
      <c r="AR42" s="576">
        <f t="shared" si="28"/>
        <v>0</v>
      </c>
      <c r="AS42" s="577">
        <f t="shared" si="29"/>
        <v>0</v>
      </c>
      <c r="AT42" s="574"/>
      <c r="AU42" s="575"/>
      <c r="AV42" s="580"/>
      <c r="AW42" s="285"/>
      <c r="AX42" s="290"/>
      <c r="AY42" s="573" t="s">
        <v>107</v>
      </c>
      <c r="AZ42" s="574"/>
      <c r="BA42" s="576"/>
      <c r="BB42" s="576">
        <f t="shared" si="59"/>
        <v>0</v>
      </c>
      <c r="BC42" s="576">
        <f t="shared" si="60"/>
        <v>0</v>
      </c>
      <c r="BD42" s="574">
        <f t="shared" si="32"/>
        <v>0</v>
      </c>
      <c r="BE42" s="575">
        <f t="shared" si="33"/>
        <v>0</v>
      </c>
      <c r="BF42" s="580">
        <f t="shared" si="34"/>
        <v>0</v>
      </c>
      <c r="BG42" s="574">
        <f t="shared" si="61"/>
        <v>0</v>
      </c>
      <c r="BH42" s="575">
        <f t="shared" si="62"/>
        <v>0</v>
      </c>
      <c r="BI42" s="580">
        <f t="shared" si="63"/>
        <v>0</v>
      </c>
      <c r="BJ42" s="285"/>
      <c r="BK42" s="290"/>
      <c r="BL42" s="573" t="s">
        <v>107</v>
      </c>
      <c r="BM42" s="574"/>
      <c r="BN42" s="576"/>
      <c r="BO42" s="576">
        <f t="shared" si="52"/>
        <v>0</v>
      </c>
      <c r="BP42" s="576">
        <f t="shared" si="53"/>
        <v>0</v>
      </c>
      <c r="BQ42" s="574">
        <f t="shared" si="37"/>
        <v>0</v>
      </c>
      <c r="BR42" s="575">
        <f t="shared" si="38"/>
        <v>0</v>
      </c>
      <c r="BS42" s="580">
        <f t="shared" si="39"/>
        <v>0</v>
      </c>
      <c r="BT42" s="574">
        <f t="shared" si="64"/>
        <v>0</v>
      </c>
      <c r="BU42" s="575">
        <f t="shared" si="65"/>
        <v>0</v>
      </c>
      <c r="BV42" s="580">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36">
        <f t="shared" ref="X43:Y50" si="67">W43</f>
        <v>0.91237999999999997</v>
      </c>
      <c r="Y43" s="536">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73" t="s">
        <v>101</v>
      </c>
      <c r="AM43" s="574">
        <f>E78/1000</f>
        <v>0</v>
      </c>
      <c r="AN43" s="576">
        <f t="shared" ref="AN43:AN48" si="72">AM43*$AN$23</f>
        <v>0</v>
      </c>
      <c r="AO43" s="576">
        <f>AM43*(1-$AN$23)</f>
        <v>0</v>
      </c>
      <c r="AP43" s="576"/>
      <c r="AQ43" s="596">
        <f t="shared" si="27"/>
        <v>0</v>
      </c>
      <c r="AR43" s="576">
        <f t="shared" si="28"/>
        <v>0</v>
      </c>
      <c r="AS43" s="577">
        <f t="shared" si="29"/>
        <v>0</v>
      </c>
      <c r="AT43" s="574">
        <f t="shared" ref="AT43:AV50" si="73">IFERROR(AQ43/W43,0)</f>
        <v>0</v>
      </c>
      <c r="AU43" s="575">
        <f t="shared" si="73"/>
        <v>0</v>
      </c>
      <c r="AV43" s="580">
        <f t="shared" si="73"/>
        <v>0</v>
      </c>
      <c r="AW43" s="285"/>
      <c r="AX43" s="290"/>
      <c r="AY43" s="573" t="s">
        <v>101</v>
      </c>
      <c r="AZ43" s="574">
        <f>E98/1000</f>
        <v>0</v>
      </c>
      <c r="BA43" s="576">
        <f t="shared" ref="BA43:BA50" si="74">AZ43*$AN$23</f>
        <v>0</v>
      </c>
      <c r="BB43" s="576">
        <f t="shared" si="59"/>
        <v>0</v>
      </c>
      <c r="BC43" s="576">
        <f t="shared" si="60"/>
        <v>0</v>
      </c>
      <c r="BD43" s="574">
        <f t="shared" si="32"/>
        <v>0</v>
      </c>
      <c r="BE43" s="575">
        <f t="shared" si="33"/>
        <v>0</v>
      </c>
      <c r="BF43" s="580">
        <f t="shared" si="34"/>
        <v>0</v>
      </c>
      <c r="BG43" s="574">
        <f t="shared" si="61"/>
        <v>0</v>
      </c>
      <c r="BH43" s="575">
        <f t="shared" si="62"/>
        <v>0</v>
      </c>
      <c r="BI43" s="580">
        <f t="shared" si="63"/>
        <v>0</v>
      </c>
      <c r="BJ43" s="285"/>
      <c r="BK43" s="290"/>
      <c r="BL43" s="573" t="s">
        <v>101</v>
      </c>
      <c r="BM43" s="574">
        <f>E118/1000</f>
        <v>0</v>
      </c>
      <c r="BN43" s="576">
        <f t="shared" ref="BN43:BN50" si="75">BM43*$AN$23</f>
        <v>0</v>
      </c>
      <c r="BO43" s="576">
        <f t="shared" si="52"/>
        <v>0</v>
      </c>
      <c r="BP43" s="576">
        <f t="shared" si="53"/>
        <v>0</v>
      </c>
      <c r="BQ43" s="574">
        <f t="shared" si="37"/>
        <v>0</v>
      </c>
      <c r="BR43" s="575">
        <f t="shared" si="38"/>
        <v>0</v>
      </c>
      <c r="BS43" s="580">
        <f t="shared" si="39"/>
        <v>0</v>
      </c>
      <c r="BT43" s="574">
        <f t="shared" si="64"/>
        <v>0</v>
      </c>
      <c r="BU43" s="575">
        <f t="shared" si="65"/>
        <v>0</v>
      </c>
      <c r="BV43" s="580">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f t="shared" si="20"/>
        <v>0</v>
      </c>
      <c r="N44" s="322">
        <f t="shared" si="21"/>
        <v>0</v>
      </c>
      <c r="O44" s="322">
        <f t="shared" si="22"/>
        <v>0</v>
      </c>
      <c r="P44" s="322">
        <f t="shared" si="23"/>
        <v>0</v>
      </c>
      <c r="Q44" s="322">
        <f t="shared" si="24"/>
        <v>0</v>
      </c>
      <c r="R44" s="322">
        <f t="shared" si="25"/>
        <v>0</v>
      </c>
      <c r="S44" s="322">
        <f t="shared" si="1"/>
        <v>0</v>
      </c>
      <c r="T44" s="322">
        <f t="shared" si="2"/>
        <v>0</v>
      </c>
      <c r="U44" s="322">
        <f t="shared" si="3"/>
        <v>0</v>
      </c>
      <c r="V44" s="322">
        <v>5</v>
      </c>
      <c r="W44" s="343">
        <f>H132</f>
        <v>0.96039999999999992</v>
      </c>
      <c r="X44" s="536">
        <f t="shared" si="67"/>
        <v>0.96039999999999992</v>
      </c>
      <c r="Y44" s="536">
        <f t="shared" si="67"/>
        <v>0.96039999999999992</v>
      </c>
      <c r="Z44" s="177">
        <f t="shared" si="56"/>
        <v>3.1536000000000002E-2</v>
      </c>
      <c r="AA44" s="392">
        <f t="shared" si="68"/>
        <v>0.5</v>
      </c>
      <c r="AB44" s="280">
        <v>20</v>
      </c>
      <c r="AC44" s="269"/>
      <c r="AD44" s="269"/>
      <c r="AE44" s="275"/>
      <c r="AF44" s="285"/>
      <c r="AG44" s="236">
        <f t="shared" si="69"/>
        <v>0</v>
      </c>
      <c r="AH44" s="236">
        <f t="shared" si="70"/>
        <v>0</v>
      </c>
      <c r="AI44" s="236">
        <f t="shared" si="71"/>
        <v>0</v>
      </c>
      <c r="AK44" s="290"/>
      <c r="AL44" s="573" t="s">
        <v>53</v>
      </c>
      <c r="AM44" s="574">
        <f>H78/1000</f>
        <v>0</v>
      </c>
      <c r="AN44" s="576">
        <f t="shared" si="72"/>
        <v>0</v>
      </c>
      <c r="AO44" s="576">
        <f>AM44*(1-$AN$23)</f>
        <v>0</v>
      </c>
      <c r="AP44" s="576"/>
      <c r="AQ44" s="596">
        <f t="shared" si="27"/>
        <v>0</v>
      </c>
      <c r="AR44" s="576">
        <f t="shared" si="28"/>
        <v>0</v>
      </c>
      <c r="AS44" s="577">
        <f t="shared" si="29"/>
        <v>0</v>
      </c>
      <c r="AT44" s="574">
        <f t="shared" si="73"/>
        <v>0</v>
      </c>
      <c r="AU44" s="575">
        <f t="shared" si="73"/>
        <v>0</v>
      </c>
      <c r="AV44" s="580">
        <f t="shared" si="73"/>
        <v>0</v>
      </c>
      <c r="AW44" s="285"/>
      <c r="AX44" s="290"/>
      <c r="AY44" s="573" t="s">
        <v>53</v>
      </c>
      <c r="AZ44" s="574">
        <f>H98/1000</f>
        <v>0</v>
      </c>
      <c r="BA44" s="576">
        <f t="shared" si="74"/>
        <v>0</v>
      </c>
      <c r="BB44" s="576">
        <f t="shared" si="59"/>
        <v>0</v>
      </c>
      <c r="BC44" s="576">
        <f t="shared" si="60"/>
        <v>0</v>
      </c>
      <c r="BD44" s="574">
        <f t="shared" si="32"/>
        <v>0</v>
      </c>
      <c r="BE44" s="575">
        <f t="shared" si="33"/>
        <v>0</v>
      </c>
      <c r="BF44" s="580">
        <f t="shared" si="34"/>
        <v>0</v>
      </c>
      <c r="BG44" s="574">
        <f t="shared" si="61"/>
        <v>0</v>
      </c>
      <c r="BH44" s="575">
        <f t="shared" si="62"/>
        <v>0</v>
      </c>
      <c r="BI44" s="580">
        <f t="shared" si="63"/>
        <v>0</v>
      </c>
      <c r="BJ44" s="285"/>
      <c r="BK44" s="290"/>
      <c r="BL44" s="573" t="s">
        <v>53</v>
      </c>
      <c r="BM44" s="574">
        <f>H118/1000</f>
        <v>0</v>
      </c>
      <c r="BN44" s="576">
        <f t="shared" si="75"/>
        <v>0</v>
      </c>
      <c r="BO44" s="576">
        <f t="shared" si="52"/>
        <v>0</v>
      </c>
      <c r="BP44" s="576">
        <f t="shared" si="53"/>
        <v>0</v>
      </c>
      <c r="BQ44" s="574">
        <f t="shared" si="37"/>
        <v>0</v>
      </c>
      <c r="BR44" s="575">
        <f t="shared" si="38"/>
        <v>0</v>
      </c>
      <c r="BS44" s="580">
        <f t="shared" si="39"/>
        <v>0</v>
      </c>
      <c r="BT44" s="574">
        <f t="shared" si="64"/>
        <v>0</v>
      </c>
      <c r="BU44" s="575">
        <f t="shared" si="65"/>
        <v>0</v>
      </c>
      <c r="BV44" s="580">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36">
        <f t="shared" si="67"/>
        <v>0.91237999999999997</v>
      </c>
      <c r="Y45" s="536">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73" t="s">
        <v>102</v>
      </c>
      <c r="AM45" s="574">
        <f>$L78/1000</f>
        <v>0</v>
      </c>
      <c r="AN45" s="575">
        <f t="shared" si="72"/>
        <v>0</v>
      </c>
      <c r="AO45" s="576">
        <f>AM45*(1-$AN$23)</f>
        <v>0</v>
      </c>
      <c r="AP45" s="576"/>
      <c r="AQ45" s="596">
        <f t="shared" si="27"/>
        <v>0</v>
      </c>
      <c r="AR45" s="576">
        <f t="shared" si="28"/>
        <v>0</v>
      </c>
      <c r="AS45" s="577">
        <f t="shared" si="29"/>
        <v>0</v>
      </c>
      <c r="AT45" s="574">
        <f t="shared" si="73"/>
        <v>0</v>
      </c>
      <c r="AU45" s="575">
        <f t="shared" si="73"/>
        <v>0</v>
      </c>
      <c r="AV45" s="580">
        <f t="shared" si="73"/>
        <v>0</v>
      </c>
      <c r="AW45" s="285"/>
      <c r="AX45" s="290"/>
      <c r="AY45" s="573" t="s">
        <v>102</v>
      </c>
      <c r="AZ45" s="574">
        <f>$L98/1000</f>
        <v>0</v>
      </c>
      <c r="BA45" s="575">
        <f t="shared" si="74"/>
        <v>0</v>
      </c>
      <c r="BB45" s="576">
        <f t="shared" si="59"/>
        <v>0</v>
      </c>
      <c r="BC45" s="576">
        <f t="shared" si="60"/>
        <v>0</v>
      </c>
      <c r="BD45" s="574">
        <f t="shared" si="32"/>
        <v>0</v>
      </c>
      <c r="BE45" s="575">
        <f t="shared" si="33"/>
        <v>0</v>
      </c>
      <c r="BF45" s="580">
        <f t="shared" si="34"/>
        <v>0</v>
      </c>
      <c r="BG45" s="574">
        <f t="shared" si="61"/>
        <v>0</v>
      </c>
      <c r="BH45" s="575">
        <f t="shared" si="62"/>
        <v>0</v>
      </c>
      <c r="BI45" s="580">
        <f t="shared" si="63"/>
        <v>0</v>
      </c>
      <c r="BJ45" s="285"/>
      <c r="BK45" s="290"/>
      <c r="BL45" s="573" t="s">
        <v>102</v>
      </c>
      <c r="BM45" s="574">
        <f>$L118/1000</f>
        <v>0</v>
      </c>
      <c r="BN45" s="575">
        <f t="shared" si="75"/>
        <v>0</v>
      </c>
      <c r="BO45" s="576">
        <f t="shared" si="52"/>
        <v>0</v>
      </c>
      <c r="BP45" s="576">
        <f t="shared" si="53"/>
        <v>0</v>
      </c>
      <c r="BQ45" s="574">
        <f t="shared" si="37"/>
        <v>0</v>
      </c>
      <c r="BR45" s="575">
        <f t="shared" si="38"/>
        <v>0</v>
      </c>
      <c r="BS45" s="580">
        <f t="shared" si="39"/>
        <v>0</v>
      </c>
      <c r="BT45" s="574">
        <f t="shared" si="64"/>
        <v>0</v>
      </c>
      <c r="BU45" s="575">
        <f t="shared" si="65"/>
        <v>0</v>
      </c>
      <c r="BV45" s="580">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512.76099999999997</v>
      </c>
      <c r="N46" s="324">
        <f t="shared" si="21"/>
        <v>0</v>
      </c>
      <c r="O46" s="324">
        <f t="shared" si="22"/>
        <v>0</v>
      </c>
      <c r="P46" s="324">
        <f t="shared" si="23"/>
        <v>512.76099999999997</v>
      </c>
      <c r="Q46" s="324">
        <f t="shared" si="24"/>
        <v>0</v>
      </c>
      <c r="R46" s="324">
        <f t="shared" si="25"/>
        <v>0</v>
      </c>
      <c r="S46" s="324">
        <f t="shared" si="1"/>
        <v>0</v>
      </c>
      <c r="T46" s="324">
        <f t="shared" si="2"/>
        <v>0</v>
      </c>
      <c r="U46" s="324">
        <f t="shared" si="3"/>
        <v>0</v>
      </c>
      <c r="V46" s="572">
        <v>5</v>
      </c>
      <c r="W46" s="345">
        <f>M132</f>
        <v>0.91237999999999997</v>
      </c>
      <c r="X46" s="537">
        <f t="shared" si="67"/>
        <v>0.91237999999999997</v>
      </c>
      <c r="Y46" s="537">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8.7739360901170453</v>
      </c>
      <c r="AK46" s="355"/>
      <c r="AL46" s="581" t="s">
        <v>61</v>
      </c>
      <c r="AM46" s="582">
        <f>M78/1000</f>
        <v>9.7534800000000015</v>
      </c>
      <c r="AN46" s="590">
        <f>AM46*$AN$23</f>
        <v>9.7534800000000015</v>
      </c>
      <c r="AO46" s="590">
        <f>AM46*(1-$AN$23)</f>
        <v>0</v>
      </c>
      <c r="AP46" s="590"/>
      <c r="AQ46" s="600">
        <f>IFERROR(G46*$Z46*$AA46/G$21,0)</f>
        <v>8.8988858181818209</v>
      </c>
      <c r="AR46" s="590">
        <f t="shared" si="28"/>
        <v>0</v>
      </c>
      <c r="AS46" s="591">
        <f t="shared" si="29"/>
        <v>0</v>
      </c>
      <c r="AT46" s="582">
        <f t="shared" si="73"/>
        <v>9.7534862866150309</v>
      </c>
      <c r="AU46" s="583">
        <f t="shared" si="73"/>
        <v>0</v>
      </c>
      <c r="AV46" s="584">
        <f t="shared" si="73"/>
        <v>0</v>
      </c>
      <c r="AW46" s="285"/>
      <c r="AX46" s="355"/>
      <c r="AY46" s="581" t="s">
        <v>61</v>
      </c>
      <c r="AZ46" s="582">
        <f>M98/1000</f>
        <v>9.3826800000000006</v>
      </c>
      <c r="BA46" s="590">
        <f t="shared" si="74"/>
        <v>9.3826800000000006</v>
      </c>
      <c r="BB46" s="590">
        <f>AZ46*$BB$23</f>
        <v>0</v>
      </c>
      <c r="BC46" s="590">
        <f t="shared" si="60"/>
        <v>0</v>
      </c>
      <c r="BD46" s="582">
        <f t="shared" si="32"/>
        <v>8.5605720950495048</v>
      </c>
      <c r="BE46" s="583">
        <f>IFERROR(K46*$Z46*AA46/K$21,0)</f>
        <v>0</v>
      </c>
      <c r="BF46" s="584">
        <f>IFERROR(L46*$Z46*AA46/L$21,0)</f>
        <v>0</v>
      </c>
      <c r="BG46" s="582">
        <f t="shared" si="61"/>
        <v>9.3826827583348003</v>
      </c>
      <c r="BH46" s="583">
        <f t="shared" si="62"/>
        <v>0</v>
      </c>
      <c r="BI46" s="584">
        <f t="shared" si="63"/>
        <v>0</v>
      </c>
      <c r="BJ46" s="285"/>
      <c r="BK46" s="355"/>
      <c r="BL46" s="581" t="s">
        <v>61</v>
      </c>
      <c r="BM46" s="582">
        <f>M118/1000</f>
        <v>8.7739200000000004</v>
      </c>
      <c r="BN46" s="590">
        <f t="shared" si="75"/>
        <v>8.7739200000000004</v>
      </c>
      <c r="BO46" s="590">
        <f t="shared" si="52"/>
        <v>0</v>
      </c>
      <c r="BP46" s="590">
        <f t="shared" si="53"/>
        <v>0</v>
      </c>
      <c r="BQ46" s="582">
        <f t="shared" si="37"/>
        <v>8.0051638099009903</v>
      </c>
      <c r="BR46" s="583">
        <f t="shared" si="38"/>
        <v>0</v>
      </c>
      <c r="BS46" s="584">
        <f t="shared" si="39"/>
        <v>0</v>
      </c>
      <c r="BT46" s="582">
        <f t="shared" si="64"/>
        <v>8.7739360901170453</v>
      </c>
      <c r="BU46" s="583">
        <f t="shared" si="65"/>
        <v>0</v>
      </c>
      <c r="BV46" s="584">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36">
        <f t="shared" si="67"/>
        <v>1</v>
      </c>
      <c r="Y47" s="536">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44" t="str">
        <f ca="1">F47</f>
        <v>ISDSH</v>
      </c>
      <c r="AL47" s="585" t="s">
        <v>97</v>
      </c>
      <c r="AM47" s="586">
        <f>I82/1000</f>
        <v>0</v>
      </c>
      <c r="AN47" s="588">
        <f t="shared" si="72"/>
        <v>0</v>
      </c>
      <c r="AO47" s="576">
        <f>AM47*$AO$23</f>
        <v>0</v>
      </c>
      <c r="AP47" s="576">
        <f>AM47*$AP$23</f>
        <v>0</v>
      </c>
      <c r="AQ47" s="596">
        <f t="shared" si="27"/>
        <v>0</v>
      </c>
      <c r="AR47" s="576">
        <f t="shared" si="28"/>
        <v>0</v>
      </c>
      <c r="AS47" s="577">
        <f t="shared" si="29"/>
        <v>0</v>
      </c>
      <c r="AT47" s="586">
        <f t="shared" si="73"/>
        <v>0</v>
      </c>
      <c r="AU47" s="588">
        <f t="shared" si="73"/>
        <v>0</v>
      </c>
      <c r="AV47" s="589">
        <f t="shared" si="73"/>
        <v>0</v>
      </c>
      <c r="AW47" s="285"/>
      <c r="AX47" s="544" t="str">
        <f t="shared" ca="1" si="9"/>
        <v>ISDSH</v>
      </c>
      <c r="AY47" s="585" t="s">
        <v>97</v>
      </c>
      <c r="AZ47" s="586">
        <f>I102/1000</f>
        <v>0</v>
      </c>
      <c r="BA47" s="588">
        <f t="shared" si="74"/>
        <v>0</v>
      </c>
      <c r="BB47" s="576">
        <f t="shared" si="59"/>
        <v>0</v>
      </c>
      <c r="BC47" s="576">
        <f t="shared" si="60"/>
        <v>0</v>
      </c>
      <c r="BD47" s="586">
        <f t="shared" si="32"/>
        <v>0</v>
      </c>
      <c r="BE47" s="588">
        <f t="shared" si="33"/>
        <v>0</v>
      </c>
      <c r="BF47" s="589">
        <f t="shared" si="34"/>
        <v>0</v>
      </c>
      <c r="BG47" s="586">
        <f t="shared" si="61"/>
        <v>0</v>
      </c>
      <c r="BH47" s="588">
        <f t="shared" si="62"/>
        <v>0</v>
      </c>
      <c r="BI47" s="589">
        <f t="shared" si="63"/>
        <v>0</v>
      </c>
      <c r="BJ47" s="285"/>
      <c r="BK47" s="544" t="str">
        <f ca="1">AK47</f>
        <v>ISDSH</v>
      </c>
      <c r="BL47" s="585" t="s">
        <v>97</v>
      </c>
      <c r="BM47" s="586">
        <f>I122/1000</f>
        <v>0</v>
      </c>
      <c r="BN47" s="588">
        <f t="shared" si="75"/>
        <v>0</v>
      </c>
      <c r="BO47" s="576">
        <f t="shared" si="52"/>
        <v>0</v>
      </c>
      <c r="BP47" s="576">
        <f t="shared" si="53"/>
        <v>0</v>
      </c>
      <c r="BQ47" s="586">
        <f t="shared" si="37"/>
        <v>0</v>
      </c>
      <c r="BR47" s="588">
        <f t="shared" si="38"/>
        <v>0</v>
      </c>
      <c r="BS47" s="589">
        <f t="shared" si="39"/>
        <v>0</v>
      </c>
      <c r="BT47" s="586">
        <f t="shared" si="64"/>
        <v>0</v>
      </c>
      <c r="BU47" s="588">
        <f t="shared" si="65"/>
        <v>0</v>
      </c>
      <c r="BV47" s="589">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36">
        <f t="shared" si="67"/>
        <v>0.95</v>
      </c>
      <c r="Y48" s="536">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73" t="s">
        <v>98</v>
      </c>
      <c r="AM48" s="574">
        <f>D82/1000</f>
        <v>0</v>
      </c>
      <c r="AN48" s="575">
        <f t="shared" si="72"/>
        <v>0</v>
      </c>
      <c r="AO48" s="576">
        <f>AM48*$AO$23</f>
        <v>0</v>
      </c>
      <c r="AP48" s="576">
        <f>AM48*$AP$23</f>
        <v>0</v>
      </c>
      <c r="AQ48" s="596">
        <f t="shared" si="27"/>
        <v>0</v>
      </c>
      <c r="AR48" s="576">
        <f t="shared" si="28"/>
        <v>0</v>
      </c>
      <c r="AS48" s="577">
        <f t="shared" si="29"/>
        <v>0</v>
      </c>
      <c r="AT48" s="574">
        <f t="shared" si="73"/>
        <v>0</v>
      </c>
      <c r="AU48" s="575">
        <f t="shared" si="73"/>
        <v>0</v>
      </c>
      <c r="AV48" s="580">
        <f t="shared" si="73"/>
        <v>0</v>
      </c>
      <c r="AW48" s="285"/>
      <c r="AX48" s="356"/>
      <c r="AY48" s="573" t="s">
        <v>98</v>
      </c>
      <c r="AZ48" s="574">
        <f>D102/1000</f>
        <v>0</v>
      </c>
      <c r="BA48" s="575">
        <f t="shared" si="74"/>
        <v>0</v>
      </c>
      <c r="BB48" s="576">
        <f t="shared" si="59"/>
        <v>0</v>
      </c>
      <c r="BC48" s="576">
        <f t="shared" si="60"/>
        <v>0</v>
      </c>
      <c r="BD48" s="574">
        <f t="shared" si="32"/>
        <v>0</v>
      </c>
      <c r="BE48" s="575">
        <f t="shared" si="33"/>
        <v>0</v>
      </c>
      <c r="BF48" s="580">
        <f t="shared" si="34"/>
        <v>0</v>
      </c>
      <c r="BG48" s="574">
        <f t="shared" si="61"/>
        <v>0</v>
      </c>
      <c r="BH48" s="575">
        <f t="shared" si="62"/>
        <v>0</v>
      </c>
      <c r="BI48" s="580">
        <f t="shared" si="63"/>
        <v>0</v>
      </c>
      <c r="BJ48" s="285"/>
      <c r="BK48" s="356"/>
      <c r="BL48" s="573" t="s">
        <v>98</v>
      </c>
      <c r="BM48" s="574">
        <f>D122/1000</f>
        <v>0</v>
      </c>
      <c r="BN48" s="575">
        <f t="shared" si="75"/>
        <v>0</v>
      </c>
      <c r="BO48" s="576">
        <f t="shared" si="52"/>
        <v>0</v>
      </c>
      <c r="BP48" s="576">
        <f t="shared" si="53"/>
        <v>0</v>
      </c>
      <c r="BQ48" s="574">
        <f t="shared" si="37"/>
        <v>0</v>
      </c>
      <c r="BR48" s="575">
        <f t="shared" si="38"/>
        <v>0</v>
      </c>
      <c r="BS48" s="580">
        <f t="shared" si="39"/>
        <v>0</v>
      </c>
      <c r="BT48" s="574">
        <f t="shared" si="64"/>
        <v>0</v>
      </c>
      <c r="BU48" s="575">
        <f t="shared" si="65"/>
        <v>0</v>
      </c>
      <c r="BV48" s="580">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36">
        <f t="shared" si="67"/>
        <v>0.96</v>
      </c>
      <c r="Y49" s="536">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73" t="s">
        <v>59</v>
      </c>
      <c r="AM49" s="574">
        <f>F82/1000</f>
        <v>0</v>
      </c>
      <c r="AN49" s="575">
        <f t="shared" ref="AN49:AN62" si="76">AM49*$AN$23</f>
        <v>0</v>
      </c>
      <c r="AO49" s="576">
        <f t="shared" ref="AO49:AO62" si="77">AM49*$AO$23</f>
        <v>0</v>
      </c>
      <c r="AP49" s="576">
        <f t="shared" ref="AP49:AP62" si="78">AM49*$AP$23</f>
        <v>0</v>
      </c>
      <c r="AQ49" s="596">
        <f t="shared" si="27"/>
        <v>0</v>
      </c>
      <c r="AR49" s="576">
        <f t="shared" si="28"/>
        <v>0</v>
      </c>
      <c r="AS49" s="577">
        <f t="shared" si="29"/>
        <v>0</v>
      </c>
      <c r="AT49" s="574">
        <f t="shared" si="73"/>
        <v>0</v>
      </c>
      <c r="AU49" s="575">
        <f t="shared" si="73"/>
        <v>0</v>
      </c>
      <c r="AV49" s="580">
        <f t="shared" si="73"/>
        <v>0</v>
      </c>
      <c r="AW49" s="285"/>
      <c r="AX49" s="356"/>
      <c r="AY49" s="573" t="s">
        <v>59</v>
      </c>
      <c r="AZ49" s="574">
        <f>F102/1000</f>
        <v>0</v>
      </c>
      <c r="BA49" s="575">
        <f t="shared" si="74"/>
        <v>0</v>
      </c>
      <c r="BB49" s="576">
        <f t="shared" si="59"/>
        <v>0</v>
      </c>
      <c r="BC49" s="576">
        <f t="shared" si="60"/>
        <v>0</v>
      </c>
      <c r="BD49" s="574">
        <f t="shared" si="32"/>
        <v>0</v>
      </c>
      <c r="BE49" s="575">
        <f t="shared" si="33"/>
        <v>0</v>
      </c>
      <c r="BF49" s="580">
        <f t="shared" si="34"/>
        <v>0</v>
      </c>
      <c r="BG49" s="574">
        <f t="shared" si="61"/>
        <v>0</v>
      </c>
      <c r="BH49" s="575">
        <f t="shared" si="62"/>
        <v>0</v>
      </c>
      <c r="BI49" s="580">
        <f t="shared" si="63"/>
        <v>0</v>
      </c>
      <c r="BJ49" s="285"/>
      <c r="BK49" s="356"/>
      <c r="BL49" s="573" t="s">
        <v>59</v>
      </c>
      <c r="BM49" s="574">
        <f>F122/1000</f>
        <v>0</v>
      </c>
      <c r="BN49" s="575">
        <f t="shared" si="75"/>
        <v>0</v>
      </c>
      <c r="BO49" s="576">
        <f t="shared" si="52"/>
        <v>0</v>
      </c>
      <c r="BP49" s="576">
        <f t="shared" si="53"/>
        <v>0</v>
      </c>
      <c r="BQ49" s="574">
        <f t="shared" si="37"/>
        <v>0</v>
      </c>
      <c r="BR49" s="575">
        <f t="shared" si="38"/>
        <v>0</v>
      </c>
      <c r="BS49" s="580">
        <f t="shared" si="39"/>
        <v>0</v>
      </c>
      <c r="BT49" s="574">
        <f t="shared" si="64"/>
        <v>0</v>
      </c>
      <c r="BU49" s="575">
        <f t="shared" si="65"/>
        <v>0</v>
      </c>
      <c r="BV49" s="580">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36">
        <f t="shared" si="67"/>
        <v>0.85</v>
      </c>
      <c r="Y50" s="536">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73" t="s">
        <v>99</v>
      </c>
      <c r="AM50" s="574">
        <f>K82/1000</f>
        <v>0</v>
      </c>
      <c r="AN50" s="575">
        <f t="shared" si="76"/>
        <v>0</v>
      </c>
      <c r="AO50" s="576">
        <f t="shared" si="77"/>
        <v>0</v>
      </c>
      <c r="AP50" s="576">
        <f t="shared" si="78"/>
        <v>0</v>
      </c>
      <c r="AQ50" s="596">
        <f t="shared" si="27"/>
        <v>0</v>
      </c>
      <c r="AR50" s="576">
        <f t="shared" si="28"/>
        <v>0</v>
      </c>
      <c r="AS50" s="577">
        <f t="shared" si="29"/>
        <v>0</v>
      </c>
      <c r="AT50" s="574">
        <f t="shared" si="73"/>
        <v>0</v>
      </c>
      <c r="AU50" s="575">
        <f t="shared" si="73"/>
        <v>0</v>
      </c>
      <c r="AV50" s="580">
        <f t="shared" si="73"/>
        <v>0</v>
      </c>
      <c r="AW50" s="285"/>
      <c r="AX50" s="356"/>
      <c r="AY50" s="573" t="s">
        <v>99</v>
      </c>
      <c r="AZ50" s="574">
        <f>K102/1000</f>
        <v>0</v>
      </c>
      <c r="BA50" s="575">
        <f t="shared" si="74"/>
        <v>0</v>
      </c>
      <c r="BB50" s="576">
        <f t="shared" si="59"/>
        <v>0</v>
      </c>
      <c r="BC50" s="576">
        <f t="shared" si="60"/>
        <v>0</v>
      </c>
      <c r="BD50" s="574">
        <f t="shared" si="32"/>
        <v>0</v>
      </c>
      <c r="BE50" s="575">
        <f t="shared" si="33"/>
        <v>0</v>
      </c>
      <c r="BF50" s="580">
        <f t="shared" si="34"/>
        <v>0</v>
      </c>
      <c r="BG50" s="574">
        <f t="shared" si="61"/>
        <v>0</v>
      </c>
      <c r="BH50" s="575">
        <f t="shared" si="62"/>
        <v>0</v>
      </c>
      <c r="BI50" s="580">
        <f t="shared" si="63"/>
        <v>0</v>
      </c>
      <c r="BJ50" s="285"/>
      <c r="BK50" s="356"/>
      <c r="BL50" s="573" t="s">
        <v>99</v>
      </c>
      <c r="BM50" s="574">
        <f>K122/1000</f>
        <v>0</v>
      </c>
      <c r="BN50" s="575">
        <f t="shared" si="75"/>
        <v>0</v>
      </c>
      <c r="BO50" s="576">
        <f t="shared" si="52"/>
        <v>0</v>
      </c>
      <c r="BP50" s="576">
        <f t="shared" si="53"/>
        <v>0</v>
      </c>
      <c r="BQ50" s="574">
        <f t="shared" si="37"/>
        <v>0</v>
      </c>
      <c r="BR50" s="575">
        <f t="shared" si="38"/>
        <v>0</v>
      </c>
      <c r="BS50" s="580">
        <f t="shared" si="39"/>
        <v>0</v>
      </c>
      <c r="BT50" s="574">
        <f t="shared" si="64"/>
        <v>0</v>
      </c>
      <c r="BU50" s="575">
        <f t="shared" si="65"/>
        <v>0</v>
      </c>
      <c r="BV50" s="580">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36"/>
      <c r="Y51" s="536"/>
      <c r="Z51" s="269"/>
      <c r="AA51" s="392"/>
      <c r="AB51" s="280"/>
      <c r="AC51" s="319">
        <f>1-AC50</f>
        <v>0.5</v>
      </c>
      <c r="AD51" s="319">
        <f>1-AD50</f>
        <v>0.5</v>
      </c>
      <c r="AE51" s="275">
        <v>5</v>
      </c>
      <c r="AF51" s="285"/>
      <c r="AG51" s="236"/>
      <c r="AH51" s="236"/>
      <c r="AI51" s="236"/>
      <c r="AK51" s="356"/>
      <c r="AL51" s="573" t="s">
        <v>107</v>
      </c>
      <c r="AM51" s="574"/>
      <c r="AN51" s="575">
        <f t="shared" si="76"/>
        <v>0</v>
      </c>
      <c r="AO51" s="576">
        <f t="shared" si="77"/>
        <v>0</v>
      </c>
      <c r="AP51" s="576">
        <f t="shared" si="78"/>
        <v>0</v>
      </c>
      <c r="AQ51" s="596">
        <f t="shared" si="27"/>
        <v>0</v>
      </c>
      <c r="AR51" s="576">
        <f t="shared" si="28"/>
        <v>0</v>
      </c>
      <c r="AS51" s="577">
        <f t="shared" si="29"/>
        <v>0</v>
      </c>
      <c r="AT51" s="574"/>
      <c r="AU51" s="575"/>
      <c r="AV51" s="580"/>
      <c r="AW51" s="285"/>
      <c r="AX51" s="356"/>
      <c r="AY51" s="573" t="s">
        <v>107</v>
      </c>
      <c r="AZ51" s="574"/>
      <c r="BA51" s="575"/>
      <c r="BB51" s="576">
        <f t="shared" si="59"/>
        <v>0</v>
      </c>
      <c r="BC51" s="576">
        <f t="shared" si="60"/>
        <v>0</v>
      </c>
      <c r="BD51" s="574">
        <f t="shared" si="32"/>
        <v>0</v>
      </c>
      <c r="BE51" s="575">
        <f t="shared" si="33"/>
        <v>0</v>
      </c>
      <c r="BF51" s="580">
        <f t="shared" si="34"/>
        <v>0</v>
      </c>
      <c r="BG51" s="574">
        <f t="shared" si="61"/>
        <v>0</v>
      </c>
      <c r="BH51" s="575">
        <f t="shared" si="62"/>
        <v>0</v>
      </c>
      <c r="BI51" s="580">
        <f t="shared" si="63"/>
        <v>0</v>
      </c>
      <c r="BJ51" s="285"/>
      <c r="BK51" s="356"/>
      <c r="BL51" s="573" t="s">
        <v>107</v>
      </c>
      <c r="BM51" s="574"/>
      <c r="BN51" s="575"/>
      <c r="BO51" s="576">
        <f t="shared" si="52"/>
        <v>0</v>
      </c>
      <c r="BP51" s="576">
        <f t="shared" si="53"/>
        <v>0</v>
      </c>
      <c r="BQ51" s="574">
        <f t="shared" si="37"/>
        <v>0</v>
      </c>
      <c r="BR51" s="575">
        <f t="shared" si="38"/>
        <v>0</v>
      </c>
      <c r="BS51" s="580">
        <f t="shared" si="39"/>
        <v>0</v>
      </c>
      <c r="BT51" s="574">
        <f t="shared" si="64"/>
        <v>0</v>
      </c>
      <c r="BU51" s="575">
        <f t="shared" si="65"/>
        <v>0</v>
      </c>
      <c r="BV51" s="580">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f t="shared" si="17"/>
        <v>0</v>
      </c>
      <c r="K52" s="322">
        <f t="shared" si="18"/>
        <v>0</v>
      </c>
      <c r="L52" s="322">
        <f t="shared" si="19"/>
        <v>0</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36">
        <f t="shared" ref="X52:Y55" si="79">W52</f>
        <v>1</v>
      </c>
      <c r="Y52" s="536">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f t="shared" ref="AH52:AH62" si="82">((J52*Z52*AA52/W52)+(K52*Z52*AA52/X52))/$J$21</f>
        <v>0</v>
      </c>
      <c r="AI52" s="236">
        <f t="shared" ref="AI52:AI62" si="83">((M52*AA52*Z52/W52)+(N52*Z52*AA52/X52))/$M$21</f>
        <v>0</v>
      </c>
      <c r="AK52" s="356"/>
      <c r="AL52" s="573" t="s">
        <v>100</v>
      </c>
      <c r="AM52" s="574">
        <f>J82/1000</f>
        <v>0</v>
      </c>
      <c r="AN52" s="575">
        <f t="shared" si="76"/>
        <v>0</v>
      </c>
      <c r="AO52" s="576">
        <f t="shared" si="77"/>
        <v>0</v>
      </c>
      <c r="AP52" s="576">
        <f t="shared" si="78"/>
        <v>0</v>
      </c>
      <c r="AQ52" s="596">
        <f t="shared" si="27"/>
        <v>0</v>
      </c>
      <c r="AR52" s="576">
        <f t="shared" si="28"/>
        <v>0</v>
      </c>
      <c r="AS52" s="577">
        <f t="shared" si="29"/>
        <v>0</v>
      </c>
      <c r="AT52" s="574">
        <f t="shared" ref="AT52:AV56" si="84">IFERROR(AQ52/W52,0)</f>
        <v>0</v>
      </c>
      <c r="AU52" s="575">
        <f t="shared" si="84"/>
        <v>0</v>
      </c>
      <c r="AV52" s="580">
        <f t="shared" si="84"/>
        <v>0</v>
      </c>
      <c r="AW52" s="285"/>
      <c r="AX52" s="356"/>
      <c r="AY52" s="573" t="s">
        <v>100</v>
      </c>
      <c r="AZ52" s="574">
        <f>J102/1000</f>
        <v>0</v>
      </c>
      <c r="BA52" s="575">
        <f>AZ52*$AN$23</f>
        <v>0</v>
      </c>
      <c r="BB52" s="576">
        <f t="shared" si="59"/>
        <v>0</v>
      </c>
      <c r="BC52" s="576">
        <f t="shared" si="60"/>
        <v>0</v>
      </c>
      <c r="BD52" s="574">
        <f t="shared" si="32"/>
        <v>0</v>
      </c>
      <c r="BE52" s="575">
        <f t="shared" si="33"/>
        <v>0</v>
      </c>
      <c r="BF52" s="580">
        <f t="shared" si="34"/>
        <v>0</v>
      </c>
      <c r="BG52" s="574">
        <f t="shared" si="61"/>
        <v>0</v>
      </c>
      <c r="BH52" s="575">
        <f t="shared" si="62"/>
        <v>0</v>
      </c>
      <c r="BI52" s="580">
        <f t="shared" si="63"/>
        <v>0</v>
      </c>
      <c r="BJ52" s="285"/>
      <c r="BK52" s="356"/>
      <c r="BL52" s="573" t="s">
        <v>100</v>
      </c>
      <c r="BM52" s="574">
        <f>J122/1000</f>
        <v>0</v>
      </c>
      <c r="BN52" s="575">
        <f>BM52*$AN$23</f>
        <v>0</v>
      </c>
      <c r="BO52" s="576">
        <f t="shared" si="52"/>
        <v>0</v>
      </c>
      <c r="BP52" s="576">
        <f t="shared" si="53"/>
        <v>0</v>
      </c>
      <c r="BQ52" s="574">
        <f t="shared" si="37"/>
        <v>0</v>
      </c>
      <c r="BR52" s="575">
        <f t="shared" si="38"/>
        <v>0</v>
      </c>
      <c r="BS52" s="580">
        <f t="shared" si="39"/>
        <v>0</v>
      </c>
      <c r="BT52" s="574">
        <f t="shared" si="64"/>
        <v>0</v>
      </c>
      <c r="BU52" s="575">
        <f t="shared" si="65"/>
        <v>0</v>
      </c>
      <c r="BV52" s="580">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36">
        <f t="shared" si="79"/>
        <v>0.95</v>
      </c>
      <c r="Y53" s="536">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73" t="s">
        <v>101</v>
      </c>
      <c r="AM53" s="574">
        <f>E82/1000</f>
        <v>0</v>
      </c>
      <c r="AN53" s="575">
        <f t="shared" si="76"/>
        <v>0</v>
      </c>
      <c r="AO53" s="576">
        <f t="shared" si="77"/>
        <v>0</v>
      </c>
      <c r="AP53" s="576">
        <f t="shared" si="78"/>
        <v>0</v>
      </c>
      <c r="AQ53" s="596">
        <f t="shared" si="27"/>
        <v>0</v>
      </c>
      <c r="AR53" s="576">
        <f t="shared" si="28"/>
        <v>0</v>
      </c>
      <c r="AS53" s="577">
        <f t="shared" si="29"/>
        <v>0</v>
      </c>
      <c r="AT53" s="574">
        <f t="shared" si="84"/>
        <v>0</v>
      </c>
      <c r="AU53" s="575">
        <f t="shared" si="84"/>
        <v>0</v>
      </c>
      <c r="AV53" s="580">
        <f t="shared" si="84"/>
        <v>0</v>
      </c>
      <c r="AW53" s="285"/>
      <c r="AX53" s="356"/>
      <c r="AY53" s="573" t="s">
        <v>101</v>
      </c>
      <c r="AZ53" s="574">
        <f>E102/1000</f>
        <v>0</v>
      </c>
      <c r="BA53" s="575">
        <f>AZ53*$AN$23</f>
        <v>0</v>
      </c>
      <c r="BB53" s="576">
        <f t="shared" si="59"/>
        <v>0</v>
      </c>
      <c r="BC53" s="576">
        <f t="shared" si="60"/>
        <v>0</v>
      </c>
      <c r="BD53" s="574">
        <f t="shared" si="32"/>
        <v>0</v>
      </c>
      <c r="BE53" s="575">
        <f t="shared" si="33"/>
        <v>0</v>
      </c>
      <c r="BF53" s="580">
        <f t="shared" si="34"/>
        <v>0</v>
      </c>
      <c r="BG53" s="574">
        <f t="shared" si="61"/>
        <v>0</v>
      </c>
      <c r="BH53" s="575">
        <f t="shared" si="62"/>
        <v>0</v>
      </c>
      <c r="BI53" s="580">
        <f t="shared" si="63"/>
        <v>0</v>
      </c>
      <c r="BJ53" s="285"/>
      <c r="BK53" s="356"/>
      <c r="BL53" s="573" t="s">
        <v>101</v>
      </c>
      <c r="BM53" s="574">
        <f>E122/1000</f>
        <v>0</v>
      </c>
      <c r="BN53" s="575">
        <f>BM53*$AN$23</f>
        <v>0</v>
      </c>
      <c r="BO53" s="576">
        <f t="shared" si="52"/>
        <v>0</v>
      </c>
      <c r="BP53" s="576">
        <f t="shared" si="53"/>
        <v>0</v>
      </c>
      <c r="BQ53" s="574">
        <f t="shared" si="37"/>
        <v>0</v>
      </c>
      <c r="BR53" s="575">
        <f t="shared" si="38"/>
        <v>0</v>
      </c>
      <c r="BS53" s="580">
        <f t="shared" si="39"/>
        <v>0</v>
      </c>
      <c r="BT53" s="574">
        <f t="shared" si="64"/>
        <v>0</v>
      </c>
      <c r="BU53" s="575">
        <f t="shared" si="65"/>
        <v>0</v>
      </c>
      <c r="BV53" s="580">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f t="shared" si="20"/>
        <v>0</v>
      </c>
      <c r="N54" s="322">
        <f t="shared" si="21"/>
        <v>0</v>
      </c>
      <c r="O54" s="322">
        <f t="shared" si="22"/>
        <v>0</v>
      </c>
      <c r="P54" s="322">
        <f t="shared" si="23"/>
        <v>0</v>
      </c>
      <c r="Q54" s="322">
        <f t="shared" si="24"/>
        <v>0</v>
      </c>
      <c r="R54" s="322">
        <f t="shared" si="25"/>
        <v>0</v>
      </c>
      <c r="S54" s="322">
        <f t="shared" si="1"/>
        <v>0</v>
      </c>
      <c r="T54" s="322">
        <f t="shared" si="2"/>
        <v>0</v>
      </c>
      <c r="U54" s="322">
        <f t="shared" si="3"/>
        <v>0</v>
      </c>
      <c r="V54" s="322">
        <v>5</v>
      </c>
      <c r="W54" s="343">
        <f>H136</f>
        <v>1</v>
      </c>
      <c r="X54" s="536">
        <f t="shared" si="79"/>
        <v>1</v>
      </c>
      <c r="Y54" s="536">
        <f t="shared" si="79"/>
        <v>1</v>
      </c>
      <c r="Z54" s="169">
        <f>3.6*8760/1000000</f>
        <v>3.1536000000000002E-2</v>
      </c>
      <c r="AA54" s="392">
        <f t="shared" si="80"/>
        <v>0.5</v>
      </c>
      <c r="AB54" s="280">
        <v>20</v>
      </c>
      <c r="AC54" s="269"/>
      <c r="AD54" s="269"/>
      <c r="AE54" s="275"/>
      <c r="AF54" s="285"/>
      <c r="AG54" s="236">
        <f t="shared" si="81"/>
        <v>0</v>
      </c>
      <c r="AH54" s="236">
        <f t="shared" si="82"/>
        <v>0</v>
      </c>
      <c r="AI54" s="236">
        <f t="shared" si="83"/>
        <v>0</v>
      </c>
      <c r="AK54" s="356"/>
      <c r="AL54" s="573" t="s">
        <v>53</v>
      </c>
      <c r="AM54" s="574">
        <f>H82/1000</f>
        <v>0</v>
      </c>
      <c r="AN54" s="575">
        <f t="shared" si="76"/>
        <v>0</v>
      </c>
      <c r="AO54" s="576">
        <f t="shared" si="77"/>
        <v>0</v>
      </c>
      <c r="AP54" s="576">
        <f t="shared" si="78"/>
        <v>0</v>
      </c>
      <c r="AQ54" s="596">
        <f t="shared" si="27"/>
        <v>0</v>
      </c>
      <c r="AR54" s="576">
        <f t="shared" si="28"/>
        <v>0</v>
      </c>
      <c r="AS54" s="577">
        <f t="shared" si="29"/>
        <v>0</v>
      </c>
      <c r="AT54" s="574">
        <f t="shared" si="84"/>
        <v>0</v>
      </c>
      <c r="AU54" s="575">
        <f t="shared" si="84"/>
        <v>0</v>
      </c>
      <c r="AV54" s="580">
        <f t="shared" si="84"/>
        <v>0</v>
      </c>
      <c r="AW54" s="285"/>
      <c r="AX54" s="356"/>
      <c r="AY54" s="573" t="s">
        <v>53</v>
      </c>
      <c r="AZ54" s="574">
        <f>H102/1000</f>
        <v>0</v>
      </c>
      <c r="BA54" s="575">
        <f>AZ54*$AN$23</f>
        <v>0</v>
      </c>
      <c r="BB54" s="576">
        <f t="shared" si="59"/>
        <v>0</v>
      </c>
      <c r="BC54" s="576">
        <f t="shared" si="60"/>
        <v>0</v>
      </c>
      <c r="BD54" s="574">
        <f t="shared" si="32"/>
        <v>0</v>
      </c>
      <c r="BE54" s="575">
        <f t="shared" si="33"/>
        <v>0</v>
      </c>
      <c r="BF54" s="580">
        <f t="shared" si="34"/>
        <v>0</v>
      </c>
      <c r="BG54" s="574">
        <f t="shared" si="61"/>
        <v>0</v>
      </c>
      <c r="BH54" s="575">
        <f t="shared" si="62"/>
        <v>0</v>
      </c>
      <c r="BI54" s="580">
        <f t="shared" si="63"/>
        <v>0</v>
      </c>
      <c r="BJ54" s="285"/>
      <c r="BK54" s="356"/>
      <c r="BL54" s="573" t="s">
        <v>53</v>
      </c>
      <c r="BM54" s="574">
        <f>H122/1000</f>
        <v>0</v>
      </c>
      <c r="BN54" s="575">
        <f>BM54*$AN$23</f>
        <v>0</v>
      </c>
      <c r="BO54" s="576">
        <f t="shared" si="52"/>
        <v>0</v>
      </c>
      <c r="BP54" s="576">
        <f t="shared" si="53"/>
        <v>0</v>
      </c>
      <c r="BQ54" s="574">
        <f t="shared" si="37"/>
        <v>0</v>
      </c>
      <c r="BR54" s="575">
        <f t="shared" si="38"/>
        <v>0</v>
      </c>
      <c r="BS54" s="580">
        <f t="shared" si="39"/>
        <v>0</v>
      </c>
      <c r="BT54" s="574">
        <f t="shared" si="64"/>
        <v>0</v>
      </c>
      <c r="BU54" s="575">
        <f t="shared" si="65"/>
        <v>0</v>
      </c>
      <c r="BV54" s="580">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36">
        <f t="shared" si="79"/>
        <v>0.95</v>
      </c>
      <c r="Y55" s="536">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73" t="s">
        <v>102</v>
      </c>
      <c r="AM55" s="574">
        <f>$L82/1000</f>
        <v>0</v>
      </c>
      <c r="AN55" s="575">
        <f t="shared" si="76"/>
        <v>0</v>
      </c>
      <c r="AO55" s="576">
        <f t="shared" si="77"/>
        <v>0</v>
      </c>
      <c r="AP55" s="576">
        <f t="shared" si="78"/>
        <v>0</v>
      </c>
      <c r="AQ55" s="596">
        <f t="shared" si="27"/>
        <v>0</v>
      </c>
      <c r="AR55" s="576">
        <f t="shared" si="28"/>
        <v>0</v>
      </c>
      <c r="AS55" s="577">
        <f t="shared" si="29"/>
        <v>0</v>
      </c>
      <c r="AT55" s="574">
        <f t="shared" si="84"/>
        <v>0</v>
      </c>
      <c r="AU55" s="575">
        <f t="shared" si="84"/>
        <v>0</v>
      </c>
      <c r="AV55" s="580">
        <f t="shared" si="84"/>
        <v>0</v>
      </c>
      <c r="AW55" s="285"/>
      <c r="AX55" s="356"/>
      <c r="AY55" s="573" t="s">
        <v>102</v>
      </c>
      <c r="AZ55" s="574">
        <f>$L102/1000</f>
        <v>0</v>
      </c>
      <c r="BA55" s="575">
        <f>AZ55*$AN$23</f>
        <v>0</v>
      </c>
      <c r="BB55" s="576">
        <f t="shared" si="59"/>
        <v>0</v>
      </c>
      <c r="BC55" s="576">
        <f t="shared" si="60"/>
        <v>0</v>
      </c>
      <c r="BD55" s="574">
        <f t="shared" si="32"/>
        <v>0</v>
      </c>
      <c r="BE55" s="575">
        <f t="shared" si="33"/>
        <v>0</v>
      </c>
      <c r="BF55" s="580">
        <f t="shared" si="34"/>
        <v>0</v>
      </c>
      <c r="BG55" s="574">
        <f t="shared" si="61"/>
        <v>0</v>
      </c>
      <c r="BH55" s="575">
        <f t="shared" si="62"/>
        <v>0</v>
      </c>
      <c r="BI55" s="580">
        <f t="shared" si="63"/>
        <v>0</v>
      </c>
      <c r="BJ55" s="285"/>
      <c r="BK55" s="356"/>
      <c r="BL55" s="573" t="s">
        <v>102</v>
      </c>
      <c r="BM55" s="574">
        <f>$L122/1000</f>
        <v>0</v>
      </c>
      <c r="BN55" s="575">
        <f>BM55*$AN$23</f>
        <v>0</v>
      </c>
      <c r="BO55" s="576">
        <f t="shared" si="52"/>
        <v>0</v>
      </c>
      <c r="BP55" s="576">
        <f t="shared" si="53"/>
        <v>0</v>
      </c>
      <c r="BQ55" s="574">
        <f t="shared" si="37"/>
        <v>0</v>
      </c>
      <c r="BR55" s="575">
        <f t="shared" si="38"/>
        <v>0</v>
      </c>
      <c r="BS55" s="580">
        <f t="shared" si="39"/>
        <v>0</v>
      </c>
      <c r="BT55" s="574">
        <f t="shared" si="64"/>
        <v>0</v>
      </c>
      <c r="BU55" s="575">
        <f t="shared" si="65"/>
        <v>0</v>
      </c>
      <c r="BV55" s="580">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86.704000000000008</v>
      </c>
      <c r="N56" s="321">
        <f t="shared" si="21"/>
        <v>0</v>
      </c>
      <c r="O56" s="321">
        <f t="shared" si="22"/>
        <v>0</v>
      </c>
      <c r="P56" s="321">
        <f t="shared" si="23"/>
        <v>86.704000000000008</v>
      </c>
      <c r="Q56" s="321">
        <f t="shared" si="24"/>
        <v>0</v>
      </c>
      <c r="R56" s="321">
        <f t="shared" si="25"/>
        <v>0</v>
      </c>
      <c r="S56" s="321">
        <f t="shared" si="1"/>
        <v>0</v>
      </c>
      <c r="T56" s="321">
        <f t="shared" si="2"/>
        <v>0</v>
      </c>
      <c r="U56" s="321">
        <f t="shared" si="3"/>
        <v>0</v>
      </c>
      <c r="V56" s="321">
        <v>5</v>
      </c>
      <c r="W56" s="343">
        <f>$N$136</f>
        <v>0.96</v>
      </c>
      <c r="X56" s="536">
        <f>$W$56</f>
        <v>0.96</v>
      </c>
      <c r="Y56" s="536">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1.4100130693069308</v>
      </c>
      <c r="AK56" s="356"/>
      <c r="AL56" s="573" t="s">
        <v>103</v>
      </c>
      <c r="AM56" s="574">
        <f>N82/1000</f>
        <v>1.774</v>
      </c>
      <c r="AN56" s="627">
        <f>AM56</f>
        <v>1.774</v>
      </c>
      <c r="AO56" s="628">
        <v>0</v>
      </c>
      <c r="AP56" s="628">
        <v>0</v>
      </c>
      <c r="AQ56" s="596">
        <f t="shared" si="27"/>
        <v>1.703054265734266</v>
      </c>
      <c r="AR56" s="576">
        <f t="shared" si="28"/>
        <v>0</v>
      </c>
      <c r="AS56" s="577">
        <f t="shared" si="29"/>
        <v>0</v>
      </c>
      <c r="AT56" s="574">
        <f t="shared" si="84"/>
        <v>1.7740148601398604</v>
      </c>
      <c r="AU56" s="575">
        <f t="shared" si="84"/>
        <v>0</v>
      </c>
      <c r="AV56" s="580">
        <f t="shared" si="84"/>
        <v>0</v>
      </c>
      <c r="AW56" s="285"/>
      <c r="AX56" s="356"/>
      <c r="AY56" s="573" t="s">
        <v>103</v>
      </c>
      <c r="AZ56" s="574">
        <f>N102/1000</f>
        <v>1.52</v>
      </c>
      <c r="BA56" s="627">
        <f>AZ56</f>
        <v>1.52</v>
      </c>
      <c r="BB56" s="628">
        <v>0</v>
      </c>
      <c r="BC56" s="628">
        <v>0</v>
      </c>
      <c r="BD56" s="574">
        <f t="shared" si="32"/>
        <v>1.4592113108910894</v>
      </c>
      <c r="BE56" s="575">
        <f t="shared" si="33"/>
        <v>0</v>
      </c>
      <c r="BF56" s="580">
        <f t="shared" si="34"/>
        <v>0</v>
      </c>
      <c r="BG56" s="574">
        <f t="shared" si="61"/>
        <v>1.5200117821782182</v>
      </c>
      <c r="BH56" s="575">
        <f t="shared" si="62"/>
        <v>0</v>
      </c>
      <c r="BI56" s="580">
        <f t="shared" si="63"/>
        <v>0</v>
      </c>
      <c r="BJ56" s="285"/>
      <c r="BK56" s="356"/>
      <c r="BL56" s="573" t="s">
        <v>103</v>
      </c>
      <c r="BM56" s="574">
        <f>N122/1000</f>
        <v>1.41</v>
      </c>
      <c r="BN56" s="627">
        <f>BM56</f>
        <v>1.41</v>
      </c>
      <c r="BO56" s="628">
        <v>0</v>
      </c>
      <c r="BP56" s="628">
        <v>0</v>
      </c>
      <c r="BQ56" s="574">
        <f t="shared" si="37"/>
        <v>1.3536125465346536</v>
      </c>
      <c r="BR56" s="575">
        <f t="shared" si="38"/>
        <v>0</v>
      </c>
      <c r="BS56" s="580">
        <f t="shared" si="39"/>
        <v>0</v>
      </c>
      <c r="BT56" s="574">
        <f t="shared" si="64"/>
        <v>1.4100130693069308</v>
      </c>
      <c r="BU56" s="575">
        <f t="shared" si="65"/>
        <v>0</v>
      </c>
      <c r="BV56" s="580">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36">
        <f>$W$56</f>
        <v>0.96</v>
      </c>
      <c r="Y57" s="536">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73" t="s">
        <v>104</v>
      </c>
      <c r="AM57" s="574"/>
      <c r="AN57" s="627">
        <f>AM57</f>
        <v>0</v>
      </c>
      <c r="AO57" s="628">
        <v>0</v>
      </c>
      <c r="AP57" s="628">
        <v>0</v>
      </c>
      <c r="AQ57" s="596">
        <f t="shared" si="27"/>
        <v>0</v>
      </c>
      <c r="AR57" s="576">
        <f t="shared" si="28"/>
        <v>0</v>
      </c>
      <c r="AS57" s="577">
        <f t="shared" si="29"/>
        <v>0</v>
      </c>
      <c r="AT57" s="574"/>
      <c r="AU57" s="575"/>
      <c r="AV57" s="580"/>
      <c r="AW57" s="285"/>
      <c r="AX57" s="356"/>
      <c r="AY57" s="573" t="s">
        <v>104</v>
      </c>
      <c r="AZ57" s="574"/>
      <c r="BA57" s="627">
        <f>AZ57</f>
        <v>0</v>
      </c>
      <c r="BB57" s="628">
        <v>0</v>
      </c>
      <c r="BC57" s="628">
        <v>0</v>
      </c>
      <c r="BD57" s="574">
        <f t="shared" si="32"/>
        <v>0</v>
      </c>
      <c r="BE57" s="575">
        <f t="shared" si="33"/>
        <v>0</v>
      </c>
      <c r="BF57" s="580">
        <f t="shared" si="34"/>
        <v>0</v>
      </c>
      <c r="BG57" s="574"/>
      <c r="BH57" s="575"/>
      <c r="BI57" s="580"/>
      <c r="BJ57" s="285"/>
      <c r="BK57" s="356"/>
      <c r="BL57" s="573" t="s">
        <v>104</v>
      </c>
      <c r="BM57" s="574"/>
      <c r="BN57" s="627">
        <f>BM57</f>
        <v>0</v>
      </c>
      <c r="BO57" s="628">
        <v>0</v>
      </c>
      <c r="BP57" s="628">
        <v>0</v>
      </c>
      <c r="BQ57" s="574">
        <f t="shared" si="37"/>
        <v>0</v>
      </c>
      <c r="BR57" s="575">
        <f t="shared" si="38"/>
        <v>0</v>
      </c>
      <c r="BS57" s="580">
        <f t="shared" si="39"/>
        <v>0</v>
      </c>
      <c r="BT57" s="574"/>
      <c r="BU57" s="575"/>
      <c r="BV57" s="580"/>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160.17099999999999</v>
      </c>
      <c r="N58" s="324">
        <f t="shared" si="21"/>
        <v>0</v>
      </c>
      <c r="O58" s="324">
        <f t="shared" si="22"/>
        <v>0</v>
      </c>
      <c r="P58" s="324">
        <f t="shared" si="23"/>
        <v>160.17099999999999</v>
      </c>
      <c r="Q58" s="324">
        <f t="shared" si="24"/>
        <v>0</v>
      </c>
      <c r="R58" s="324">
        <f t="shared" si="25"/>
        <v>0</v>
      </c>
      <c r="S58" s="324">
        <f t="shared" si="1"/>
        <v>0</v>
      </c>
      <c r="T58" s="324">
        <f t="shared" si="2"/>
        <v>0</v>
      </c>
      <c r="U58" s="324">
        <f t="shared" si="3"/>
        <v>0</v>
      </c>
      <c r="V58" s="572">
        <v>5</v>
      </c>
      <c r="W58" s="345">
        <f>M136</f>
        <v>0.95</v>
      </c>
      <c r="X58" s="537">
        <f>W58</f>
        <v>0.95</v>
      </c>
      <c r="Y58" s="537">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2.6321796018759773</v>
      </c>
      <c r="AK58" s="355"/>
      <c r="AL58" s="581" t="s">
        <v>61</v>
      </c>
      <c r="AM58" s="574">
        <f>M82/1000</f>
        <v>2.9260440000000001</v>
      </c>
      <c r="AN58" s="575">
        <f t="shared" si="76"/>
        <v>2.9260440000000001</v>
      </c>
      <c r="AO58" s="576">
        <f t="shared" si="77"/>
        <v>0</v>
      </c>
      <c r="AP58" s="576">
        <f t="shared" si="78"/>
        <v>0</v>
      </c>
      <c r="AQ58" s="596">
        <f t="shared" si="27"/>
        <v>2.7797519040959044</v>
      </c>
      <c r="AR58" s="576">
        <f t="shared" si="28"/>
        <v>0</v>
      </c>
      <c r="AS58" s="577">
        <f t="shared" si="29"/>
        <v>0</v>
      </c>
      <c r="AT58" s="574">
        <f t="shared" ref="AT58:AV62" si="86">IFERROR(AQ58/W58,0)</f>
        <v>2.9260546358904258</v>
      </c>
      <c r="AU58" s="575">
        <f t="shared" si="86"/>
        <v>0</v>
      </c>
      <c r="AV58" s="580">
        <f t="shared" si="86"/>
        <v>0</v>
      </c>
      <c r="AW58" s="285"/>
      <c r="AX58" s="355"/>
      <c r="AY58" s="581" t="s">
        <v>61</v>
      </c>
      <c r="AZ58" s="574">
        <f>M102/1000</f>
        <v>2.8148040000000001</v>
      </c>
      <c r="BA58" s="575">
        <f>AZ58*$AN$23</f>
        <v>2.8148040000000001</v>
      </c>
      <c r="BB58" s="576">
        <f t="shared" si="59"/>
        <v>0</v>
      </c>
      <c r="BC58" s="576">
        <f t="shared" si="60"/>
        <v>0</v>
      </c>
      <c r="BD58" s="574">
        <f t="shared" si="32"/>
        <v>2.6740654574257428</v>
      </c>
      <c r="BE58" s="575">
        <f t="shared" si="33"/>
        <v>0</v>
      </c>
      <c r="BF58" s="580">
        <f t="shared" si="34"/>
        <v>0</v>
      </c>
      <c r="BG58" s="574">
        <f t="shared" ref="BG58:BI62" si="87">IFERROR(BD58/W58,0)</f>
        <v>2.8148057446586767</v>
      </c>
      <c r="BH58" s="575">
        <f t="shared" si="87"/>
        <v>0</v>
      </c>
      <c r="BI58" s="580">
        <f t="shared" si="87"/>
        <v>0</v>
      </c>
      <c r="BJ58" s="285"/>
      <c r="BK58" s="355"/>
      <c r="BL58" s="581" t="s">
        <v>61</v>
      </c>
      <c r="BM58" s="574">
        <f>M122/1000</f>
        <v>2.6321759999999998</v>
      </c>
      <c r="BN58" s="575">
        <f>BM58*$AN$23</f>
        <v>2.6321759999999998</v>
      </c>
      <c r="BO58" s="576">
        <f t="shared" si="52"/>
        <v>0</v>
      </c>
      <c r="BP58" s="576">
        <f t="shared" si="53"/>
        <v>0</v>
      </c>
      <c r="BQ58" s="574">
        <f t="shared" si="37"/>
        <v>2.5005706217821784</v>
      </c>
      <c r="BR58" s="575">
        <f t="shared" si="38"/>
        <v>0</v>
      </c>
      <c r="BS58" s="580">
        <f t="shared" si="39"/>
        <v>0</v>
      </c>
      <c r="BT58" s="574">
        <f t="shared" ref="BT58:BV62" si="88">IFERROR(BQ58/W58,0)</f>
        <v>2.6321796018759773</v>
      </c>
      <c r="BU58" s="575">
        <f t="shared" si="88"/>
        <v>0</v>
      </c>
      <c r="BV58" s="580">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1236.4069999999999</v>
      </c>
      <c r="N59" s="323">
        <f t="shared" si="21"/>
        <v>0</v>
      </c>
      <c r="O59" s="323">
        <f t="shared" si="22"/>
        <v>0</v>
      </c>
      <c r="P59" s="323">
        <f t="shared" si="23"/>
        <v>1236.4069999999999</v>
      </c>
      <c r="Q59" s="323">
        <f t="shared" si="24"/>
        <v>0</v>
      </c>
      <c r="R59" s="323">
        <f t="shared" si="25"/>
        <v>0</v>
      </c>
      <c r="S59" s="323">
        <f t="shared" si="1"/>
        <v>0</v>
      </c>
      <c r="T59" s="323">
        <f t="shared" si="2"/>
        <v>0</v>
      </c>
      <c r="U59" s="323">
        <f t="shared" si="3"/>
        <v>0</v>
      </c>
      <c r="V59" s="323">
        <v>5</v>
      </c>
      <c r="W59" s="343">
        <v>1</v>
      </c>
      <c r="X59" s="536">
        <v>1</v>
      </c>
      <c r="Y59" s="536">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19.302639184158416</v>
      </c>
      <c r="AK59" s="545" t="str">
        <f ca="1">F59</f>
        <v>ISDLA</v>
      </c>
      <c r="AL59" s="592" t="s">
        <v>61</v>
      </c>
      <c r="AM59" s="593">
        <f>M80/1000</f>
        <v>21.457656</v>
      </c>
      <c r="AN59" s="594">
        <f t="shared" si="76"/>
        <v>21.457656</v>
      </c>
      <c r="AO59" s="597">
        <f t="shared" si="77"/>
        <v>0</v>
      </c>
      <c r="AP59" s="597">
        <f t="shared" si="78"/>
        <v>0</v>
      </c>
      <c r="AQ59" s="598">
        <f t="shared" si="27"/>
        <v>21.457664631368633</v>
      </c>
      <c r="AR59" s="597">
        <f t="shared" si="28"/>
        <v>0</v>
      </c>
      <c r="AS59" s="599">
        <f t="shared" si="29"/>
        <v>0</v>
      </c>
      <c r="AT59" s="593">
        <f t="shared" si="86"/>
        <v>21.457664631368633</v>
      </c>
      <c r="AU59" s="594">
        <f t="shared" si="86"/>
        <v>0</v>
      </c>
      <c r="AV59" s="595">
        <f t="shared" si="86"/>
        <v>0</v>
      </c>
      <c r="AW59" s="285"/>
      <c r="AX59" s="545" t="str">
        <f t="shared" ca="1" si="9"/>
        <v>ISDLA</v>
      </c>
      <c r="AY59" s="592" t="s">
        <v>61</v>
      </c>
      <c r="AZ59" s="593">
        <f>M100/1000</f>
        <v>20.641895999999999</v>
      </c>
      <c r="BA59" s="594">
        <f>AZ59*$AN$23</f>
        <v>20.641895999999999</v>
      </c>
      <c r="BB59" s="597">
        <f t="shared" si="59"/>
        <v>0</v>
      </c>
      <c r="BC59" s="597">
        <f t="shared" si="60"/>
        <v>0</v>
      </c>
      <c r="BD59" s="593">
        <f t="shared" si="32"/>
        <v>20.641904411881189</v>
      </c>
      <c r="BE59" s="594">
        <f t="shared" si="33"/>
        <v>0</v>
      </c>
      <c r="BF59" s="595">
        <f t="shared" si="34"/>
        <v>0</v>
      </c>
      <c r="BG59" s="593">
        <f t="shared" si="87"/>
        <v>20.641904411881189</v>
      </c>
      <c r="BH59" s="594">
        <f t="shared" si="87"/>
        <v>0</v>
      </c>
      <c r="BI59" s="595">
        <f t="shared" si="87"/>
        <v>0</v>
      </c>
      <c r="BJ59" s="285"/>
      <c r="BK59" s="545" t="str">
        <f ca="1">AK59</f>
        <v>ISDLA</v>
      </c>
      <c r="BL59" s="592" t="s">
        <v>61</v>
      </c>
      <c r="BM59" s="593">
        <f>M120/1000</f>
        <v>19.302624000000002</v>
      </c>
      <c r="BN59" s="594">
        <f>BM59*$AN$23</f>
        <v>19.302624000000002</v>
      </c>
      <c r="BO59" s="597">
        <f t="shared" si="52"/>
        <v>0</v>
      </c>
      <c r="BP59" s="597">
        <f t="shared" si="53"/>
        <v>0</v>
      </c>
      <c r="BQ59" s="593">
        <f t="shared" si="37"/>
        <v>19.302639184158416</v>
      </c>
      <c r="BR59" s="594">
        <f t="shared" si="38"/>
        <v>0</v>
      </c>
      <c r="BS59" s="595">
        <f t="shared" si="39"/>
        <v>0</v>
      </c>
      <c r="BT59" s="593">
        <f t="shared" si="88"/>
        <v>19.302639184158416</v>
      </c>
      <c r="BU59" s="594">
        <f t="shared" si="88"/>
        <v>0</v>
      </c>
      <c r="BV59" s="595">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2753.8140000000003</v>
      </c>
      <c r="N60" s="324">
        <f t="shared" si="21"/>
        <v>0</v>
      </c>
      <c r="O60" s="324">
        <f t="shared" si="22"/>
        <v>0</v>
      </c>
      <c r="P60" s="324">
        <f t="shared" si="23"/>
        <v>2753.8140000000003</v>
      </c>
      <c r="Q60" s="324">
        <f t="shared" si="24"/>
        <v>0</v>
      </c>
      <c r="R60" s="324">
        <f t="shared" si="25"/>
        <v>0</v>
      </c>
      <c r="S60" s="324">
        <f t="shared" si="1"/>
        <v>0</v>
      </c>
      <c r="T60" s="324">
        <f t="shared" si="2"/>
        <v>0</v>
      </c>
      <c r="U60" s="324">
        <f t="shared" si="3"/>
        <v>0</v>
      </c>
      <c r="V60" s="572">
        <v>5</v>
      </c>
      <c r="W60" s="345">
        <v>1</v>
      </c>
      <c r="X60" s="537">
        <v>1</v>
      </c>
      <c r="Y60" s="537">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42.992216982178228</v>
      </c>
      <c r="AK60" s="550" t="str">
        <f ca="1">F60</f>
        <v>ISDEM</v>
      </c>
      <c r="AL60" s="592" t="s">
        <v>61</v>
      </c>
      <c r="AM60" s="593">
        <f>M81/1000</f>
        <v>47.792052000000005</v>
      </c>
      <c r="AN60" s="594">
        <f t="shared" si="76"/>
        <v>47.792052000000005</v>
      </c>
      <c r="AO60" s="597">
        <f t="shared" si="77"/>
        <v>0</v>
      </c>
      <c r="AP60" s="597">
        <f t="shared" si="78"/>
        <v>0</v>
      </c>
      <c r="AQ60" s="598">
        <f t="shared" si="27"/>
        <v>47.792067644355654</v>
      </c>
      <c r="AR60" s="597">
        <f t="shared" si="28"/>
        <v>0</v>
      </c>
      <c r="AS60" s="599">
        <f t="shared" si="29"/>
        <v>0</v>
      </c>
      <c r="AT60" s="593">
        <f t="shared" si="86"/>
        <v>47.792067644355654</v>
      </c>
      <c r="AU60" s="594">
        <f t="shared" si="86"/>
        <v>0</v>
      </c>
      <c r="AV60" s="595">
        <f t="shared" si="86"/>
        <v>0</v>
      </c>
      <c r="AW60" s="285"/>
      <c r="AX60" s="550" t="str">
        <f t="shared" ca="1" si="9"/>
        <v>ISDEM</v>
      </c>
      <c r="AY60" s="592" t="s">
        <v>61</v>
      </c>
      <c r="AZ60" s="593">
        <f>M101/1000</f>
        <v>45.975131999999995</v>
      </c>
      <c r="BA60" s="594">
        <f>AZ60*$AN$23</f>
        <v>45.975131999999995</v>
      </c>
      <c r="BB60" s="597">
        <f t="shared" si="59"/>
        <v>0</v>
      </c>
      <c r="BC60" s="597">
        <f t="shared" si="60"/>
        <v>0</v>
      </c>
      <c r="BD60" s="593">
        <f t="shared" si="32"/>
        <v>45.975132285148518</v>
      </c>
      <c r="BE60" s="594">
        <f t="shared" si="33"/>
        <v>0</v>
      </c>
      <c r="BF60" s="595">
        <f t="shared" si="34"/>
        <v>0</v>
      </c>
      <c r="BG60" s="593">
        <f t="shared" si="87"/>
        <v>45.975132285148518</v>
      </c>
      <c r="BH60" s="594">
        <f t="shared" si="87"/>
        <v>0</v>
      </c>
      <c r="BI60" s="595">
        <f t="shared" si="87"/>
        <v>0</v>
      </c>
      <c r="BJ60" s="285"/>
      <c r="BK60" s="550" t="str">
        <f ca="1">AK60</f>
        <v>ISDEM</v>
      </c>
      <c r="BL60" s="592" t="s">
        <v>61</v>
      </c>
      <c r="BM60" s="593">
        <f>M121/1000</f>
        <v>42.992207999999998</v>
      </c>
      <c r="BN60" s="594">
        <f>BM60*$AN$23</f>
        <v>42.992207999999998</v>
      </c>
      <c r="BO60" s="597">
        <f t="shared" si="52"/>
        <v>0</v>
      </c>
      <c r="BP60" s="597">
        <f t="shared" si="53"/>
        <v>0</v>
      </c>
      <c r="BQ60" s="593">
        <f t="shared" si="37"/>
        <v>42.992216982178228</v>
      </c>
      <c r="BR60" s="594">
        <f t="shared" si="38"/>
        <v>0</v>
      </c>
      <c r="BS60" s="595">
        <f t="shared" si="39"/>
        <v>0</v>
      </c>
      <c r="BT60" s="593">
        <f t="shared" si="88"/>
        <v>42.992216982178228</v>
      </c>
      <c r="BU60" s="594">
        <f t="shared" si="88"/>
        <v>0</v>
      </c>
      <c r="BV60" s="595">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36">
        <f>W61</f>
        <v>1</v>
      </c>
      <c r="Y61" s="536">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50" t="str">
        <f ca="1">F61</f>
        <v>ISDTF</v>
      </c>
      <c r="AL61" s="592" t="s">
        <v>59</v>
      </c>
      <c r="AM61" s="593">
        <f>(F79+G79)/1000</f>
        <v>0.96513749999999998</v>
      </c>
      <c r="AN61" s="594">
        <f t="shared" si="76"/>
        <v>0.96513749999999998</v>
      </c>
      <c r="AO61" s="597">
        <f t="shared" si="77"/>
        <v>0</v>
      </c>
      <c r="AP61" s="597">
        <f t="shared" si="78"/>
        <v>0</v>
      </c>
      <c r="AQ61" s="598">
        <f t="shared" si="27"/>
        <v>0.96514021978021991</v>
      </c>
      <c r="AR61" s="597">
        <f t="shared" si="28"/>
        <v>0</v>
      </c>
      <c r="AS61" s="599">
        <f t="shared" si="29"/>
        <v>0</v>
      </c>
      <c r="AT61" s="593">
        <f t="shared" si="86"/>
        <v>0.96514021978021991</v>
      </c>
      <c r="AU61" s="594">
        <f t="shared" si="86"/>
        <v>0</v>
      </c>
      <c r="AV61" s="595">
        <f t="shared" si="86"/>
        <v>0</v>
      </c>
      <c r="AW61" s="285"/>
      <c r="AX61" s="550" t="str">
        <f t="shared" ca="1" si="9"/>
        <v>ISDTF</v>
      </c>
      <c r="AY61" s="592" t="s">
        <v>59</v>
      </c>
      <c r="AZ61" s="593">
        <f>(F99+G99)/1000</f>
        <v>2.5367294999999999</v>
      </c>
      <c r="BA61" s="594">
        <f>AZ61*$AN$23</f>
        <v>2.5367294999999999</v>
      </c>
      <c r="BB61" s="597">
        <f t="shared" si="59"/>
        <v>0</v>
      </c>
      <c r="BC61" s="597">
        <f t="shared" si="60"/>
        <v>0</v>
      </c>
      <c r="BD61" s="593">
        <f t="shared" si="32"/>
        <v>2.5367433504950498</v>
      </c>
      <c r="BE61" s="594">
        <f t="shared" si="33"/>
        <v>0</v>
      </c>
      <c r="BF61" s="595">
        <f t="shared" si="34"/>
        <v>0</v>
      </c>
      <c r="BG61" s="593">
        <f t="shared" si="87"/>
        <v>2.5367433504950498</v>
      </c>
      <c r="BH61" s="594">
        <f t="shared" si="87"/>
        <v>0</v>
      </c>
      <c r="BI61" s="595">
        <f t="shared" si="87"/>
        <v>0</v>
      </c>
      <c r="BJ61" s="285"/>
      <c r="BK61" s="550" t="str">
        <f ca="1">AK61</f>
        <v>ISDTF</v>
      </c>
      <c r="BL61" s="592" t="s">
        <v>59</v>
      </c>
      <c r="BM61" s="593">
        <f>(F119+G119)/1000</f>
        <v>0.32195249999999997</v>
      </c>
      <c r="BN61" s="594">
        <f>BM61*$AN$23</f>
        <v>0.32195249999999997</v>
      </c>
      <c r="BO61" s="597">
        <f t="shared" si="52"/>
        <v>0</v>
      </c>
      <c r="BP61" s="597">
        <f t="shared" si="53"/>
        <v>0</v>
      </c>
      <c r="BQ61" s="593">
        <f t="shared" si="37"/>
        <v>0.32196382574257426</v>
      </c>
      <c r="BR61" s="594">
        <f t="shared" si="38"/>
        <v>0</v>
      </c>
      <c r="BS61" s="595">
        <f t="shared" si="39"/>
        <v>0</v>
      </c>
      <c r="BT61" s="593">
        <f t="shared" si="88"/>
        <v>0.32196382574257426</v>
      </c>
      <c r="BU61" s="594">
        <f t="shared" si="88"/>
        <v>0</v>
      </c>
      <c r="BV61" s="595">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f t="shared" si="20"/>
        <v>0.95899999999999996</v>
      </c>
      <c r="N62" s="323">
        <f t="shared" si="21"/>
        <v>0</v>
      </c>
      <c r="O62" s="323">
        <f t="shared" si="22"/>
        <v>0</v>
      </c>
      <c r="P62" s="323">
        <f t="shared" si="23"/>
        <v>0.95899999999999996</v>
      </c>
      <c r="Q62" s="323">
        <f t="shared" si="24"/>
        <v>0</v>
      </c>
      <c r="R62" s="323">
        <f t="shared" si="25"/>
        <v>0</v>
      </c>
      <c r="S62" s="323">
        <f t="shared" si="1"/>
        <v>0</v>
      </c>
      <c r="T62" s="323">
        <f t="shared" si="2"/>
        <v>0</v>
      </c>
      <c r="U62" s="323">
        <f t="shared" si="3"/>
        <v>0</v>
      </c>
      <c r="V62" s="323">
        <v>5</v>
      </c>
      <c r="W62" s="343">
        <v>1</v>
      </c>
      <c r="X62" s="536">
        <f>W62</f>
        <v>1</v>
      </c>
      <c r="Y62" s="536">
        <f>X62</f>
        <v>1</v>
      </c>
      <c r="Z62" s="177">
        <f t="shared" si="85"/>
        <v>3.1536000000000002E-2</v>
      </c>
      <c r="AA62" s="392">
        <f>$AA$61</f>
        <v>0.5</v>
      </c>
      <c r="AB62" s="280">
        <v>20</v>
      </c>
      <c r="AC62" s="177"/>
      <c r="AD62" s="177"/>
      <c r="AE62" s="180"/>
      <c r="AF62" s="285"/>
      <c r="AG62" s="236">
        <f t="shared" si="81"/>
        <v>0.91112576223776243</v>
      </c>
      <c r="AH62" s="236">
        <f t="shared" si="82"/>
        <v>1.5767999999999997E-2</v>
      </c>
      <c r="AI62" s="236">
        <f t="shared" si="83"/>
        <v>1.497179405940594E-2</v>
      </c>
      <c r="AK62" s="550" t="str">
        <f ca="1">F62</f>
        <v>ISDFL</v>
      </c>
      <c r="AL62" s="546" t="s">
        <v>53</v>
      </c>
      <c r="AM62" s="547">
        <f>H79/1000</f>
        <v>0.91111786759736535</v>
      </c>
      <c r="AN62" s="548">
        <f t="shared" si="76"/>
        <v>0.91111786759736535</v>
      </c>
      <c r="AO62" s="549">
        <f t="shared" si="77"/>
        <v>0</v>
      </c>
      <c r="AP62" s="549">
        <f t="shared" si="78"/>
        <v>0</v>
      </c>
      <c r="AQ62" s="559">
        <f t="shared" si="27"/>
        <v>0.91112576223776243</v>
      </c>
      <c r="AR62" s="549">
        <f t="shared" si="28"/>
        <v>0</v>
      </c>
      <c r="AS62" s="555">
        <f t="shared" si="29"/>
        <v>0</v>
      </c>
      <c r="AT62" s="560">
        <f t="shared" si="86"/>
        <v>0.91112576223776243</v>
      </c>
      <c r="AU62" s="551">
        <f t="shared" si="86"/>
        <v>0</v>
      </c>
      <c r="AV62" s="552">
        <f t="shared" si="86"/>
        <v>0</v>
      </c>
      <c r="AW62" s="285"/>
      <c r="AX62" s="550" t="str">
        <f t="shared" ca="1" si="9"/>
        <v>ISDFL</v>
      </c>
      <c r="AY62" s="546" t="s">
        <v>53</v>
      </c>
      <c r="AZ62" s="547">
        <f>H99/1000</f>
        <v>1.5753598997709051E-2</v>
      </c>
      <c r="BA62" s="548">
        <f>AZ62*$AN$23</f>
        <v>1.5753598997709051E-2</v>
      </c>
      <c r="BB62" s="549">
        <f t="shared" si="59"/>
        <v>0</v>
      </c>
      <c r="BC62" s="549">
        <f t="shared" si="60"/>
        <v>0</v>
      </c>
      <c r="BD62" s="560">
        <f t="shared" si="32"/>
        <v>1.5767999999999997E-2</v>
      </c>
      <c r="BE62" s="551">
        <f t="shared" si="33"/>
        <v>0</v>
      </c>
      <c r="BF62" s="552">
        <f t="shared" si="34"/>
        <v>0</v>
      </c>
      <c r="BG62" s="560">
        <f t="shared" si="87"/>
        <v>1.5767999999999997E-2</v>
      </c>
      <c r="BH62" s="551">
        <f t="shared" si="87"/>
        <v>0</v>
      </c>
      <c r="BI62" s="552">
        <f t="shared" si="87"/>
        <v>0</v>
      </c>
      <c r="BJ62" s="285"/>
      <c r="BK62" s="550" t="str">
        <f ca="1">AK62</f>
        <v>ISDFL</v>
      </c>
      <c r="BL62" s="546" t="s">
        <v>53</v>
      </c>
      <c r="BM62" s="547">
        <f>H119/1000</f>
        <v>1.495768908934708E-2</v>
      </c>
      <c r="BN62" s="548">
        <f>BM62*$AN$23</f>
        <v>1.495768908934708E-2</v>
      </c>
      <c r="BO62" s="549">
        <f t="shared" si="52"/>
        <v>0</v>
      </c>
      <c r="BP62" s="549">
        <f t="shared" si="53"/>
        <v>0</v>
      </c>
      <c r="BQ62" s="560">
        <f t="shared" si="37"/>
        <v>1.497179405940594E-2</v>
      </c>
      <c r="BR62" s="551">
        <f t="shared" si="38"/>
        <v>0</v>
      </c>
      <c r="BS62" s="552">
        <f t="shared" si="39"/>
        <v>0</v>
      </c>
      <c r="BT62" s="560">
        <f t="shared" si="88"/>
        <v>1.497179405940594E-2</v>
      </c>
      <c r="BU62" s="551">
        <f t="shared" si="88"/>
        <v>0</v>
      </c>
      <c r="BV62" s="552">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20"/>
      <c r="H64" s="521"/>
      <c r="I64" s="521"/>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23"/>
      <c r="AG66" s="525"/>
      <c r="AH66" s="522"/>
      <c r="AI66" s="522"/>
      <c r="AJ66" s="522"/>
      <c r="AK66" s="522"/>
      <c r="AL66" s="79"/>
      <c r="AM66" s="45"/>
      <c r="BE66" s="626"/>
      <c r="BF66" s="626"/>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510</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513</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matrix'!B13</f>
        <v>Biomass</v>
      </c>
      <c r="U85" s="117"/>
      <c r="V85" s="118">
        <f>+INDEX('Energy matrix'!C13:N13,1,$D$2)</f>
        <v>0</v>
      </c>
      <c r="W85" s="117"/>
      <c r="X85" s="25">
        <f t="shared" si="94"/>
        <v>0</v>
      </c>
      <c r="AB85" s="85"/>
    </row>
    <row r="86" spans="3:28" ht="12.75" customHeight="1">
      <c r="O86" s="86"/>
      <c r="T86" s="117" t="str">
        <f>+'Energy matrix'!B14</f>
        <v>Waste</v>
      </c>
      <c r="U86" s="117"/>
      <c r="V86" s="118">
        <f>+INDEX('Energy matrix'!C14:N14,1,$D$2)</f>
        <v>0</v>
      </c>
      <c r="W86" s="117"/>
      <c r="X86" s="25">
        <f t="shared" si="94"/>
        <v>0</v>
      </c>
    </row>
    <row r="87" spans="3:28" ht="12.75" customHeight="1">
      <c r="O87" s="86"/>
      <c r="T87" s="117" t="str">
        <f>+'Energy matrix'!B15</f>
        <v>Electricity</v>
      </c>
      <c r="U87" s="117"/>
      <c r="V87" s="118">
        <f>+INDEX('Energy matrix'!C15:N15,1,$D$2)</f>
        <v>97534.8</v>
      </c>
      <c r="W87" s="117"/>
      <c r="X87" s="25">
        <f t="shared" si="94"/>
        <v>9.7534800000000005E-2</v>
      </c>
    </row>
    <row r="88" spans="3:28" ht="12.75" customHeight="1">
      <c r="O88" s="86"/>
      <c r="T88" s="122" t="str">
        <f>+'Energy matrix'!B16</f>
        <v>District Heating</v>
      </c>
      <c r="U88" s="122"/>
      <c r="V88" s="123">
        <f>+INDEX('Energy matrix'!C16:N16,1,$D$2)</f>
        <v>1774</v>
      </c>
      <c r="W88" s="122"/>
      <c r="X88" s="25">
        <f t="shared" si="94"/>
        <v>1.774E-3</v>
      </c>
    </row>
    <row r="89" spans="3:28" ht="12.75" customHeight="1">
      <c r="O89" s="86"/>
      <c r="T89" s="46"/>
      <c r="U89" s="46"/>
      <c r="W89" s="46"/>
    </row>
    <row r="90" spans="3:28" s="285" customFormat="1" ht="12.75" customHeight="1">
      <c r="C90" s="259" t="s">
        <v>511</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str">
        <f t="array" ref="E93">+IF(AND(UPPER(TRANSPOSE(T98:T108))=UPPER(MID(D96:N96,4,99))),"Ok","ERROR")</f>
        <v>Ok</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514</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f t="shared" si="109"/>
        <v>0</v>
      </c>
      <c r="K97" s="14">
        <f t="shared" si="109"/>
        <v>0</v>
      </c>
      <c r="L97" s="14">
        <f t="shared" si="109"/>
        <v>0</v>
      </c>
      <c r="M97" s="14">
        <f t="shared" si="109"/>
        <v>15012.288</v>
      </c>
      <c r="N97" s="14">
        <f t="shared" si="109"/>
        <v>0</v>
      </c>
      <c r="O97" s="86"/>
      <c r="R97" s="287"/>
      <c r="S97" s="287"/>
      <c r="T97" s="48" t="s">
        <v>209</v>
      </c>
      <c r="U97" s="48"/>
      <c r="V97" s="126" t="str">
        <f>+INDEX('Energy matrix'!C24:N24,1,$D$2)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f t="shared" si="110"/>
        <v>0</v>
      </c>
      <c r="K98" s="14">
        <f t="shared" si="110"/>
        <v>0</v>
      </c>
      <c r="L98" s="14">
        <f t="shared" si="110"/>
        <v>0</v>
      </c>
      <c r="M98" s="14">
        <f t="shared" si="110"/>
        <v>9382.68</v>
      </c>
      <c r="N98" s="14">
        <f t="shared" si="110"/>
        <v>0</v>
      </c>
      <c r="O98" s="86"/>
      <c r="R98" s="287"/>
      <c r="S98" s="287"/>
      <c r="T98" s="117" t="str">
        <f>'Energy matrix'!B25</f>
        <v>Coal</v>
      </c>
      <c r="U98" s="117"/>
      <c r="V98" s="118">
        <f>+INDEX('Energy matrix'!C25:N25,1,$D$2)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f t="shared" si="111"/>
        <v>0</v>
      </c>
      <c r="K99" s="19">
        <f t="shared" si="111"/>
        <v>0</v>
      </c>
      <c r="L99" s="19">
        <f t="shared" si="111"/>
        <v>0</v>
      </c>
      <c r="M99" s="19">
        <f t="shared" si="111"/>
        <v>0</v>
      </c>
      <c r="N99" s="19">
        <f t="shared" si="111"/>
        <v>0</v>
      </c>
      <c r="O99" s="86"/>
      <c r="R99" s="287"/>
      <c r="S99" s="287"/>
      <c r="T99" s="117" t="str">
        <f>'Energy matrix'!B26</f>
        <v>Fuel Oil</v>
      </c>
      <c r="U99" s="117"/>
      <c r="V99" s="118">
        <f>+INDEX('Energy matrix'!C26:N26,1,$D$2)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f t="shared" si="112"/>
        <v>0</v>
      </c>
      <c r="K100" s="14">
        <f t="shared" si="112"/>
        <v>0</v>
      </c>
      <c r="L100" s="14">
        <f t="shared" si="112"/>
        <v>0</v>
      </c>
      <c r="M100" s="14">
        <f t="shared" si="112"/>
        <v>20641.896000000001</v>
      </c>
      <c r="N100" s="14">
        <f t="shared" si="112"/>
        <v>0</v>
      </c>
      <c r="O100" s="86"/>
      <c r="R100" s="287"/>
      <c r="S100" s="287"/>
      <c r="T100" s="117" t="str">
        <f>'Energy matrix'!B27</f>
        <v>Diesel</v>
      </c>
      <c r="U100" s="117"/>
      <c r="V100" s="118">
        <f>+INDEX('Energy matrix'!C27:N27,1,$D$2)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f t="shared" si="113"/>
        <v>0</v>
      </c>
      <c r="K101" s="14">
        <f t="shared" si="113"/>
        <v>0</v>
      </c>
      <c r="L101" s="14">
        <f t="shared" si="113"/>
        <v>0</v>
      </c>
      <c r="M101" s="14">
        <f t="shared" si="113"/>
        <v>45975.131999999998</v>
      </c>
      <c r="N101" s="14">
        <f t="shared" si="113"/>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f t="shared" si="114"/>
        <v>0</v>
      </c>
      <c r="K102" s="14">
        <f t="shared" si="114"/>
        <v>0</v>
      </c>
      <c r="L102" s="14">
        <f t="shared" si="114"/>
        <v>0</v>
      </c>
      <c r="M102" s="14">
        <f t="shared" si="114"/>
        <v>2814.8040000000001</v>
      </c>
      <c r="N102" s="14">
        <f t="shared" si="114"/>
        <v>1520</v>
      </c>
      <c r="O102" s="86"/>
      <c r="R102" s="287"/>
      <c r="S102" s="287"/>
      <c r="T102" s="117" t="str">
        <f>'Energy matrix'!B29</f>
        <v>LPG</v>
      </c>
      <c r="U102" s="117"/>
      <c r="V102" s="118">
        <f>+INDEX('Energy matrix'!C29:N29,1,$D$2)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f t="shared" si="115"/>
        <v>0</v>
      </c>
      <c r="K103" s="18">
        <f t="shared" si="115"/>
        <v>0</v>
      </c>
      <c r="L103" s="18">
        <f t="shared" si="115"/>
        <v>0</v>
      </c>
      <c r="M103" s="18">
        <f t="shared" si="115"/>
        <v>93826.8</v>
      </c>
      <c r="N103" s="18">
        <f t="shared" si="115"/>
        <v>1520</v>
      </c>
      <c r="O103" s="86"/>
      <c r="R103" s="287"/>
      <c r="S103" s="287"/>
      <c r="T103" s="117" t="str">
        <f>'Energy matrix'!B31</f>
        <v>Natural gas</v>
      </c>
      <c r="U103" s="117"/>
      <c r="V103" s="118">
        <f>+INDEX('Energy matrix'!C31:N31,1,$D$2)</f>
        <v>88242.3</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93826.8</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225309.56800000003</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matrix'!B43</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f t="shared" si="126"/>
        <v>10.7685</v>
      </c>
      <c r="I117" s="14">
        <f t="shared" si="126"/>
        <v>86104.111999999994</v>
      </c>
      <c r="J117" s="14">
        <f t="shared" si="126"/>
        <v>0</v>
      </c>
      <c r="K117" s="14">
        <f t="shared" si="126"/>
        <v>0</v>
      </c>
      <c r="L117" s="14">
        <f t="shared" si="126"/>
        <v>0</v>
      </c>
      <c r="M117" s="14">
        <f t="shared" si="126"/>
        <v>14038.271999999999</v>
      </c>
      <c r="N117" s="14">
        <f t="shared" si="126"/>
        <v>0</v>
      </c>
      <c r="O117" s="86"/>
      <c r="T117" s="48" t="s">
        <v>209</v>
      </c>
      <c r="U117" s="48"/>
      <c r="V117" s="126" t="str">
        <f>+INDEX('Energy matrix'!C44:N44,1,$D$2)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f t="shared" si="127"/>
        <v>0</v>
      </c>
      <c r="I118" s="14">
        <f t="shared" si="127"/>
        <v>0</v>
      </c>
      <c r="J118" s="14">
        <f t="shared" si="127"/>
        <v>0</v>
      </c>
      <c r="K118" s="14">
        <f t="shared" si="127"/>
        <v>0</v>
      </c>
      <c r="L118" s="14">
        <f t="shared" si="127"/>
        <v>0</v>
      </c>
      <c r="M118" s="14">
        <f t="shared" si="127"/>
        <v>8773.92</v>
      </c>
      <c r="N118" s="14">
        <f t="shared" si="127"/>
        <v>0</v>
      </c>
      <c r="O118" s="86"/>
      <c r="T118" s="117" t="str">
        <f>'Energy matrix'!B45</f>
        <v>Coal</v>
      </c>
      <c r="U118" s="117"/>
      <c r="V118" s="118">
        <f>+INDEX('Energy matrix'!C45:N45,1,$D$2)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f t="shared" si="128"/>
        <v>14.957689089347079</v>
      </c>
      <c r="I119" s="19">
        <f t="shared" si="128"/>
        <v>0</v>
      </c>
      <c r="J119" s="19">
        <f t="shared" si="128"/>
        <v>0</v>
      </c>
      <c r="K119" s="19">
        <f t="shared" si="128"/>
        <v>0</v>
      </c>
      <c r="L119" s="19">
        <f t="shared" si="128"/>
        <v>0</v>
      </c>
      <c r="M119" s="19">
        <f t="shared" si="128"/>
        <v>0</v>
      </c>
      <c r="N119" s="19">
        <f t="shared" si="128"/>
        <v>0</v>
      </c>
      <c r="O119" s="86"/>
      <c r="T119" s="117" t="str">
        <f>'Energy matrix'!B46</f>
        <v>Fuel Oil</v>
      </c>
      <c r="U119" s="117"/>
      <c r="V119" s="118">
        <f>+INDEX('Energy matrix'!C46:N46,1,$D$2)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f t="shared" si="129"/>
        <v>0</v>
      </c>
      <c r="I120" s="14">
        <f t="shared" si="129"/>
        <v>0</v>
      </c>
      <c r="J120" s="14">
        <f t="shared" si="129"/>
        <v>0</v>
      </c>
      <c r="K120" s="14">
        <f t="shared" si="129"/>
        <v>0</v>
      </c>
      <c r="L120" s="14">
        <f t="shared" si="129"/>
        <v>0</v>
      </c>
      <c r="M120" s="14">
        <f t="shared" si="129"/>
        <v>19302.624</v>
      </c>
      <c r="N120" s="14">
        <f t="shared" si="129"/>
        <v>0</v>
      </c>
      <c r="O120" s="86"/>
      <c r="T120" s="117" t="str">
        <f>'Energy matrix'!B47</f>
        <v>Diesel</v>
      </c>
      <c r="U120" s="117"/>
      <c r="V120" s="118">
        <f>+INDEX('Energy matrix'!C47:N47,1,$D$2)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f t="shared" si="130"/>
        <v>0</v>
      </c>
      <c r="I121" s="14">
        <f t="shared" si="130"/>
        <v>0</v>
      </c>
      <c r="J121" s="14">
        <f t="shared" si="130"/>
        <v>0</v>
      </c>
      <c r="K121" s="14">
        <f t="shared" si="130"/>
        <v>0</v>
      </c>
      <c r="L121" s="14">
        <f t="shared" si="130"/>
        <v>0</v>
      </c>
      <c r="M121" s="14">
        <f t="shared" si="130"/>
        <v>42992.207999999999</v>
      </c>
      <c r="N121" s="14">
        <f t="shared" si="130"/>
        <v>0</v>
      </c>
      <c r="O121" s="86"/>
      <c r="T121" s="117" t="str">
        <f>'Energy matrix'!B48</f>
        <v>Gasoline</v>
      </c>
      <c r="U121" s="117"/>
      <c r="V121" s="118">
        <f>+INDEX('Energy matrix'!C48:N48,1,$D$2)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f t="shared" si="131"/>
        <v>0</v>
      </c>
      <c r="I122" s="14">
        <f t="shared" si="131"/>
        <v>0</v>
      </c>
      <c r="J122" s="14">
        <f t="shared" si="131"/>
        <v>0</v>
      </c>
      <c r="K122" s="14">
        <f t="shared" si="131"/>
        <v>0</v>
      </c>
      <c r="L122" s="14">
        <f t="shared" si="131"/>
        <v>0</v>
      </c>
      <c r="M122" s="14">
        <f t="shared" si="131"/>
        <v>2632.1759999999999</v>
      </c>
      <c r="N122" s="14">
        <f t="shared" si="131"/>
        <v>1410</v>
      </c>
      <c r="O122" s="86"/>
      <c r="T122" s="117" t="str">
        <f>'Energy matrix'!B49</f>
        <v>LPG</v>
      </c>
      <c r="U122" s="117"/>
      <c r="V122" s="118">
        <f>+INDEX('Energy matrix'!C49:N49,1,$D$2)</f>
        <v>43.073999999999998</v>
      </c>
      <c r="W122" s="117"/>
    </row>
    <row r="123" spans="3:31" ht="12.75" customHeight="1">
      <c r="C123" s="17" t="s">
        <v>57</v>
      </c>
      <c r="D123" s="18">
        <f t="shared" ref="D123:N123" si="132">SUM(D117:D122)</f>
        <v>28433.278999999999</v>
      </c>
      <c r="E123" s="18">
        <f t="shared" si="132"/>
        <v>0</v>
      </c>
      <c r="F123" s="18">
        <f t="shared" si="132"/>
        <v>429.27</v>
      </c>
      <c r="G123" s="18">
        <f t="shared" si="132"/>
        <v>0</v>
      </c>
      <c r="H123" s="18">
        <f t="shared" si="132"/>
        <v>25.726189089347081</v>
      </c>
      <c r="I123" s="18">
        <f t="shared" si="132"/>
        <v>86104.111999999994</v>
      </c>
      <c r="J123" s="18">
        <f t="shared" si="132"/>
        <v>0</v>
      </c>
      <c r="K123" s="18">
        <f t="shared" si="132"/>
        <v>0</v>
      </c>
      <c r="L123" s="18">
        <f t="shared" si="132"/>
        <v>0</v>
      </c>
      <c r="M123" s="18">
        <f t="shared" si="132"/>
        <v>87739.200000000012</v>
      </c>
      <c r="N123" s="18">
        <f t="shared" si="132"/>
        <v>1410</v>
      </c>
      <c r="O123" s="86"/>
      <c r="T123" s="117" t="str">
        <f>'Energy matrix'!B51</f>
        <v>Natural gas</v>
      </c>
      <c r="U123" s="117"/>
      <c r="V123" s="118">
        <f>+INDEX('Energy matrix'!C51:N51,1,$D$2)</f>
        <v>86104.111999999994</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87739.199999999997</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1410</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204158.935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18"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534</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24"/>
      <c r="M151" s="22">
        <v>0</v>
      </c>
      <c r="N151" s="22">
        <v>0.1</v>
      </c>
      <c r="O151" s="22">
        <v>0</v>
      </c>
      <c r="P151" s="34"/>
      <c r="Q151" s="34"/>
      <c r="R151" s="25"/>
      <c r="S151" s="25"/>
      <c r="W151" s="285"/>
      <c r="X151" s="285"/>
      <c r="Y151" s="25"/>
      <c r="Z151" s="25"/>
      <c r="AA151" s="25"/>
    </row>
    <row r="152" spans="3:27">
      <c r="C152" s="15"/>
      <c r="D152" s="13" t="s">
        <v>536</v>
      </c>
      <c r="E152" s="22">
        <v>0</v>
      </c>
      <c r="F152" s="22">
        <v>0</v>
      </c>
      <c r="G152" s="22">
        <v>0.75</v>
      </c>
      <c r="H152" s="625">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Z19" s="285"/>
      <c r="AA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5"/>
      <c r="AH20" s="285"/>
      <c r="AI20" s="285"/>
      <c r="AJ20" s="285"/>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39" cm="1">
        <f t="array" ref="AO23">INDEX(RegSplit!$B$4:$AN$6,MATCH(AO22,RegSplit!$A$4:$A$6,0),MATCH($D$6&amp;AK19,RegSplit!$B$2:$AN$2&amp;RegSplit!$B$3:$AN$3,0))</f>
        <v>0</v>
      </c>
      <c r="AP23" s="539"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39" cm="1">
        <f t="array" ref="BB23">INDEX(RegSplit!$B$4:$AN$6,MATCH(BB22,RegSplit!$A$4:$A$6,0),MATCH($D$6&amp;AX19,RegSplit!$B$2:$AN$2&amp;RegSplit!$B$3:$AN$3,0))</f>
        <v>0</v>
      </c>
      <c r="BC23" s="539"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39" cm="1">
        <f t="array" ref="BO23">INDEX(RegSplit!$B$4:$AN$6,MATCH(BO22,RegSplit!$A$4:$A$6,0),MATCH($D$6&amp;BK19,RegSplit!$B$2:$AN$2&amp;RegSplit!$B$3:$AN$3,0))</f>
        <v>0</v>
      </c>
      <c r="BP23" s="539"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13163.566000000001</v>
      </c>
      <c r="H26" s="322">
        <f t="shared" si="0"/>
        <v>0</v>
      </c>
      <c r="I26" s="322">
        <f t="shared" si="0"/>
        <v>0</v>
      </c>
      <c r="J26" s="322">
        <f t="shared" ref="J26:L29" si="1">ROUNDUP(BA26/($Z26*$AA26)*J$21*W26,3)</f>
        <v>11569.271000000001</v>
      </c>
      <c r="K26" s="322">
        <f t="shared" si="1"/>
        <v>0</v>
      </c>
      <c r="L26" s="322">
        <f t="shared" si="1"/>
        <v>0</v>
      </c>
      <c r="M26" s="322">
        <f t="shared" ref="M26:O29" si="2">ROUNDUP(BN26/($Z26*$AA26)*M$21*W26,3)</f>
        <v>11851.873</v>
      </c>
      <c r="N26" s="322">
        <f t="shared" si="2"/>
        <v>0</v>
      </c>
      <c r="O26" s="322">
        <f t="shared" si="2"/>
        <v>0</v>
      </c>
      <c r="P26" s="322">
        <f t="shared" ref="P26:P62" si="3">M26</f>
        <v>11851.873</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71">
        <f t="shared" ref="X26:Y28" si="9">W26</f>
        <v>0.98</v>
      </c>
      <c r="Y26" s="571">
        <f t="shared" si="9"/>
        <v>0.98</v>
      </c>
      <c r="Z26" s="319">
        <f>3.6*8760/1000000</f>
        <v>3.1536000000000002E-2</v>
      </c>
      <c r="AA26" s="390">
        <v>0.5</v>
      </c>
      <c r="AB26" s="329">
        <v>20</v>
      </c>
      <c r="AC26" s="319"/>
      <c r="AD26" s="319"/>
      <c r="AE26" s="329"/>
      <c r="AG26" s="236">
        <f t="shared" ref="AG26:AG41" si="10">((G26*Z26*AA26/W26)+(H26*Z26*AA26/X26))/$G$21</f>
        <v>201.71341952186592</v>
      </c>
      <c r="AH26" s="236">
        <f t="shared" ref="AH26:AH41" si="11">((J26*Z26*AA26/W26)+(K26*Z26*AA26/X26))/$J$21</f>
        <v>184.30416763790669</v>
      </c>
      <c r="AI26" s="236">
        <f t="shared" ref="AI26:AI41" si="12">((M26*AA26*Z26/W26)+(N26*Z26*AA26/X26))/$M$21</f>
        <v>188.80615625782985</v>
      </c>
      <c r="AJ26" s="385"/>
      <c r="AK26" s="544" t="str">
        <f ca="1">F26</f>
        <v>ICDPH</v>
      </c>
      <c r="AL26" s="350" t="s">
        <v>97</v>
      </c>
      <c r="AM26" s="313">
        <f>I77/1000</f>
        <v>201.7134063</v>
      </c>
      <c r="AN26" s="310">
        <f>AM26*$AN$23</f>
        <v>201.7134063</v>
      </c>
      <c r="AO26" s="311">
        <f>AM26*$AO$23</f>
        <v>0</v>
      </c>
      <c r="AP26" s="311">
        <f>AM26*$AP$23</f>
        <v>0</v>
      </c>
      <c r="AQ26" s="312">
        <f t="shared" ref="AQ26:AQ62" si="13">IFERROR(G26*$Z26*$AA26/G$21,0)</f>
        <v>197.6791511314286</v>
      </c>
      <c r="AR26" s="311">
        <f t="shared" ref="AR26:AR62" si="14">IFERROR(H26*$Z26*$AA26/H$21,0)</f>
        <v>0</v>
      </c>
      <c r="AS26" s="338">
        <f t="shared" ref="AS26:AS62" si="15">IFERROR(I26*$Z26*$AA26/I$21,0)</f>
        <v>0</v>
      </c>
      <c r="AT26" s="313">
        <f t="shared" ref="AT26:AV29" si="16">IFERROR(AQ26/W26,0)</f>
        <v>201.71341952186592</v>
      </c>
      <c r="AU26" s="310">
        <f t="shared" si="16"/>
        <v>0</v>
      </c>
      <c r="AV26" s="357">
        <f t="shared" si="16"/>
        <v>0</v>
      </c>
      <c r="AW26" s="285"/>
      <c r="AX26" s="544" t="str">
        <f t="shared" ref="AX26:AX62" ca="1" si="17">AK26</f>
        <v>ICDPH</v>
      </c>
      <c r="AY26" s="350" t="s">
        <v>97</v>
      </c>
      <c r="AZ26" s="313">
        <f>I97/1000</f>
        <v>184.30416</v>
      </c>
      <c r="BA26" s="310">
        <f>AZ26*$AN$23</f>
        <v>184.30416</v>
      </c>
      <c r="BB26" s="311">
        <f>AZ26*$BB$23</f>
        <v>0</v>
      </c>
      <c r="BC26" s="311">
        <f>AZ26*$BC$23</f>
        <v>0</v>
      </c>
      <c r="BD26" s="313">
        <f t="shared" ref="BD26:BD62" si="18">IFERROR(J26*$Z26*AA26/J$21,0)</f>
        <v>180.61808428514854</v>
      </c>
      <c r="BE26" s="310">
        <f t="shared" ref="BE26:BE62" si="19">IFERROR(K26*$Z26*AA26/K$21,0)</f>
        <v>0</v>
      </c>
      <c r="BF26" s="357">
        <f t="shared" ref="BF26:BF62" si="20">IFERROR(L26*$Z26*AA26/L$21,0)</f>
        <v>0</v>
      </c>
      <c r="BG26" s="313">
        <f t="shared" ref="BG26:BG35" si="21">IFERROR(BD26/W26,0)</f>
        <v>184.30416763790669</v>
      </c>
      <c r="BH26" s="310">
        <f t="shared" ref="BH26:BH35" si="22">IFERROR(BE26/X26,0)</f>
        <v>0</v>
      </c>
      <c r="BI26" s="357">
        <f t="shared" ref="BI26:BI35" si="23">IFERROR(BF26/Y26,0)</f>
        <v>0</v>
      </c>
      <c r="BJ26" s="285"/>
      <c r="BK26" s="544" t="str">
        <f ca="1">AK26</f>
        <v>ICDPH</v>
      </c>
      <c r="BL26" s="350" t="s">
        <v>97</v>
      </c>
      <c r="BM26" s="313">
        <f>I117/1000</f>
        <v>188.8061544</v>
      </c>
      <c r="BN26" s="310">
        <f>BM26*$AN$23</f>
        <v>188.8061544</v>
      </c>
      <c r="BO26" s="311">
        <f>BM26*$BB$23</f>
        <v>0</v>
      </c>
      <c r="BP26" s="311">
        <f>BM26*$BC$23</f>
        <v>0</v>
      </c>
      <c r="BQ26" s="313">
        <f t="shared" ref="BQ26:BQ62" si="24">IFERROR(M26*$Z26*$AA26/M$21,0)</f>
        <v>185.03003313267325</v>
      </c>
      <c r="BR26" s="310">
        <f t="shared" ref="BR26:BR62" si="25">IFERROR(N26*$Z26*$AA26/N$21,0)</f>
        <v>0</v>
      </c>
      <c r="BS26" s="357">
        <f t="shared" ref="BS26:BS62" si="26">IFERROR(O26*$Z26*$AA26/O$21,0)</f>
        <v>0</v>
      </c>
      <c r="BT26" s="313">
        <f>IFERROR(BQ26/W26,0)</f>
        <v>188.80615625782985</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36">
        <f t="shared" si="9"/>
        <v>0.93099999999999994</v>
      </c>
      <c r="Y27" s="536">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54">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36">
        <f t="shared" si="9"/>
        <v>0.94079999999999997</v>
      </c>
      <c r="Y28" s="536">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54">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0</v>
      </c>
      <c r="H29" s="321">
        <f t="shared" si="0"/>
        <v>0</v>
      </c>
      <c r="I29" s="321">
        <f t="shared" si="0"/>
        <v>0</v>
      </c>
      <c r="J29" s="321">
        <f t="shared" si="1"/>
        <v>0</v>
      </c>
      <c r="K29" s="321">
        <f t="shared" si="1"/>
        <v>0</v>
      </c>
      <c r="L29" s="321">
        <f t="shared" si="1"/>
        <v>0</v>
      </c>
      <c r="M29" s="321">
        <f t="shared" si="2"/>
        <v>0</v>
      </c>
      <c r="N29" s="321">
        <f t="shared" si="2"/>
        <v>0</v>
      </c>
      <c r="O29" s="321">
        <f t="shared" si="2"/>
        <v>0</v>
      </c>
      <c r="P29" s="321">
        <f t="shared" si="3"/>
        <v>0</v>
      </c>
      <c r="Q29" s="321">
        <f t="shared" si="4"/>
        <v>0</v>
      </c>
      <c r="R29" s="321">
        <f t="shared" si="5"/>
        <v>0</v>
      </c>
      <c r="S29" s="321">
        <f t="shared" si="6"/>
        <v>0</v>
      </c>
      <c r="T29" s="321">
        <f t="shared" si="7"/>
        <v>0</v>
      </c>
      <c r="U29" s="321">
        <f t="shared" si="8"/>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10"/>
        <v>0</v>
      </c>
      <c r="AH29" s="236">
        <f t="shared" si="11"/>
        <v>0</v>
      </c>
      <c r="AI29" s="236">
        <f t="shared" si="12"/>
        <v>0</v>
      </c>
      <c r="AJ29" s="285"/>
      <c r="AK29" s="290"/>
      <c r="AL29" s="573" t="s">
        <v>99</v>
      </c>
      <c r="AM29" s="574">
        <f>K77/1000</f>
        <v>0</v>
      </c>
      <c r="AN29" s="575">
        <f>AM29*$AN$23</f>
        <v>0</v>
      </c>
      <c r="AO29" s="576">
        <f>AM29*$AO$23</f>
        <v>0</v>
      </c>
      <c r="AP29" s="576">
        <f>AM29*$AP$23</f>
        <v>0</v>
      </c>
      <c r="AQ29" s="596">
        <f t="shared" si="13"/>
        <v>0</v>
      </c>
      <c r="AR29" s="576">
        <f t="shared" si="14"/>
        <v>0</v>
      </c>
      <c r="AS29" s="577">
        <f t="shared" si="15"/>
        <v>0</v>
      </c>
      <c r="AT29" s="574">
        <f t="shared" si="16"/>
        <v>0</v>
      </c>
      <c r="AU29" s="575">
        <f t="shared" si="16"/>
        <v>0</v>
      </c>
      <c r="AV29" s="580">
        <f t="shared" si="16"/>
        <v>0</v>
      </c>
      <c r="AW29" s="285"/>
      <c r="AX29" s="290"/>
      <c r="AY29" s="573" t="s">
        <v>99</v>
      </c>
      <c r="AZ29" s="574">
        <f>K97/1000</f>
        <v>0</v>
      </c>
      <c r="BA29" s="575">
        <f>AZ29*$AN$23</f>
        <v>0</v>
      </c>
      <c r="BB29" s="576">
        <f>AZ29*$BB$23</f>
        <v>0</v>
      </c>
      <c r="BC29" s="576">
        <f>AZ29*$BC$23</f>
        <v>0</v>
      </c>
      <c r="BD29" s="574">
        <f t="shared" si="18"/>
        <v>0</v>
      </c>
      <c r="BE29" s="575">
        <f t="shared" si="19"/>
        <v>0</v>
      </c>
      <c r="BF29" s="580">
        <f t="shared" si="20"/>
        <v>0</v>
      </c>
      <c r="BG29" s="574">
        <f t="shared" si="21"/>
        <v>0</v>
      </c>
      <c r="BH29" s="575">
        <f t="shared" si="22"/>
        <v>0</v>
      </c>
      <c r="BI29" s="580">
        <f t="shared" si="23"/>
        <v>0</v>
      </c>
      <c r="BJ29" s="285"/>
      <c r="BK29" s="290"/>
      <c r="BL29" s="573" t="s">
        <v>99</v>
      </c>
      <c r="BM29" s="574">
        <f>K117/1000</f>
        <v>0</v>
      </c>
      <c r="BN29" s="575">
        <f>BM29*$AN$23</f>
        <v>0</v>
      </c>
      <c r="BO29" s="576">
        <f>BM29*$BB$23</f>
        <v>0</v>
      </c>
      <c r="BP29" s="576">
        <f>BM29*$BC$23</f>
        <v>0</v>
      </c>
      <c r="BQ29" s="574">
        <f t="shared" si="24"/>
        <v>0</v>
      </c>
      <c r="BR29" s="575">
        <f t="shared" si="25"/>
        <v>0</v>
      </c>
      <c r="BS29" s="580">
        <f t="shared" si="26"/>
        <v>0</v>
      </c>
      <c r="BT29" s="574">
        <f t="shared" si="27"/>
        <v>0</v>
      </c>
      <c r="BU29" s="575">
        <f t="shared" si="28"/>
        <v>0</v>
      </c>
      <c r="BV29" s="580">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73" t="s">
        <v>107</v>
      </c>
      <c r="AM30" s="574"/>
      <c r="AN30" s="575"/>
      <c r="AO30" s="576"/>
      <c r="AP30" s="576"/>
      <c r="AQ30" s="596">
        <f t="shared" si="13"/>
        <v>0</v>
      </c>
      <c r="AR30" s="576">
        <f t="shared" si="14"/>
        <v>0</v>
      </c>
      <c r="AS30" s="577">
        <f t="shared" si="15"/>
        <v>0</v>
      </c>
      <c r="AT30" s="574"/>
      <c r="AU30" s="575"/>
      <c r="AV30" s="580"/>
      <c r="AW30" s="285"/>
      <c r="AX30" s="354"/>
      <c r="AY30" s="573" t="s">
        <v>107</v>
      </c>
      <c r="AZ30" s="574"/>
      <c r="BA30" s="575"/>
      <c r="BB30" s="576"/>
      <c r="BC30" s="576"/>
      <c r="BD30" s="574">
        <f t="shared" si="18"/>
        <v>0</v>
      </c>
      <c r="BE30" s="575">
        <f t="shared" si="19"/>
        <v>0</v>
      </c>
      <c r="BF30" s="580">
        <f t="shared" si="20"/>
        <v>0</v>
      </c>
      <c r="BG30" s="574">
        <f t="shared" si="21"/>
        <v>0</v>
      </c>
      <c r="BH30" s="575">
        <f t="shared" si="22"/>
        <v>0</v>
      </c>
      <c r="BI30" s="580">
        <f t="shared" si="23"/>
        <v>0</v>
      </c>
      <c r="BJ30" s="285"/>
      <c r="BK30" s="354"/>
      <c r="BL30" s="573" t="s">
        <v>107</v>
      </c>
      <c r="BM30" s="574"/>
      <c r="BN30" s="575"/>
      <c r="BO30" s="576"/>
      <c r="BP30" s="576"/>
      <c r="BQ30" s="574">
        <f t="shared" si="24"/>
        <v>0</v>
      </c>
      <c r="BR30" s="575">
        <f t="shared" si="25"/>
        <v>0</v>
      </c>
      <c r="BS30" s="580">
        <f t="shared" si="26"/>
        <v>0</v>
      </c>
      <c r="BT30" s="574">
        <f t="shared" si="27"/>
        <v>0</v>
      </c>
      <c r="BU30" s="575">
        <f t="shared" si="28"/>
        <v>0</v>
      </c>
      <c r="BV30" s="580">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0</v>
      </c>
      <c r="H31" s="322">
        <f t="shared" si="30"/>
        <v>0</v>
      </c>
      <c r="I31" s="322">
        <f t="shared" si="30"/>
        <v>0</v>
      </c>
      <c r="J31" s="322">
        <f t="shared" ref="J31:L35" si="31">ROUNDUP(BA31/($Z31*$AA31)*J$21*W31,3)</f>
        <v>0</v>
      </c>
      <c r="K31" s="322">
        <f t="shared" si="31"/>
        <v>0</v>
      </c>
      <c r="L31" s="322">
        <f t="shared" si="31"/>
        <v>0</v>
      </c>
      <c r="M31" s="322">
        <f t="shared" ref="M31:O35" si="32">ROUNDUP(BN31/($Z31*$AA31)*M$21*W31,3)</f>
        <v>0</v>
      </c>
      <c r="N31" s="322">
        <f t="shared" si="32"/>
        <v>0</v>
      </c>
      <c r="O31" s="322">
        <f t="shared" si="32"/>
        <v>0</v>
      </c>
      <c r="P31" s="322">
        <f t="shared" si="3"/>
        <v>0</v>
      </c>
      <c r="Q31" s="322">
        <f t="shared" si="4"/>
        <v>0</v>
      </c>
      <c r="R31" s="322">
        <f t="shared" si="5"/>
        <v>0</v>
      </c>
      <c r="S31" s="322">
        <f t="shared" si="6"/>
        <v>0</v>
      </c>
      <c r="T31" s="322">
        <f t="shared" si="7"/>
        <v>0</v>
      </c>
      <c r="U31" s="322">
        <f t="shared" si="8"/>
        <v>0</v>
      </c>
      <c r="V31" s="322">
        <v>5</v>
      </c>
      <c r="W31" s="343">
        <f>J131</f>
        <v>0.98</v>
      </c>
      <c r="X31" s="536">
        <f t="shared" ref="X31:Y34" si="33">W31</f>
        <v>0.98</v>
      </c>
      <c r="Y31" s="536">
        <f t="shared" si="33"/>
        <v>0.98</v>
      </c>
      <c r="Z31" s="319">
        <f t="shared" ref="Z31:Z36" si="34">3.6*8760/1000000</f>
        <v>3.1536000000000002E-2</v>
      </c>
      <c r="AA31" s="390">
        <f t="shared" ref="AA31:AA41" si="35">$AA$26</f>
        <v>0.5</v>
      </c>
      <c r="AB31" s="329">
        <v>20</v>
      </c>
      <c r="AC31" s="319"/>
      <c r="AD31" s="319"/>
      <c r="AE31" s="329"/>
      <c r="AG31" s="236">
        <f t="shared" si="10"/>
        <v>0</v>
      </c>
      <c r="AH31" s="236">
        <f t="shared" si="11"/>
        <v>0</v>
      </c>
      <c r="AI31" s="236">
        <f t="shared" si="12"/>
        <v>0</v>
      </c>
      <c r="AJ31" s="285"/>
      <c r="AK31" s="290"/>
      <c r="AL31" s="573" t="s">
        <v>100</v>
      </c>
      <c r="AM31" s="574">
        <f>J77/1000</f>
        <v>0</v>
      </c>
      <c r="AN31" s="575">
        <f>AM31*$AN$23</f>
        <v>0</v>
      </c>
      <c r="AO31" s="576">
        <f>AM31*$AO$23</f>
        <v>0</v>
      </c>
      <c r="AP31" s="576">
        <f>AM31*$AP$23</f>
        <v>0</v>
      </c>
      <c r="AQ31" s="596">
        <f t="shared" si="13"/>
        <v>0</v>
      </c>
      <c r="AR31" s="576">
        <f t="shared" si="14"/>
        <v>0</v>
      </c>
      <c r="AS31" s="577">
        <f t="shared" si="15"/>
        <v>0</v>
      </c>
      <c r="AT31" s="574">
        <f t="shared" ref="AT31:AV34" si="36">IFERROR(AQ31/W31,0)</f>
        <v>0</v>
      </c>
      <c r="AU31" s="575">
        <f t="shared" si="36"/>
        <v>0</v>
      </c>
      <c r="AV31" s="580">
        <f t="shared" si="36"/>
        <v>0</v>
      </c>
      <c r="AW31" s="285"/>
      <c r="AX31" s="290"/>
      <c r="AY31" s="573" t="s">
        <v>100</v>
      </c>
      <c r="AZ31" s="574">
        <f>J97/1000</f>
        <v>0</v>
      </c>
      <c r="BA31" s="575">
        <f>AZ31*$AN$23</f>
        <v>0</v>
      </c>
      <c r="BB31" s="576">
        <f>AZ31*$BB$23</f>
        <v>0</v>
      </c>
      <c r="BC31" s="576">
        <f>AZ31*$BC$23</f>
        <v>0</v>
      </c>
      <c r="BD31" s="574">
        <f t="shared" si="18"/>
        <v>0</v>
      </c>
      <c r="BE31" s="575">
        <f t="shared" si="19"/>
        <v>0</v>
      </c>
      <c r="BF31" s="580">
        <f t="shared" si="20"/>
        <v>0</v>
      </c>
      <c r="BG31" s="574">
        <f t="shared" si="21"/>
        <v>0</v>
      </c>
      <c r="BH31" s="575">
        <f t="shared" si="22"/>
        <v>0</v>
      </c>
      <c r="BI31" s="580">
        <f t="shared" si="23"/>
        <v>0</v>
      </c>
      <c r="BJ31" s="285"/>
      <c r="BK31" s="290"/>
      <c r="BL31" s="573" t="s">
        <v>100</v>
      </c>
      <c r="BM31" s="574">
        <f>J117/1000</f>
        <v>0</v>
      </c>
      <c r="BN31" s="575">
        <f>BM31*$AN$23</f>
        <v>0</v>
      </c>
      <c r="BO31" s="576">
        <f>BM31*$BB$23</f>
        <v>0</v>
      </c>
      <c r="BP31" s="576">
        <f>BM31*$BC$23</f>
        <v>0</v>
      </c>
      <c r="BQ31" s="574">
        <f t="shared" si="24"/>
        <v>0</v>
      </c>
      <c r="BR31" s="575">
        <f t="shared" si="25"/>
        <v>0</v>
      </c>
      <c r="BS31" s="580">
        <f t="shared" si="26"/>
        <v>0</v>
      </c>
      <c r="BT31" s="574">
        <f t="shared" si="27"/>
        <v>0</v>
      </c>
      <c r="BU31" s="575">
        <f t="shared" si="28"/>
        <v>0</v>
      </c>
      <c r="BV31" s="580">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36">
        <f t="shared" si="33"/>
        <v>0.93099999999999994</v>
      </c>
      <c r="Y32" s="536">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73" t="s">
        <v>101</v>
      </c>
      <c r="AM32" s="574">
        <f>E77/1000</f>
        <v>45.956372000000002</v>
      </c>
      <c r="AN32" s="575">
        <f>AM32*$AN$23</f>
        <v>45.956372000000002</v>
      </c>
      <c r="AO32" s="576">
        <f>AM32*$AO$23</f>
        <v>0</v>
      </c>
      <c r="AP32" s="576">
        <f>AM32*$AP$23</f>
        <v>0</v>
      </c>
      <c r="AQ32" s="596">
        <f t="shared" si="13"/>
        <v>42.785386765714286</v>
      </c>
      <c r="AR32" s="576">
        <f t="shared" si="14"/>
        <v>0</v>
      </c>
      <c r="AS32" s="577">
        <f t="shared" si="15"/>
        <v>0</v>
      </c>
      <c r="AT32" s="574">
        <f t="shared" si="36"/>
        <v>45.956376762313951</v>
      </c>
      <c r="AU32" s="575">
        <f t="shared" si="36"/>
        <v>0</v>
      </c>
      <c r="AV32" s="580">
        <f t="shared" si="36"/>
        <v>0</v>
      </c>
      <c r="AW32" s="285"/>
      <c r="AX32" s="290"/>
      <c r="AY32" s="573" t="s">
        <v>101</v>
      </c>
      <c r="AZ32" s="574">
        <f>E97/1000</f>
        <v>53.525790000000001</v>
      </c>
      <c r="BA32" s="575">
        <f>AZ32*$AN$23</f>
        <v>53.525790000000001</v>
      </c>
      <c r="BB32" s="576">
        <f>AZ32*$BB$23</f>
        <v>0</v>
      </c>
      <c r="BC32" s="576">
        <f>AZ32*$BC$23</f>
        <v>0</v>
      </c>
      <c r="BD32" s="574">
        <f t="shared" si="18"/>
        <v>49.832515889108912</v>
      </c>
      <c r="BE32" s="575">
        <f t="shared" si="19"/>
        <v>0</v>
      </c>
      <c r="BF32" s="580">
        <f t="shared" si="20"/>
        <v>0</v>
      </c>
      <c r="BG32" s="574">
        <f t="shared" si="21"/>
        <v>53.525795799257693</v>
      </c>
      <c r="BH32" s="575">
        <f t="shared" si="22"/>
        <v>0</v>
      </c>
      <c r="BI32" s="580">
        <f t="shared" si="23"/>
        <v>0</v>
      </c>
      <c r="BJ32" s="285"/>
      <c r="BK32" s="290"/>
      <c r="BL32" s="573" t="s">
        <v>101</v>
      </c>
      <c r="BM32" s="574">
        <f>E117/1000</f>
        <v>21.139731999999999</v>
      </c>
      <c r="BN32" s="575">
        <f>BM32*$AN$23</f>
        <v>21.139731999999999</v>
      </c>
      <c r="BO32" s="576">
        <f>BM32*$BB$23</f>
        <v>0</v>
      </c>
      <c r="BP32" s="576">
        <f>BM32*$BC$23</f>
        <v>0</v>
      </c>
      <c r="BQ32" s="574">
        <f t="shared" si="24"/>
        <v>19.681102407920793</v>
      </c>
      <c r="BR32" s="575">
        <f t="shared" si="25"/>
        <v>0</v>
      </c>
      <c r="BS32" s="580">
        <f t="shared" si="26"/>
        <v>0</v>
      </c>
      <c r="BT32" s="574">
        <f t="shared" si="27"/>
        <v>21.139744799055634</v>
      </c>
      <c r="BU32" s="575">
        <f t="shared" si="28"/>
        <v>0</v>
      </c>
      <c r="BV32" s="580">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f t="shared" si="32"/>
        <v>0</v>
      </c>
      <c r="N33" s="322">
        <f t="shared" si="32"/>
        <v>0</v>
      </c>
      <c r="O33" s="322">
        <f t="shared" si="32"/>
        <v>0</v>
      </c>
      <c r="P33" s="322">
        <f t="shared" si="3"/>
        <v>0</v>
      </c>
      <c r="Q33" s="322">
        <f t="shared" si="4"/>
        <v>0</v>
      </c>
      <c r="R33" s="322">
        <f t="shared" si="5"/>
        <v>0</v>
      </c>
      <c r="S33" s="322">
        <f t="shared" si="6"/>
        <v>0</v>
      </c>
      <c r="T33" s="322">
        <f t="shared" si="7"/>
        <v>0</v>
      </c>
      <c r="U33" s="322">
        <f t="shared" si="8"/>
        <v>0</v>
      </c>
      <c r="V33" s="322">
        <v>5</v>
      </c>
      <c r="W33" s="343">
        <f>H131</f>
        <v>0.98</v>
      </c>
      <c r="X33" s="536">
        <f t="shared" si="33"/>
        <v>0.98</v>
      </c>
      <c r="Y33" s="536">
        <f t="shared" si="33"/>
        <v>0.98</v>
      </c>
      <c r="Z33" s="319">
        <f t="shared" si="34"/>
        <v>3.1536000000000002E-2</v>
      </c>
      <c r="AA33" s="390">
        <f t="shared" si="35"/>
        <v>0.5</v>
      </c>
      <c r="AB33" s="329">
        <v>20</v>
      </c>
      <c r="AC33" s="319"/>
      <c r="AD33" s="319"/>
      <c r="AE33" s="329"/>
      <c r="AG33" s="236">
        <f t="shared" si="10"/>
        <v>0</v>
      </c>
      <c r="AH33" s="236">
        <f t="shared" si="11"/>
        <v>0</v>
      </c>
      <c r="AI33" s="236">
        <f t="shared" si="12"/>
        <v>0</v>
      </c>
      <c r="AJ33" s="285"/>
      <c r="AK33" s="290"/>
      <c r="AL33" s="573" t="s">
        <v>53</v>
      </c>
      <c r="AM33" s="574">
        <f>H77/1000</f>
        <v>0</v>
      </c>
      <c r="AN33" s="575">
        <f>AM33*$AN$23</f>
        <v>0</v>
      </c>
      <c r="AO33" s="576">
        <f>AM33*$AO$23</f>
        <v>0</v>
      </c>
      <c r="AP33" s="576">
        <f>AM33*$AP$23</f>
        <v>0</v>
      </c>
      <c r="AQ33" s="596">
        <f t="shared" si="13"/>
        <v>0</v>
      </c>
      <c r="AR33" s="576">
        <f t="shared" si="14"/>
        <v>0</v>
      </c>
      <c r="AS33" s="577">
        <f t="shared" si="15"/>
        <v>0</v>
      </c>
      <c r="AT33" s="574">
        <f t="shared" si="36"/>
        <v>0</v>
      </c>
      <c r="AU33" s="575">
        <f t="shared" si="36"/>
        <v>0</v>
      </c>
      <c r="AV33" s="580">
        <f t="shared" si="36"/>
        <v>0</v>
      </c>
      <c r="AW33" s="285"/>
      <c r="AX33" s="290"/>
      <c r="AY33" s="573" t="s">
        <v>53</v>
      </c>
      <c r="AZ33" s="574">
        <f>H97/1000</f>
        <v>0</v>
      </c>
      <c r="BA33" s="575">
        <f>AZ33*$AN$23</f>
        <v>0</v>
      </c>
      <c r="BB33" s="576">
        <f>AZ33*$BB$23</f>
        <v>0</v>
      </c>
      <c r="BC33" s="576">
        <f>AZ33*$BC$23</f>
        <v>0</v>
      </c>
      <c r="BD33" s="574">
        <f t="shared" si="18"/>
        <v>0</v>
      </c>
      <c r="BE33" s="575">
        <f t="shared" si="19"/>
        <v>0</v>
      </c>
      <c r="BF33" s="580">
        <f t="shared" si="20"/>
        <v>0</v>
      </c>
      <c r="BG33" s="574">
        <f t="shared" si="21"/>
        <v>0</v>
      </c>
      <c r="BH33" s="575">
        <f t="shared" si="22"/>
        <v>0</v>
      </c>
      <c r="BI33" s="580">
        <f t="shared" si="23"/>
        <v>0</v>
      </c>
      <c r="BJ33" s="285"/>
      <c r="BK33" s="290"/>
      <c r="BL33" s="573" t="s">
        <v>53</v>
      </c>
      <c r="BM33" s="574">
        <f>H117/1000</f>
        <v>0</v>
      </c>
      <c r="BN33" s="575">
        <f>BM33*$AN$23</f>
        <v>0</v>
      </c>
      <c r="BO33" s="576">
        <f>BM33*$BB$23</f>
        <v>0</v>
      </c>
      <c r="BP33" s="576">
        <f>BM33*$BC$23</f>
        <v>0</v>
      </c>
      <c r="BQ33" s="574">
        <f t="shared" si="24"/>
        <v>0</v>
      </c>
      <c r="BR33" s="575">
        <f t="shared" si="25"/>
        <v>0</v>
      </c>
      <c r="BS33" s="580">
        <f t="shared" si="26"/>
        <v>0</v>
      </c>
      <c r="BT33" s="574">
        <f t="shared" si="27"/>
        <v>0</v>
      </c>
      <c r="BU33" s="575">
        <f t="shared" si="28"/>
        <v>0</v>
      </c>
      <c r="BV33" s="580">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0</v>
      </c>
      <c r="H34" s="322">
        <f t="shared" si="30"/>
        <v>0</v>
      </c>
      <c r="I34" s="322">
        <f t="shared" si="30"/>
        <v>0</v>
      </c>
      <c r="J34" s="322">
        <f t="shared" si="31"/>
        <v>0</v>
      </c>
      <c r="K34" s="322">
        <f t="shared" si="31"/>
        <v>0</v>
      </c>
      <c r="L34" s="322">
        <f t="shared" si="31"/>
        <v>0</v>
      </c>
      <c r="M34" s="322">
        <f t="shared" si="32"/>
        <v>0</v>
      </c>
      <c r="N34" s="322">
        <f t="shared" si="32"/>
        <v>0</v>
      </c>
      <c r="O34" s="322">
        <f t="shared" si="32"/>
        <v>0</v>
      </c>
      <c r="P34" s="322">
        <f t="shared" si="3"/>
        <v>0</v>
      </c>
      <c r="Q34" s="322">
        <f t="shared" si="4"/>
        <v>0</v>
      </c>
      <c r="R34" s="322">
        <f t="shared" si="5"/>
        <v>0</v>
      </c>
      <c r="S34" s="322">
        <f t="shared" si="6"/>
        <v>0</v>
      </c>
      <c r="T34" s="322">
        <f t="shared" si="7"/>
        <v>0</v>
      </c>
      <c r="U34" s="322">
        <f t="shared" si="8"/>
        <v>0</v>
      </c>
      <c r="V34" s="322">
        <v>5</v>
      </c>
      <c r="W34" s="343">
        <f>L131</f>
        <v>0.93099999999999994</v>
      </c>
      <c r="X34" s="536">
        <f t="shared" si="33"/>
        <v>0.93099999999999994</v>
      </c>
      <c r="Y34" s="536">
        <f t="shared" si="33"/>
        <v>0.93099999999999994</v>
      </c>
      <c r="Z34" s="319">
        <f t="shared" si="34"/>
        <v>3.1536000000000002E-2</v>
      </c>
      <c r="AA34" s="390">
        <f t="shared" si="35"/>
        <v>0.5</v>
      </c>
      <c r="AB34" s="329">
        <v>20</v>
      </c>
      <c r="AC34" s="319"/>
      <c r="AD34" s="319"/>
      <c r="AE34" s="329"/>
      <c r="AG34" s="236">
        <f t="shared" si="10"/>
        <v>0</v>
      </c>
      <c r="AH34" s="236">
        <f t="shared" si="11"/>
        <v>0</v>
      </c>
      <c r="AI34" s="236">
        <f t="shared" si="12"/>
        <v>0</v>
      </c>
      <c r="AJ34" s="285"/>
      <c r="AK34" s="290"/>
      <c r="AL34" s="573" t="s">
        <v>102</v>
      </c>
      <c r="AM34" s="574">
        <f>$L77/1000</f>
        <v>0</v>
      </c>
      <c r="AN34" s="575">
        <f>AM34*$AN$23</f>
        <v>0</v>
      </c>
      <c r="AO34" s="576">
        <f>AM34*$AO$23</f>
        <v>0</v>
      </c>
      <c r="AP34" s="576">
        <f>AM34*$AP$23</f>
        <v>0</v>
      </c>
      <c r="AQ34" s="596">
        <f t="shared" si="13"/>
        <v>0</v>
      </c>
      <c r="AR34" s="576">
        <f t="shared" si="14"/>
        <v>0</v>
      </c>
      <c r="AS34" s="577">
        <f t="shared" si="15"/>
        <v>0</v>
      </c>
      <c r="AT34" s="574">
        <f t="shared" si="36"/>
        <v>0</v>
      </c>
      <c r="AU34" s="575">
        <f t="shared" si="36"/>
        <v>0</v>
      </c>
      <c r="AV34" s="580">
        <f t="shared" si="36"/>
        <v>0</v>
      </c>
      <c r="AW34" s="285"/>
      <c r="AX34" s="290"/>
      <c r="AY34" s="573" t="s">
        <v>102</v>
      </c>
      <c r="AZ34" s="574">
        <f>$L97/1000</f>
        <v>0</v>
      </c>
      <c r="BA34" s="575">
        <f>AZ34*$AN$23</f>
        <v>0</v>
      </c>
      <c r="BB34" s="576">
        <f>AZ34*$BB$23</f>
        <v>0</v>
      </c>
      <c r="BC34" s="576">
        <f>AZ34*$BC$23</f>
        <v>0</v>
      </c>
      <c r="BD34" s="574">
        <f t="shared" si="18"/>
        <v>0</v>
      </c>
      <c r="BE34" s="575">
        <f t="shared" si="19"/>
        <v>0</v>
      </c>
      <c r="BF34" s="580">
        <f t="shared" si="20"/>
        <v>0</v>
      </c>
      <c r="BG34" s="574">
        <f t="shared" si="21"/>
        <v>0</v>
      </c>
      <c r="BH34" s="575">
        <f t="shared" si="22"/>
        <v>0</v>
      </c>
      <c r="BI34" s="580">
        <f t="shared" si="23"/>
        <v>0</v>
      </c>
      <c r="BJ34" s="285"/>
      <c r="BK34" s="290"/>
      <c r="BL34" s="573" t="s">
        <v>102</v>
      </c>
      <c r="BM34" s="574">
        <f>$L117/1000</f>
        <v>0</v>
      </c>
      <c r="BN34" s="575">
        <f>BM34*$AN$23</f>
        <v>0</v>
      </c>
      <c r="BO34" s="576">
        <f>BM34*$BB$23</f>
        <v>0</v>
      </c>
      <c r="BP34" s="576">
        <f>BM34*$BC$23</f>
        <v>0</v>
      </c>
      <c r="BQ34" s="574">
        <f t="shared" si="24"/>
        <v>0</v>
      </c>
      <c r="BR34" s="575">
        <f t="shared" si="25"/>
        <v>0</v>
      </c>
      <c r="BS34" s="580">
        <f t="shared" si="26"/>
        <v>0</v>
      </c>
      <c r="BT34" s="574">
        <f t="shared" si="27"/>
        <v>0</v>
      </c>
      <c r="BU34" s="575">
        <f t="shared" si="28"/>
        <v>0</v>
      </c>
      <c r="BV34" s="580">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36">
        <f>$W$35</f>
        <v>0.94079999999999997</v>
      </c>
      <c r="Y35" s="536">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73" t="s">
        <v>103</v>
      </c>
      <c r="AM35" s="574">
        <f>N77/1000</f>
        <v>0</v>
      </c>
      <c r="AN35" s="627">
        <f>AM35</f>
        <v>0</v>
      </c>
      <c r="AO35" s="628">
        <v>0</v>
      </c>
      <c r="AP35" s="628">
        <v>0</v>
      </c>
      <c r="AQ35" s="596">
        <f t="shared" si="13"/>
        <v>0</v>
      </c>
      <c r="AR35" s="576">
        <f t="shared" si="14"/>
        <v>0</v>
      </c>
      <c r="AS35" s="577">
        <f t="shared" si="15"/>
        <v>0</v>
      </c>
      <c r="AT35" s="574">
        <f>AN35-AQ35</f>
        <v>0</v>
      </c>
      <c r="AU35" s="575">
        <f>AO35-AR35</f>
        <v>0</v>
      </c>
      <c r="AV35" s="580">
        <f>AP35-AS35</f>
        <v>0</v>
      </c>
      <c r="AW35" s="285"/>
      <c r="AX35" s="290"/>
      <c r="AY35" s="573" t="s">
        <v>103</v>
      </c>
      <c r="AZ35" s="574">
        <f>N97/1000</f>
        <v>0</v>
      </c>
      <c r="BA35" s="627">
        <f>AZ35</f>
        <v>0</v>
      </c>
      <c r="BB35" s="628">
        <v>0</v>
      </c>
      <c r="BC35" s="628">
        <v>0</v>
      </c>
      <c r="BD35" s="574">
        <f t="shared" si="18"/>
        <v>0</v>
      </c>
      <c r="BE35" s="575">
        <f t="shared" si="19"/>
        <v>0</v>
      </c>
      <c r="BF35" s="580">
        <f t="shared" si="20"/>
        <v>0</v>
      </c>
      <c r="BG35" s="574">
        <f t="shared" si="21"/>
        <v>0</v>
      </c>
      <c r="BH35" s="575">
        <f t="shared" si="22"/>
        <v>0</v>
      </c>
      <c r="BI35" s="580">
        <f t="shared" si="23"/>
        <v>0</v>
      </c>
      <c r="BJ35" s="285"/>
      <c r="BK35" s="290"/>
      <c r="BL35" s="573" t="s">
        <v>103</v>
      </c>
      <c r="BM35" s="574">
        <f>N117/1000</f>
        <v>0</v>
      </c>
      <c r="BN35" s="627">
        <f>BM35</f>
        <v>0</v>
      </c>
      <c r="BO35" s="628">
        <v>0</v>
      </c>
      <c r="BP35" s="628">
        <v>0</v>
      </c>
      <c r="BQ35" s="574">
        <f t="shared" si="24"/>
        <v>0</v>
      </c>
      <c r="BR35" s="575">
        <f t="shared" si="25"/>
        <v>0</v>
      </c>
      <c r="BS35" s="580">
        <f t="shared" si="26"/>
        <v>0</v>
      </c>
      <c r="BT35" s="574">
        <f t="shared" si="27"/>
        <v>0</v>
      </c>
      <c r="BU35" s="575">
        <f t="shared" si="28"/>
        <v>0</v>
      </c>
      <c r="BV35" s="580">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36">
        <f>$W$35</f>
        <v>0.94079999999999997</v>
      </c>
      <c r="Y36" s="536">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73" t="s">
        <v>104</v>
      </c>
      <c r="AM36" s="574"/>
      <c r="AN36" s="627">
        <f>AM36</f>
        <v>0</v>
      </c>
      <c r="AO36" s="628">
        <v>0</v>
      </c>
      <c r="AP36" s="628">
        <v>0</v>
      </c>
      <c r="AQ36" s="596">
        <f t="shared" si="13"/>
        <v>0</v>
      </c>
      <c r="AR36" s="576">
        <f t="shared" si="14"/>
        <v>0</v>
      </c>
      <c r="AS36" s="577">
        <f t="shared" si="15"/>
        <v>0</v>
      </c>
      <c r="AT36" s="574"/>
      <c r="AU36" s="575"/>
      <c r="AV36" s="580"/>
      <c r="AW36" s="285"/>
      <c r="AX36" s="290"/>
      <c r="AY36" s="573" t="s">
        <v>104</v>
      </c>
      <c r="AZ36" s="574"/>
      <c r="BA36" s="627">
        <f>AZ36</f>
        <v>0</v>
      </c>
      <c r="BB36" s="628">
        <v>0</v>
      </c>
      <c r="BC36" s="628">
        <v>0</v>
      </c>
      <c r="BD36" s="574">
        <f t="shared" si="18"/>
        <v>0</v>
      </c>
      <c r="BE36" s="575">
        <f t="shared" si="19"/>
        <v>0</v>
      </c>
      <c r="BF36" s="580">
        <f t="shared" si="20"/>
        <v>0</v>
      </c>
      <c r="BG36" s="574"/>
      <c r="BH36" s="575"/>
      <c r="BI36" s="580"/>
      <c r="BJ36" s="285"/>
      <c r="BK36" s="290"/>
      <c r="BL36" s="573" t="s">
        <v>104</v>
      </c>
      <c r="BM36" s="574"/>
      <c r="BN36" s="627">
        <f>BM36</f>
        <v>0</v>
      </c>
      <c r="BO36" s="628">
        <v>0</v>
      </c>
      <c r="BP36" s="628">
        <v>0</v>
      </c>
      <c r="BQ36" s="574">
        <f t="shared" si="24"/>
        <v>0</v>
      </c>
      <c r="BR36" s="575">
        <f t="shared" si="25"/>
        <v>0</v>
      </c>
      <c r="BS36" s="580">
        <f t="shared" si="26"/>
        <v>0</v>
      </c>
      <c r="BT36" s="574"/>
      <c r="BU36" s="575"/>
      <c r="BV36" s="580"/>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72">
        <v>5</v>
      </c>
      <c r="W37" s="345">
        <f>M131</f>
        <v>0.93099999999999994</v>
      </c>
      <c r="X37" s="537">
        <f t="shared" ref="X37:Y50" si="40">W37</f>
        <v>0.93099999999999994</v>
      </c>
      <c r="Y37" s="537">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81" t="s">
        <v>61</v>
      </c>
      <c r="AM37" s="582">
        <f>M77/1000</f>
        <v>0</v>
      </c>
      <c r="AN37" s="575">
        <f>AM37*$AN$23</f>
        <v>0</v>
      </c>
      <c r="AO37" s="576">
        <f>AM37*$AO$23</f>
        <v>0</v>
      </c>
      <c r="AP37" s="576">
        <f>AM37*$AP$23</f>
        <v>0</v>
      </c>
      <c r="AQ37" s="596">
        <f t="shared" si="13"/>
        <v>0</v>
      </c>
      <c r="AR37" s="576">
        <f t="shared" si="14"/>
        <v>0</v>
      </c>
      <c r="AS37" s="577">
        <f t="shared" si="15"/>
        <v>0</v>
      </c>
      <c r="AT37" s="582">
        <f t="shared" ref="AT37:AV41" si="42">IFERROR(AQ37/W37,0)</f>
        <v>0</v>
      </c>
      <c r="AU37" s="583">
        <f t="shared" si="42"/>
        <v>0</v>
      </c>
      <c r="AV37" s="584">
        <f t="shared" si="42"/>
        <v>0</v>
      </c>
      <c r="AW37" s="285"/>
      <c r="AX37" s="352"/>
      <c r="AY37" s="581" t="s">
        <v>61</v>
      </c>
      <c r="AZ37" s="582">
        <f>M97/1000</f>
        <v>0</v>
      </c>
      <c r="BA37" s="575">
        <f>AZ37*$AN$23</f>
        <v>0</v>
      </c>
      <c r="BB37" s="576">
        <f t="shared" ref="BB37:BB55" si="43">AZ37*$BB$23</f>
        <v>0</v>
      </c>
      <c r="BC37" s="576">
        <f t="shared" ref="BC37:BC55" si="44">AZ37*$BC$23</f>
        <v>0</v>
      </c>
      <c r="BD37" s="582">
        <f t="shared" si="18"/>
        <v>0</v>
      </c>
      <c r="BE37" s="583">
        <f t="shared" si="19"/>
        <v>0</v>
      </c>
      <c r="BF37" s="584">
        <f t="shared" si="20"/>
        <v>0</v>
      </c>
      <c r="BG37" s="582">
        <f t="shared" ref="BG37:BG56" si="45">IFERROR(BD37/W37,0)</f>
        <v>0</v>
      </c>
      <c r="BH37" s="583">
        <f t="shared" ref="BH37:BH56" si="46">IFERROR(BE37/X37,0)</f>
        <v>0</v>
      </c>
      <c r="BI37" s="584">
        <f t="shared" ref="BI37:BI56" si="47">IFERROR(BF37/Y37,0)</f>
        <v>0</v>
      </c>
      <c r="BJ37" s="285"/>
      <c r="BK37" s="352"/>
      <c r="BL37" s="581" t="s">
        <v>61</v>
      </c>
      <c r="BM37" s="582">
        <f>M117/1000</f>
        <v>0</v>
      </c>
      <c r="BN37" s="575">
        <f>BM37*$AN$23</f>
        <v>0</v>
      </c>
      <c r="BO37" s="576">
        <f t="shared" ref="BO37:BO55" si="48">BM37*$BB$23</f>
        <v>0</v>
      </c>
      <c r="BP37" s="576">
        <f t="shared" ref="BP37:BP55" si="49">BM37*$BC$23</f>
        <v>0</v>
      </c>
      <c r="BQ37" s="582">
        <f t="shared" si="24"/>
        <v>0</v>
      </c>
      <c r="BR37" s="583">
        <f t="shared" si="25"/>
        <v>0</v>
      </c>
      <c r="BS37" s="584">
        <f t="shared" si="26"/>
        <v>0</v>
      </c>
      <c r="BT37" s="582">
        <f t="shared" ref="BT37:BT56" si="50">IFERROR(BQ37/W37,0)</f>
        <v>0</v>
      </c>
      <c r="BU37" s="583">
        <f t="shared" ref="BU37:BU56" si="51">IFERROR(BR37/X37,0)</f>
        <v>0</v>
      </c>
      <c r="BV37" s="584">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36">
        <f t="shared" si="40"/>
        <v>0.96039999999999992</v>
      </c>
      <c r="Y38" s="536">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44" t="str">
        <f ca="1">F38</f>
        <v>ICDCO</v>
      </c>
      <c r="AL38" s="585" t="s">
        <v>97</v>
      </c>
      <c r="AM38" s="586">
        <f>I78/1000</f>
        <v>0</v>
      </c>
      <c r="AN38" s="579">
        <f>AM38*$AN$23</f>
        <v>0</v>
      </c>
      <c r="AO38" s="579">
        <f>AM38*(1-$AN$23)</f>
        <v>0</v>
      </c>
      <c r="AP38" s="579"/>
      <c r="AQ38" s="578">
        <f t="shared" si="13"/>
        <v>0</v>
      </c>
      <c r="AR38" s="579">
        <f t="shared" si="14"/>
        <v>0</v>
      </c>
      <c r="AS38" s="587">
        <f t="shared" si="15"/>
        <v>0</v>
      </c>
      <c r="AT38" s="586">
        <f t="shared" si="42"/>
        <v>0</v>
      </c>
      <c r="AU38" s="588">
        <f t="shared" si="42"/>
        <v>0</v>
      </c>
      <c r="AV38" s="589">
        <f t="shared" si="42"/>
        <v>0</v>
      </c>
      <c r="AW38" s="285"/>
      <c r="AX38" s="544" t="str">
        <f t="shared" ca="1" si="17"/>
        <v>ICDCO</v>
      </c>
      <c r="AY38" s="585" t="s">
        <v>97</v>
      </c>
      <c r="AZ38" s="586">
        <f>I98/1000</f>
        <v>0</v>
      </c>
      <c r="BA38" s="579">
        <f>AZ38*$AN$23</f>
        <v>0</v>
      </c>
      <c r="BB38" s="579">
        <f t="shared" si="43"/>
        <v>0</v>
      </c>
      <c r="BC38" s="579">
        <f t="shared" si="44"/>
        <v>0</v>
      </c>
      <c r="BD38" s="586">
        <f t="shared" si="18"/>
        <v>0</v>
      </c>
      <c r="BE38" s="588">
        <f t="shared" si="19"/>
        <v>0</v>
      </c>
      <c r="BF38" s="589">
        <f t="shared" si="20"/>
        <v>0</v>
      </c>
      <c r="BG38" s="586">
        <f t="shared" si="45"/>
        <v>0</v>
      </c>
      <c r="BH38" s="588">
        <f t="shared" si="46"/>
        <v>0</v>
      </c>
      <c r="BI38" s="589">
        <f t="shared" si="47"/>
        <v>0</v>
      </c>
      <c r="BJ38" s="285"/>
      <c r="BK38" s="544" t="str">
        <f ca="1">AK38</f>
        <v>ICDCO</v>
      </c>
      <c r="BL38" s="585" t="s">
        <v>97</v>
      </c>
      <c r="BM38" s="586">
        <f>I118/1000</f>
        <v>0</v>
      </c>
      <c r="BN38" s="579">
        <f>BM38*$AN$23</f>
        <v>0</v>
      </c>
      <c r="BO38" s="579">
        <f t="shared" si="48"/>
        <v>0</v>
      </c>
      <c r="BP38" s="579">
        <f t="shared" si="49"/>
        <v>0</v>
      </c>
      <c r="BQ38" s="586">
        <f t="shared" si="24"/>
        <v>0</v>
      </c>
      <c r="BR38" s="588">
        <f t="shared" si="25"/>
        <v>0</v>
      </c>
      <c r="BS38" s="589">
        <f t="shared" si="26"/>
        <v>0</v>
      </c>
      <c r="BT38" s="586">
        <f t="shared" si="50"/>
        <v>0</v>
      </c>
      <c r="BU38" s="588">
        <f t="shared" si="51"/>
        <v>0</v>
      </c>
      <c r="BV38" s="589">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36">
        <f t="shared" si="40"/>
        <v>0.91237999999999997</v>
      </c>
      <c r="Y39" s="536">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73" t="s">
        <v>98</v>
      </c>
      <c r="AM39" s="574">
        <f>D78/1000</f>
        <v>0</v>
      </c>
      <c r="AN39" s="576">
        <f>AM39*$AN$23</f>
        <v>0</v>
      </c>
      <c r="AO39" s="576">
        <f>AM39*(1-$AN$23)</f>
        <v>0</v>
      </c>
      <c r="AP39" s="576"/>
      <c r="AQ39" s="596">
        <f t="shared" si="13"/>
        <v>0</v>
      </c>
      <c r="AR39" s="576">
        <f t="shared" si="14"/>
        <v>0</v>
      </c>
      <c r="AS39" s="577">
        <f t="shared" si="15"/>
        <v>0</v>
      </c>
      <c r="AT39" s="574">
        <f t="shared" si="42"/>
        <v>0</v>
      </c>
      <c r="AU39" s="575">
        <f t="shared" si="42"/>
        <v>0</v>
      </c>
      <c r="AV39" s="580">
        <f t="shared" si="42"/>
        <v>0</v>
      </c>
      <c r="AW39" s="285"/>
      <c r="AX39" s="290"/>
      <c r="AY39" s="573" t="s">
        <v>98</v>
      </c>
      <c r="AZ39" s="574">
        <f>D98/1000</f>
        <v>0</v>
      </c>
      <c r="BA39" s="576">
        <f>AZ39*$AN$23</f>
        <v>0</v>
      </c>
      <c r="BB39" s="576">
        <f t="shared" si="43"/>
        <v>0</v>
      </c>
      <c r="BC39" s="576">
        <f t="shared" si="44"/>
        <v>0</v>
      </c>
      <c r="BD39" s="574">
        <f t="shared" si="18"/>
        <v>0</v>
      </c>
      <c r="BE39" s="575">
        <f t="shared" si="19"/>
        <v>0</v>
      </c>
      <c r="BF39" s="580">
        <f t="shared" si="20"/>
        <v>0</v>
      </c>
      <c r="BG39" s="574">
        <f t="shared" si="45"/>
        <v>0</v>
      </c>
      <c r="BH39" s="575">
        <f t="shared" si="46"/>
        <v>0</v>
      </c>
      <c r="BI39" s="580">
        <f t="shared" si="47"/>
        <v>0</v>
      </c>
      <c r="BJ39" s="285"/>
      <c r="BK39" s="290"/>
      <c r="BL39" s="573" t="s">
        <v>98</v>
      </c>
      <c r="BM39" s="574">
        <f>D118/1000</f>
        <v>0</v>
      </c>
      <c r="BN39" s="576">
        <f>BM39*$AN$23</f>
        <v>0</v>
      </c>
      <c r="BO39" s="576">
        <f t="shared" si="48"/>
        <v>0</v>
      </c>
      <c r="BP39" s="576">
        <f t="shared" si="49"/>
        <v>0</v>
      </c>
      <c r="BQ39" s="574">
        <f t="shared" si="24"/>
        <v>0</v>
      </c>
      <c r="BR39" s="575">
        <f t="shared" si="25"/>
        <v>0</v>
      </c>
      <c r="BS39" s="580">
        <f t="shared" si="26"/>
        <v>0</v>
      </c>
      <c r="BT39" s="574">
        <f t="shared" si="50"/>
        <v>0</v>
      </c>
      <c r="BU39" s="575">
        <f t="shared" si="51"/>
        <v>0</v>
      </c>
      <c r="BV39" s="580">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36">
        <f t="shared" si="40"/>
        <v>0.92198399999999991</v>
      </c>
      <c r="Y40" s="536">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73" t="s">
        <v>59</v>
      </c>
      <c r="AM40" s="574">
        <f>F78/1000</f>
        <v>0</v>
      </c>
      <c r="AN40" s="576">
        <f>AM40*$AN$23</f>
        <v>0</v>
      </c>
      <c r="AO40" s="576">
        <f>AM40*(1-$AN$23)</f>
        <v>0</v>
      </c>
      <c r="AP40" s="576"/>
      <c r="AQ40" s="596">
        <f t="shared" si="13"/>
        <v>0</v>
      </c>
      <c r="AR40" s="576">
        <f t="shared" si="14"/>
        <v>0</v>
      </c>
      <c r="AS40" s="577">
        <f t="shared" si="15"/>
        <v>0</v>
      </c>
      <c r="AT40" s="574">
        <f t="shared" si="42"/>
        <v>0</v>
      </c>
      <c r="AU40" s="575">
        <f t="shared" si="42"/>
        <v>0</v>
      </c>
      <c r="AV40" s="580">
        <f t="shared" si="42"/>
        <v>0</v>
      </c>
      <c r="AW40" s="285"/>
      <c r="AX40" s="290"/>
      <c r="AY40" s="573" t="s">
        <v>59</v>
      </c>
      <c r="AZ40" s="574">
        <f>F98/1000</f>
        <v>0</v>
      </c>
      <c r="BA40" s="576">
        <f>AZ40*$AN$23</f>
        <v>0</v>
      </c>
      <c r="BB40" s="576">
        <f t="shared" si="43"/>
        <v>0</v>
      </c>
      <c r="BC40" s="576">
        <f t="shared" si="44"/>
        <v>0</v>
      </c>
      <c r="BD40" s="574">
        <f t="shared" si="18"/>
        <v>0</v>
      </c>
      <c r="BE40" s="575">
        <f t="shared" si="19"/>
        <v>0</v>
      </c>
      <c r="BF40" s="580">
        <f t="shared" si="20"/>
        <v>0</v>
      </c>
      <c r="BG40" s="574">
        <f t="shared" si="45"/>
        <v>0</v>
      </c>
      <c r="BH40" s="575">
        <f t="shared" si="46"/>
        <v>0</v>
      </c>
      <c r="BI40" s="580">
        <f t="shared" si="47"/>
        <v>0</v>
      </c>
      <c r="BJ40" s="285"/>
      <c r="BK40" s="290"/>
      <c r="BL40" s="573" t="s">
        <v>59</v>
      </c>
      <c r="BM40" s="574">
        <f>F118/1000</f>
        <v>0</v>
      </c>
      <c r="BN40" s="576">
        <f>BM40*$AN$23</f>
        <v>0</v>
      </c>
      <c r="BO40" s="576">
        <f t="shared" si="48"/>
        <v>0</v>
      </c>
      <c r="BP40" s="576">
        <f t="shared" si="49"/>
        <v>0</v>
      </c>
      <c r="BQ40" s="574">
        <f t="shared" si="24"/>
        <v>0</v>
      </c>
      <c r="BR40" s="575">
        <f t="shared" si="25"/>
        <v>0</v>
      </c>
      <c r="BS40" s="580">
        <f t="shared" si="26"/>
        <v>0</v>
      </c>
      <c r="BT40" s="574">
        <f t="shared" si="50"/>
        <v>0</v>
      </c>
      <c r="BU40" s="575">
        <f t="shared" si="51"/>
        <v>0</v>
      </c>
      <c r="BV40" s="580">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36">
        <f t="shared" si="40"/>
        <v>0.81633999999999995</v>
      </c>
      <c r="Y41" s="536">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73" t="s">
        <v>99</v>
      </c>
      <c r="AM41" s="574">
        <f>K78/1000</f>
        <v>0</v>
      </c>
      <c r="AN41" s="576">
        <f>AM41*$AN$23</f>
        <v>0</v>
      </c>
      <c r="AO41" s="576">
        <f>AM41*(1-$AN$23)</f>
        <v>0</v>
      </c>
      <c r="AP41" s="576"/>
      <c r="AQ41" s="596">
        <f t="shared" si="13"/>
        <v>0</v>
      </c>
      <c r="AR41" s="576">
        <f t="shared" si="14"/>
        <v>0</v>
      </c>
      <c r="AS41" s="577">
        <f t="shared" si="15"/>
        <v>0</v>
      </c>
      <c r="AT41" s="574">
        <f t="shared" si="42"/>
        <v>0</v>
      </c>
      <c r="AU41" s="575">
        <f t="shared" si="42"/>
        <v>0</v>
      </c>
      <c r="AV41" s="580">
        <f t="shared" si="42"/>
        <v>0</v>
      </c>
      <c r="AW41" s="285"/>
      <c r="AX41" s="290"/>
      <c r="AY41" s="573" t="s">
        <v>99</v>
      </c>
      <c r="AZ41" s="574">
        <f>K98/1000</f>
        <v>0</v>
      </c>
      <c r="BA41" s="576">
        <f>AZ41*$AN$23</f>
        <v>0</v>
      </c>
      <c r="BB41" s="576">
        <f t="shared" si="43"/>
        <v>0</v>
      </c>
      <c r="BC41" s="576">
        <f t="shared" si="44"/>
        <v>0</v>
      </c>
      <c r="BD41" s="574">
        <f t="shared" si="18"/>
        <v>0</v>
      </c>
      <c r="BE41" s="575">
        <f t="shared" si="19"/>
        <v>0</v>
      </c>
      <c r="BF41" s="580">
        <f t="shared" si="20"/>
        <v>0</v>
      </c>
      <c r="BG41" s="574">
        <f t="shared" si="45"/>
        <v>0</v>
      </c>
      <c r="BH41" s="575">
        <f t="shared" si="46"/>
        <v>0</v>
      </c>
      <c r="BI41" s="580">
        <f t="shared" si="47"/>
        <v>0</v>
      </c>
      <c r="BJ41" s="285"/>
      <c r="BK41" s="290"/>
      <c r="BL41" s="573" t="s">
        <v>99</v>
      </c>
      <c r="BM41" s="574">
        <f>K118/1000</f>
        <v>0</v>
      </c>
      <c r="BN41" s="576">
        <f>BM41*$AN$23</f>
        <v>0</v>
      </c>
      <c r="BO41" s="576">
        <f t="shared" si="48"/>
        <v>0</v>
      </c>
      <c r="BP41" s="576">
        <f t="shared" si="49"/>
        <v>0</v>
      </c>
      <c r="BQ41" s="574">
        <f t="shared" si="24"/>
        <v>0</v>
      </c>
      <c r="BR41" s="575">
        <f t="shared" si="25"/>
        <v>0</v>
      </c>
      <c r="BS41" s="580">
        <f t="shared" si="26"/>
        <v>0</v>
      </c>
      <c r="BT41" s="574">
        <f t="shared" si="50"/>
        <v>0</v>
      </c>
      <c r="BU41" s="575">
        <f t="shared" si="51"/>
        <v>0</v>
      </c>
      <c r="BV41" s="580">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13"/>
        <v>0</v>
      </c>
      <c r="AR42" s="576">
        <f t="shared" si="14"/>
        <v>0</v>
      </c>
      <c r="AS42" s="577">
        <f t="shared" si="15"/>
        <v>0</v>
      </c>
      <c r="AT42" s="574"/>
      <c r="AU42" s="575"/>
      <c r="AV42" s="580"/>
      <c r="AW42" s="285"/>
      <c r="AX42" s="290"/>
      <c r="AY42" s="573" t="s">
        <v>107</v>
      </c>
      <c r="AZ42" s="574"/>
      <c r="BA42" s="576"/>
      <c r="BB42" s="576">
        <f t="shared" si="43"/>
        <v>0</v>
      </c>
      <c r="BC42" s="576">
        <f t="shared" si="44"/>
        <v>0</v>
      </c>
      <c r="BD42" s="574">
        <f t="shared" si="18"/>
        <v>0</v>
      </c>
      <c r="BE42" s="575">
        <f t="shared" si="19"/>
        <v>0</v>
      </c>
      <c r="BF42" s="580">
        <f t="shared" si="20"/>
        <v>0</v>
      </c>
      <c r="BG42" s="574">
        <f t="shared" si="45"/>
        <v>0</v>
      </c>
      <c r="BH42" s="575">
        <f t="shared" si="46"/>
        <v>0</v>
      </c>
      <c r="BI42" s="580">
        <f t="shared" si="47"/>
        <v>0</v>
      </c>
      <c r="BJ42" s="285"/>
      <c r="BK42" s="290"/>
      <c r="BL42" s="573" t="s">
        <v>107</v>
      </c>
      <c r="BM42" s="574"/>
      <c r="BN42" s="576"/>
      <c r="BO42" s="576">
        <f t="shared" si="48"/>
        <v>0</v>
      </c>
      <c r="BP42" s="576">
        <f t="shared" si="49"/>
        <v>0</v>
      </c>
      <c r="BQ42" s="574">
        <f t="shared" si="24"/>
        <v>0</v>
      </c>
      <c r="BR42" s="575">
        <f t="shared" si="25"/>
        <v>0</v>
      </c>
      <c r="BS42" s="580">
        <f t="shared" si="26"/>
        <v>0</v>
      </c>
      <c r="BT42" s="574">
        <f t="shared" si="50"/>
        <v>0</v>
      </c>
      <c r="BU42" s="575">
        <f t="shared" si="51"/>
        <v>0</v>
      </c>
      <c r="BV42" s="580">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36">
        <f t="shared" ref="X43:Y45" si="56">W43</f>
        <v>0.91237999999999997</v>
      </c>
      <c r="Y43" s="536">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73" t="s">
        <v>101</v>
      </c>
      <c r="AM43" s="574">
        <f>E78/1000</f>
        <v>0</v>
      </c>
      <c r="AN43" s="576">
        <f t="shared" ref="AN43:AN55" si="60">AM43*$AN$23</f>
        <v>0</v>
      </c>
      <c r="AO43" s="576">
        <f>AM43*(1-$AN$23)</f>
        <v>0</v>
      </c>
      <c r="AP43" s="576"/>
      <c r="AQ43" s="596">
        <f t="shared" si="13"/>
        <v>0</v>
      </c>
      <c r="AR43" s="576">
        <f t="shared" si="14"/>
        <v>0</v>
      </c>
      <c r="AS43" s="577">
        <f t="shared" si="15"/>
        <v>0</v>
      </c>
      <c r="AT43" s="574">
        <f t="shared" ref="AT43:AV50" si="61">IFERROR(AQ43/W43,0)</f>
        <v>0</v>
      </c>
      <c r="AU43" s="575">
        <f t="shared" si="61"/>
        <v>0</v>
      </c>
      <c r="AV43" s="580">
        <f t="shared" si="61"/>
        <v>0</v>
      </c>
      <c r="AW43" s="285"/>
      <c r="AX43" s="290"/>
      <c r="AY43" s="573" t="s">
        <v>101</v>
      </c>
      <c r="AZ43" s="574">
        <f>E98/1000</f>
        <v>0</v>
      </c>
      <c r="BA43" s="576">
        <f t="shared" ref="BA43:BA50" si="62">AZ43*$AN$23</f>
        <v>0</v>
      </c>
      <c r="BB43" s="576">
        <f t="shared" si="43"/>
        <v>0</v>
      </c>
      <c r="BC43" s="576">
        <f t="shared" si="44"/>
        <v>0</v>
      </c>
      <c r="BD43" s="574">
        <f t="shared" si="18"/>
        <v>0</v>
      </c>
      <c r="BE43" s="575">
        <f t="shared" si="19"/>
        <v>0</v>
      </c>
      <c r="BF43" s="580">
        <f t="shared" si="20"/>
        <v>0</v>
      </c>
      <c r="BG43" s="574">
        <f t="shared" si="45"/>
        <v>0</v>
      </c>
      <c r="BH43" s="575">
        <f t="shared" si="46"/>
        <v>0</v>
      </c>
      <c r="BI43" s="580">
        <f t="shared" si="47"/>
        <v>0</v>
      </c>
      <c r="BJ43" s="285"/>
      <c r="BK43" s="290"/>
      <c r="BL43" s="573" t="s">
        <v>101</v>
      </c>
      <c r="BM43" s="574">
        <f>E118/1000</f>
        <v>0</v>
      </c>
      <c r="BN43" s="576">
        <f t="shared" ref="BN43:BN50" si="63">BM43*$AN$23</f>
        <v>0</v>
      </c>
      <c r="BO43" s="576">
        <f t="shared" si="48"/>
        <v>0</v>
      </c>
      <c r="BP43" s="576">
        <f t="shared" si="49"/>
        <v>0</v>
      </c>
      <c r="BQ43" s="574">
        <f t="shared" si="24"/>
        <v>0</v>
      </c>
      <c r="BR43" s="575">
        <f t="shared" si="25"/>
        <v>0</v>
      </c>
      <c r="BS43" s="580">
        <f t="shared" si="26"/>
        <v>0</v>
      </c>
      <c r="BT43" s="574">
        <f t="shared" si="50"/>
        <v>0</v>
      </c>
      <c r="BU43" s="575">
        <f t="shared" si="51"/>
        <v>0</v>
      </c>
      <c r="BV43" s="580">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f t="shared" si="55"/>
        <v>0</v>
      </c>
      <c r="N44" s="322">
        <f t="shared" si="55"/>
        <v>0</v>
      </c>
      <c r="O44" s="322">
        <f t="shared" si="55"/>
        <v>0</v>
      </c>
      <c r="P44" s="322">
        <f t="shared" si="3"/>
        <v>0</v>
      </c>
      <c r="Q44" s="322">
        <f t="shared" si="4"/>
        <v>0</v>
      </c>
      <c r="R44" s="322">
        <f t="shared" si="5"/>
        <v>0</v>
      </c>
      <c r="S44" s="322">
        <f t="shared" si="6"/>
        <v>0</v>
      </c>
      <c r="T44" s="322">
        <f t="shared" si="7"/>
        <v>0</v>
      </c>
      <c r="U44" s="322">
        <f t="shared" si="8"/>
        <v>0</v>
      </c>
      <c r="V44" s="322">
        <v>5</v>
      </c>
      <c r="W44" s="343">
        <f>H132</f>
        <v>0.96039999999999992</v>
      </c>
      <c r="X44" s="536">
        <f t="shared" si="56"/>
        <v>0.96039999999999992</v>
      </c>
      <c r="Y44" s="536">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f t="shared" si="59"/>
        <v>0</v>
      </c>
      <c r="AJ44" s="285"/>
      <c r="AK44" s="290"/>
      <c r="AL44" s="573" t="s">
        <v>53</v>
      </c>
      <c r="AM44" s="574">
        <f>H78/1000</f>
        <v>0</v>
      </c>
      <c r="AN44" s="576">
        <f t="shared" si="60"/>
        <v>0</v>
      </c>
      <c r="AO44" s="576">
        <f>AM44*(1-$AN$23)</f>
        <v>0</v>
      </c>
      <c r="AP44" s="576"/>
      <c r="AQ44" s="596">
        <f t="shared" si="13"/>
        <v>0</v>
      </c>
      <c r="AR44" s="576">
        <f t="shared" si="14"/>
        <v>0</v>
      </c>
      <c r="AS44" s="577">
        <f t="shared" si="15"/>
        <v>0</v>
      </c>
      <c r="AT44" s="574">
        <f t="shared" si="61"/>
        <v>0</v>
      </c>
      <c r="AU44" s="575">
        <f t="shared" si="61"/>
        <v>0</v>
      </c>
      <c r="AV44" s="580">
        <f t="shared" si="61"/>
        <v>0</v>
      </c>
      <c r="AW44" s="285"/>
      <c r="AX44" s="290"/>
      <c r="AY44" s="573" t="s">
        <v>53</v>
      </c>
      <c r="AZ44" s="574">
        <f>H98/1000</f>
        <v>0</v>
      </c>
      <c r="BA44" s="576">
        <f t="shared" si="62"/>
        <v>0</v>
      </c>
      <c r="BB44" s="576">
        <f t="shared" si="43"/>
        <v>0</v>
      </c>
      <c r="BC44" s="576">
        <f t="shared" si="44"/>
        <v>0</v>
      </c>
      <c r="BD44" s="574">
        <f t="shared" si="18"/>
        <v>0</v>
      </c>
      <c r="BE44" s="575">
        <f t="shared" si="19"/>
        <v>0</v>
      </c>
      <c r="BF44" s="580">
        <f t="shared" si="20"/>
        <v>0</v>
      </c>
      <c r="BG44" s="574">
        <f t="shared" si="45"/>
        <v>0</v>
      </c>
      <c r="BH44" s="575">
        <f t="shared" si="46"/>
        <v>0</v>
      </c>
      <c r="BI44" s="580">
        <f t="shared" si="47"/>
        <v>0</v>
      </c>
      <c r="BJ44" s="285"/>
      <c r="BK44" s="290"/>
      <c r="BL44" s="573" t="s">
        <v>53</v>
      </c>
      <c r="BM44" s="574">
        <f>H118/1000</f>
        <v>0</v>
      </c>
      <c r="BN44" s="576">
        <f t="shared" si="63"/>
        <v>0</v>
      </c>
      <c r="BO44" s="576">
        <f t="shared" si="48"/>
        <v>0</v>
      </c>
      <c r="BP44" s="576">
        <f t="shared" si="49"/>
        <v>0</v>
      </c>
      <c r="BQ44" s="574">
        <f t="shared" si="24"/>
        <v>0</v>
      </c>
      <c r="BR44" s="575">
        <f t="shared" si="25"/>
        <v>0</v>
      </c>
      <c r="BS44" s="580">
        <f t="shared" si="26"/>
        <v>0</v>
      </c>
      <c r="BT44" s="574">
        <f t="shared" si="50"/>
        <v>0</v>
      </c>
      <c r="BU44" s="575">
        <f t="shared" si="51"/>
        <v>0</v>
      </c>
      <c r="BV44" s="580">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36">
        <f t="shared" si="56"/>
        <v>0.91237999999999997</v>
      </c>
      <c r="Y45" s="536">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73" t="s">
        <v>102</v>
      </c>
      <c r="AM45" s="574">
        <f>$L78/1000</f>
        <v>0</v>
      </c>
      <c r="AN45" s="575">
        <f t="shared" si="60"/>
        <v>0</v>
      </c>
      <c r="AO45" s="576">
        <f>AM45*(1-$AN$23)</f>
        <v>0</v>
      </c>
      <c r="AP45" s="576"/>
      <c r="AQ45" s="596">
        <f t="shared" si="13"/>
        <v>0</v>
      </c>
      <c r="AR45" s="576">
        <f t="shared" si="14"/>
        <v>0</v>
      </c>
      <c r="AS45" s="577">
        <f t="shared" si="15"/>
        <v>0</v>
      </c>
      <c r="AT45" s="574">
        <f t="shared" si="61"/>
        <v>0</v>
      </c>
      <c r="AU45" s="575">
        <f t="shared" si="61"/>
        <v>0</v>
      </c>
      <c r="AV45" s="580">
        <f t="shared" si="61"/>
        <v>0</v>
      </c>
      <c r="AW45" s="285"/>
      <c r="AX45" s="290"/>
      <c r="AY45" s="573" t="s">
        <v>102</v>
      </c>
      <c r="AZ45" s="574">
        <f>$L98/1000</f>
        <v>0</v>
      </c>
      <c r="BA45" s="575">
        <f t="shared" si="62"/>
        <v>0</v>
      </c>
      <c r="BB45" s="576">
        <f t="shared" si="43"/>
        <v>0</v>
      </c>
      <c r="BC45" s="576">
        <f t="shared" si="44"/>
        <v>0</v>
      </c>
      <c r="BD45" s="574">
        <f t="shared" si="18"/>
        <v>0</v>
      </c>
      <c r="BE45" s="575">
        <f t="shared" si="19"/>
        <v>0</v>
      </c>
      <c r="BF45" s="580">
        <f t="shared" si="20"/>
        <v>0</v>
      </c>
      <c r="BG45" s="574">
        <f t="shared" si="45"/>
        <v>0</v>
      </c>
      <c r="BH45" s="575">
        <f t="shared" si="46"/>
        <v>0</v>
      </c>
      <c r="BI45" s="580">
        <f t="shared" si="47"/>
        <v>0</v>
      </c>
      <c r="BJ45" s="285"/>
      <c r="BK45" s="290"/>
      <c r="BL45" s="573" t="s">
        <v>102</v>
      </c>
      <c r="BM45" s="574">
        <f>$L118/1000</f>
        <v>0</v>
      </c>
      <c r="BN45" s="575">
        <f t="shared" si="63"/>
        <v>0</v>
      </c>
      <c r="BO45" s="576">
        <f t="shared" si="48"/>
        <v>0</v>
      </c>
      <c r="BP45" s="576">
        <f t="shared" si="49"/>
        <v>0</v>
      </c>
      <c r="BQ45" s="574">
        <f t="shared" si="24"/>
        <v>0</v>
      </c>
      <c r="BR45" s="575">
        <f t="shared" si="25"/>
        <v>0</v>
      </c>
      <c r="BS45" s="580">
        <f t="shared" si="26"/>
        <v>0</v>
      </c>
      <c r="BT45" s="574">
        <f t="shared" si="50"/>
        <v>0</v>
      </c>
      <c r="BU45" s="575">
        <f t="shared" si="51"/>
        <v>0</v>
      </c>
      <c r="BV45" s="580">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1219.8109999999999</v>
      </c>
      <c r="N46" s="324">
        <f t="shared" si="55"/>
        <v>0</v>
      </c>
      <c r="O46" s="324">
        <f t="shared" si="55"/>
        <v>0</v>
      </c>
      <c r="P46" s="324">
        <f t="shared" si="3"/>
        <v>1219.8109999999999</v>
      </c>
      <c r="Q46" s="324">
        <f t="shared" si="4"/>
        <v>0</v>
      </c>
      <c r="R46" s="324">
        <f t="shared" si="5"/>
        <v>0</v>
      </c>
      <c r="S46" s="324">
        <f t="shared" si="6"/>
        <v>0</v>
      </c>
      <c r="T46" s="324">
        <f t="shared" si="7"/>
        <v>0</v>
      </c>
      <c r="U46" s="324">
        <f t="shared" si="8"/>
        <v>0</v>
      </c>
      <c r="V46" s="572">
        <v>5</v>
      </c>
      <c r="W46" s="345">
        <f>M132</f>
        <v>0.91237999999999997</v>
      </c>
      <c r="X46" s="537">
        <f t="shared" si="40"/>
        <v>0.91237999999999997</v>
      </c>
      <c r="Y46" s="537">
        <f t="shared" si="40"/>
        <v>0.91237999999999997</v>
      </c>
      <c r="Z46" s="320">
        <f t="shared" si="41"/>
        <v>3.1536000000000002E-2</v>
      </c>
      <c r="AA46" s="391">
        <f t="shared" si="57"/>
        <v>0.5</v>
      </c>
      <c r="AB46" s="330">
        <v>20</v>
      </c>
      <c r="AC46" s="320"/>
      <c r="AD46" s="320"/>
      <c r="AE46" s="330"/>
      <c r="AG46" s="637">
        <f>((G46*Z46*AA46/W46)+(H46*Z46*AA46/X46))</f>
        <v>21.761734137092002</v>
      </c>
      <c r="AH46" s="236">
        <f t="shared" si="58"/>
        <v>21.172152996005007</v>
      </c>
      <c r="AI46" s="236">
        <f t="shared" si="59"/>
        <v>20.872382564239018</v>
      </c>
      <c r="AJ46" s="285"/>
      <c r="AK46" s="355"/>
      <c r="AL46" s="581" t="s">
        <v>61</v>
      </c>
      <c r="AM46" s="639">
        <f>M78/1000</f>
        <v>20.725452000000001</v>
      </c>
      <c r="AN46" s="638">
        <f t="shared" si="60"/>
        <v>20.725452000000001</v>
      </c>
      <c r="AO46" s="590">
        <f>AM46*(1-$AN$23)</f>
        <v>0</v>
      </c>
      <c r="AP46" s="590"/>
      <c r="AQ46" s="640">
        <f t="shared" si="13"/>
        <v>18.909496182857144</v>
      </c>
      <c r="AR46" s="590">
        <f t="shared" si="14"/>
        <v>0</v>
      </c>
      <c r="AS46" s="591">
        <f t="shared" si="15"/>
        <v>0</v>
      </c>
      <c r="AT46" s="582">
        <f t="shared" si="61"/>
        <v>20.725461082944765</v>
      </c>
      <c r="AU46" s="583">
        <f t="shared" si="61"/>
        <v>0</v>
      </c>
      <c r="AV46" s="584">
        <f t="shared" si="61"/>
        <v>0</v>
      </c>
      <c r="AW46" s="285"/>
      <c r="AX46" s="355"/>
      <c r="AY46" s="581" t="s">
        <v>61</v>
      </c>
      <c r="AZ46" s="582">
        <f>M98/1000</f>
        <v>21.172139999999999</v>
      </c>
      <c r="BA46" s="590">
        <f t="shared" si="62"/>
        <v>21.172139999999999</v>
      </c>
      <c r="BB46" s="590">
        <f t="shared" si="43"/>
        <v>0</v>
      </c>
      <c r="BC46" s="590">
        <f t="shared" si="44"/>
        <v>0</v>
      </c>
      <c r="BD46" s="582">
        <f t="shared" si="18"/>
        <v>19.31704895049505</v>
      </c>
      <c r="BE46" s="583">
        <f t="shared" si="19"/>
        <v>0</v>
      </c>
      <c r="BF46" s="584">
        <f t="shared" si="20"/>
        <v>0</v>
      </c>
      <c r="BG46" s="582">
        <f t="shared" si="45"/>
        <v>21.172152996005011</v>
      </c>
      <c r="BH46" s="583">
        <f t="shared" si="46"/>
        <v>0</v>
      </c>
      <c r="BI46" s="584">
        <f t="shared" si="47"/>
        <v>0</v>
      </c>
      <c r="BJ46" s="285"/>
      <c r="BK46" s="355"/>
      <c r="BL46" s="581" t="s">
        <v>61</v>
      </c>
      <c r="BM46" s="582">
        <f>M118/1000</f>
        <v>20.872367999999998</v>
      </c>
      <c r="BN46" s="590">
        <f t="shared" si="63"/>
        <v>20.872367999999998</v>
      </c>
      <c r="BO46" s="590">
        <f t="shared" si="48"/>
        <v>0</v>
      </c>
      <c r="BP46" s="590">
        <f t="shared" si="49"/>
        <v>0</v>
      </c>
      <c r="BQ46" s="582">
        <f t="shared" si="24"/>
        <v>19.043544403960396</v>
      </c>
      <c r="BR46" s="583">
        <f t="shared" si="25"/>
        <v>0</v>
      </c>
      <c r="BS46" s="584">
        <f t="shared" si="26"/>
        <v>0</v>
      </c>
      <c r="BT46" s="582">
        <f t="shared" si="50"/>
        <v>20.872382564239022</v>
      </c>
      <c r="BU46" s="583">
        <f t="shared" si="51"/>
        <v>0</v>
      </c>
      <c r="BV46" s="584">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1492.4680000000001</v>
      </c>
      <c r="H47" s="322">
        <f t="shared" si="53"/>
        <v>0</v>
      </c>
      <c r="I47" s="322">
        <f t="shared" si="53"/>
        <v>0</v>
      </c>
      <c r="J47" s="322">
        <f t="shared" si="54"/>
        <v>1311.7090000000001</v>
      </c>
      <c r="K47" s="322">
        <f t="shared" si="54"/>
        <v>0</v>
      </c>
      <c r="L47" s="322">
        <f t="shared" si="54"/>
        <v>0</v>
      </c>
      <c r="M47" s="322">
        <f t="shared" si="55"/>
        <v>1343.75</v>
      </c>
      <c r="N47" s="322">
        <f t="shared" si="55"/>
        <v>0</v>
      </c>
      <c r="O47" s="322">
        <f t="shared" si="55"/>
        <v>0</v>
      </c>
      <c r="P47" s="322">
        <f t="shared" si="3"/>
        <v>1343.75</v>
      </c>
      <c r="Q47" s="322">
        <f t="shared" si="4"/>
        <v>0</v>
      </c>
      <c r="R47" s="322">
        <f t="shared" si="5"/>
        <v>0</v>
      </c>
      <c r="S47" s="322">
        <f t="shared" si="6"/>
        <v>0</v>
      </c>
      <c r="T47" s="322">
        <f t="shared" si="7"/>
        <v>0</v>
      </c>
      <c r="U47" s="322">
        <f t="shared" si="8"/>
        <v>0</v>
      </c>
      <c r="V47" s="322">
        <v>5</v>
      </c>
      <c r="W47" s="343">
        <f>I136</f>
        <v>1</v>
      </c>
      <c r="X47" s="536">
        <f t="shared" si="40"/>
        <v>1</v>
      </c>
      <c r="Y47" s="536">
        <f t="shared" si="40"/>
        <v>1</v>
      </c>
      <c r="Z47" s="319">
        <f t="shared" si="41"/>
        <v>3.1536000000000002E-2</v>
      </c>
      <c r="AA47" s="392">
        <f t="shared" si="57"/>
        <v>0.5</v>
      </c>
      <c r="AB47" s="331">
        <v>20</v>
      </c>
      <c r="AC47" s="326"/>
      <c r="AD47" s="319"/>
      <c r="AE47" s="331"/>
      <c r="AG47" s="236">
        <f>((G47*Z47*AA47/W47)+(H47*Z47*AA47/X47))/$G$21</f>
        <v>22.412605165714286</v>
      </c>
      <c r="AH47" s="236">
        <f t="shared" si="58"/>
        <v>20.47824506138614</v>
      </c>
      <c r="AI47" s="236">
        <f t="shared" si="59"/>
        <v>20.978465346534652</v>
      </c>
      <c r="AJ47" s="285"/>
      <c r="AK47" s="544" t="str">
        <f ca="1">F47</f>
        <v>ICDSH</v>
      </c>
      <c r="AL47" s="585" t="s">
        <v>97</v>
      </c>
      <c r="AM47" s="586">
        <f>I82/1000</f>
        <v>22.412600700000002</v>
      </c>
      <c r="AN47" s="588">
        <f t="shared" si="60"/>
        <v>22.412600700000002</v>
      </c>
      <c r="AO47" s="576">
        <f t="shared" ref="AO47:AO55" si="64">AM47*$AO$23</f>
        <v>0</v>
      </c>
      <c r="AP47" s="576">
        <f t="shared" ref="AP47:AP55" si="65">AM47*$AP$23</f>
        <v>0</v>
      </c>
      <c r="AQ47" s="596">
        <f t="shared" si="13"/>
        <v>22.412605165714286</v>
      </c>
      <c r="AR47" s="576">
        <f t="shared" si="14"/>
        <v>0</v>
      </c>
      <c r="AS47" s="577">
        <f t="shared" si="15"/>
        <v>0</v>
      </c>
      <c r="AT47" s="586">
        <f t="shared" si="61"/>
        <v>22.412605165714286</v>
      </c>
      <c r="AU47" s="588">
        <f t="shared" si="61"/>
        <v>0</v>
      </c>
      <c r="AV47" s="589">
        <f t="shared" si="61"/>
        <v>0</v>
      </c>
      <c r="AW47" s="285"/>
      <c r="AX47" s="544" t="str">
        <f t="shared" ca="1" si="17"/>
        <v>ICDSH</v>
      </c>
      <c r="AY47" s="585" t="s">
        <v>97</v>
      </c>
      <c r="AZ47" s="586">
        <f>I102/1000</f>
        <v>20.478240000000003</v>
      </c>
      <c r="BA47" s="588">
        <f t="shared" si="62"/>
        <v>20.478240000000003</v>
      </c>
      <c r="BB47" s="576">
        <f t="shared" si="43"/>
        <v>0</v>
      </c>
      <c r="BC47" s="576">
        <f t="shared" si="44"/>
        <v>0</v>
      </c>
      <c r="BD47" s="586">
        <f t="shared" si="18"/>
        <v>20.47824506138614</v>
      </c>
      <c r="BE47" s="588">
        <f t="shared" si="19"/>
        <v>0</v>
      </c>
      <c r="BF47" s="589">
        <f t="shared" si="20"/>
        <v>0</v>
      </c>
      <c r="BG47" s="586">
        <f t="shared" si="45"/>
        <v>20.47824506138614</v>
      </c>
      <c r="BH47" s="588">
        <f t="shared" si="46"/>
        <v>0</v>
      </c>
      <c r="BI47" s="589">
        <f t="shared" si="47"/>
        <v>0</v>
      </c>
      <c r="BJ47" s="285"/>
      <c r="BK47" s="544" t="str">
        <f ca="1">AK47</f>
        <v>ICDSH</v>
      </c>
      <c r="BL47" s="585" t="s">
        <v>97</v>
      </c>
      <c r="BM47" s="586">
        <f>I122/1000</f>
        <v>20.978461600000003</v>
      </c>
      <c r="BN47" s="588">
        <f t="shared" si="63"/>
        <v>20.978461600000003</v>
      </c>
      <c r="BO47" s="576">
        <f t="shared" si="48"/>
        <v>0</v>
      </c>
      <c r="BP47" s="576">
        <f t="shared" si="49"/>
        <v>0</v>
      </c>
      <c r="BQ47" s="586">
        <f t="shared" si="24"/>
        <v>20.978465346534652</v>
      </c>
      <c r="BR47" s="588">
        <f t="shared" si="25"/>
        <v>0</v>
      </c>
      <c r="BS47" s="589">
        <f t="shared" si="26"/>
        <v>0</v>
      </c>
      <c r="BT47" s="586">
        <f t="shared" si="50"/>
        <v>20.978465346534652</v>
      </c>
      <c r="BU47" s="588">
        <f t="shared" si="51"/>
        <v>0</v>
      </c>
      <c r="BV47" s="589">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36">
        <f t="shared" si="40"/>
        <v>0.95</v>
      </c>
      <c r="Y48" s="536">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73" t="s">
        <v>98</v>
      </c>
      <c r="AM48" s="574">
        <f>D82/1000</f>
        <v>0</v>
      </c>
      <c r="AN48" s="575">
        <f t="shared" si="60"/>
        <v>0</v>
      </c>
      <c r="AO48" s="576">
        <f t="shared" si="64"/>
        <v>0</v>
      </c>
      <c r="AP48" s="576">
        <f t="shared" si="65"/>
        <v>0</v>
      </c>
      <c r="AQ48" s="596">
        <f t="shared" si="13"/>
        <v>0</v>
      </c>
      <c r="AR48" s="576">
        <f t="shared" si="14"/>
        <v>0</v>
      </c>
      <c r="AS48" s="577">
        <f t="shared" si="15"/>
        <v>0</v>
      </c>
      <c r="AT48" s="574">
        <f t="shared" si="61"/>
        <v>0</v>
      </c>
      <c r="AU48" s="575">
        <f t="shared" si="61"/>
        <v>0</v>
      </c>
      <c r="AV48" s="580">
        <f t="shared" si="61"/>
        <v>0</v>
      </c>
      <c r="AW48" s="285"/>
      <c r="AX48" s="356"/>
      <c r="AY48" s="573" t="s">
        <v>98</v>
      </c>
      <c r="AZ48" s="574">
        <f>D102/1000</f>
        <v>0</v>
      </c>
      <c r="BA48" s="575">
        <f t="shared" si="62"/>
        <v>0</v>
      </c>
      <c r="BB48" s="576">
        <f t="shared" si="43"/>
        <v>0</v>
      </c>
      <c r="BC48" s="576">
        <f t="shared" si="44"/>
        <v>0</v>
      </c>
      <c r="BD48" s="574">
        <f t="shared" si="18"/>
        <v>0</v>
      </c>
      <c r="BE48" s="575">
        <f t="shared" si="19"/>
        <v>0</v>
      </c>
      <c r="BF48" s="580">
        <f t="shared" si="20"/>
        <v>0</v>
      </c>
      <c r="BG48" s="574">
        <f t="shared" si="45"/>
        <v>0</v>
      </c>
      <c r="BH48" s="575">
        <f t="shared" si="46"/>
        <v>0</v>
      </c>
      <c r="BI48" s="580">
        <f t="shared" si="47"/>
        <v>0</v>
      </c>
      <c r="BJ48" s="285"/>
      <c r="BK48" s="356"/>
      <c r="BL48" s="573" t="s">
        <v>98</v>
      </c>
      <c r="BM48" s="574">
        <f>D122/1000</f>
        <v>0</v>
      </c>
      <c r="BN48" s="575">
        <f t="shared" si="63"/>
        <v>0</v>
      </c>
      <c r="BO48" s="576">
        <f t="shared" si="48"/>
        <v>0</v>
      </c>
      <c r="BP48" s="576">
        <f t="shared" si="49"/>
        <v>0</v>
      </c>
      <c r="BQ48" s="574">
        <f t="shared" si="24"/>
        <v>0</v>
      </c>
      <c r="BR48" s="575">
        <f t="shared" si="25"/>
        <v>0</v>
      </c>
      <c r="BS48" s="580">
        <f t="shared" si="26"/>
        <v>0</v>
      </c>
      <c r="BT48" s="574">
        <f t="shared" si="50"/>
        <v>0</v>
      </c>
      <c r="BU48" s="575">
        <f t="shared" si="51"/>
        <v>0</v>
      </c>
      <c r="BV48" s="580">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36">
        <f t="shared" si="40"/>
        <v>0.96</v>
      </c>
      <c r="Y49" s="536">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73" t="s">
        <v>59</v>
      </c>
      <c r="AM49" s="574">
        <f>F82/1000</f>
        <v>0</v>
      </c>
      <c r="AN49" s="575">
        <f t="shared" si="60"/>
        <v>0</v>
      </c>
      <c r="AO49" s="576">
        <f t="shared" si="64"/>
        <v>0</v>
      </c>
      <c r="AP49" s="576">
        <f t="shared" si="65"/>
        <v>0</v>
      </c>
      <c r="AQ49" s="596">
        <f t="shared" si="13"/>
        <v>0</v>
      </c>
      <c r="AR49" s="576">
        <f t="shared" si="14"/>
        <v>0</v>
      </c>
      <c r="AS49" s="577">
        <f t="shared" si="15"/>
        <v>0</v>
      </c>
      <c r="AT49" s="574">
        <f t="shared" si="61"/>
        <v>0</v>
      </c>
      <c r="AU49" s="575">
        <f t="shared" si="61"/>
        <v>0</v>
      </c>
      <c r="AV49" s="580">
        <f t="shared" si="61"/>
        <v>0</v>
      </c>
      <c r="AW49" s="285"/>
      <c r="AX49" s="356"/>
      <c r="AY49" s="573" t="s">
        <v>59</v>
      </c>
      <c r="AZ49" s="574">
        <f>F102/1000</f>
        <v>0</v>
      </c>
      <c r="BA49" s="575">
        <f t="shared" si="62"/>
        <v>0</v>
      </c>
      <c r="BB49" s="576">
        <f t="shared" si="43"/>
        <v>0</v>
      </c>
      <c r="BC49" s="576">
        <f t="shared" si="44"/>
        <v>0</v>
      </c>
      <c r="BD49" s="574">
        <f t="shared" si="18"/>
        <v>0</v>
      </c>
      <c r="BE49" s="575">
        <f t="shared" si="19"/>
        <v>0</v>
      </c>
      <c r="BF49" s="580">
        <f t="shared" si="20"/>
        <v>0</v>
      </c>
      <c r="BG49" s="574">
        <f t="shared" si="45"/>
        <v>0</v>
      </c>
      <c r="BH49" s="575">
        <f t="shared" si="46"/>
        <v>0</v>
      </c>
      <c r="BI49" s="580">
        <f t="shared" si="47"/>
        <v>0</v>
      </c>
      <c r="BJ49" s="285"/>
      <c r="BK49" s="356"/>
      <c r="BL49" s="573" t="s">
        <v>59</v>
      </c>
      <c r="BM49" s="574">
        <f>F122/1000</f>
        <v>0</v>
      </c>
      <c r="BN49" s="575">
        <f t="shared" si="63"/>
        <v>0</v>
      </c>
      <c r="BO49" s="576">
        <f t="shared" si="48"/>
        <v>0</v>
      </c>
      <c r="BP49" s="576">
        <f t="shared" si="49"/>
        <v>0</v>
      </c>
      <c r="BQ49" s="574">
        <f t="shared" si="24"/>
        <v>0</v>
      </c>
      <c r="BR49" s="575">
        <f t="shared" si="25"/>
        <v>0</v>
      </c>
      <c r="BS49" s="580">
        <f t="shared" si="26"/>
        <v>0</v>
      </c>
      <c r="BT49" s="574">
        <f t="shared" si="50"/>
        <v>0</v>
      </c>
      <c r="BU49" s="575">
        <f t="shared" si="51"/>
        <v>0</v>
      </c>
      <c r="BV49" s="580">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36">
        <f t="shared" si="40"/>
        <v>0.85</v>
      </c>
      <c r="Y50" s="536">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73" t="s">
        <v>99</v>
      </c>
      <c r="AM50" s="574">
        <f>K82/1000</f>
        <v>0</v>
      </c>
      <c r="AN50" s="575">
        <f t="shared" si="60"/>
        <v>0</v>
      </c>
      <c r="AO50" s="576">
        <f t="shared" si="64"/>
        <v>0</v>
      </c>
      <c r="AP50" s="576">
        <f t="shared" si="65"/>
        <v>0</v>
      </c>
      <c r="AQ50" s="596">
        <f t="shared" si="13"/>
        <v>0</v>
      </c>
      <c r="AR50" s="576">
        <f t="shared" si="14"/>
        <v>0</v>
      </c>
      <c r="AS50" s="577">
        <f t="shared" si="15"/>
        <v>0</v>
      </c>
      <c r="AT50" s="574">
        <f t="shared" si="61"/>
        <v>0</v>
      </c>
      <c r="AU50" s="575">
        <f t="shared" si="61"/>
        <v>0</v>
      </c>
      <c r="AV50" s="580">
        <f t="shared" si="61"/>
        <v>0</v>
      </c>
      <c r="AW50" s="285"/>
      <c r="AX50" s="356"/>
      <c r="AY50" s="573" t="s">
        <v>99</v>
      </c>
      <c r="AZ50" s="574">
        <f>K102/1000</f>
        <v>0</v>
      </c>
      <c r="BA50" s="575">
        <f t="shared" si="62"/>
        <v>0</v>
      </c>
      <c r="BB50" s="576">
        <f t="shared" si="43"/>
        <v>0</v>
      </c>
      <c r="BC50" s="576">
        <f t="shared" si="44"/>
        <v>0</v>
      </c>
      <c r="BD50" s="574">
        <f t="shared" si="18"/>
        <v>0</v>
      </c>
      <c r="BE50" s="575">
        <f t="shared" si="19"/>
        <v>0</v>
      </c>
      <c r="BF50" s="580">
        <f t="shared" si="20"/>
        <v>0</v>
      </c>
      <c r="BG50" s="574">
        <f t="shared" si="45"/>
        <v>0</v>
      </c>
      <c r="BH50" s="575">
        <f t="shared" si="46"/>
        <v>0</v>
      </c>
      <c r="BI50" s="580">
        <f t="shared" si="47"/>
        <v>0</v>
      </c>
      <c r="BJ50" s="285"/>
      <c r="BK50" s="356"/>
      <c r="BL50" s="573" t="s">
        <v>99</v>
      </c>
      <c r="BM50" s="574">
        <f>K122/1000</f>
        <v>0</v>
      </c>
      <c r="BN50" s="575">
        <f t="shared" si="63"/>
        <v>0</v>
      </c>
      <c r="BO50" s="576">
        <f t="shared" si="48"/>
        <v>0</v>
      </c>
      <c r="BP50" s="576">
        <f t="shared" si="49"/>
        <v>0</v>
      </c>
      <c r="BQ50" s="574">
        <f t="shared" si="24"/>
        <v>0</v>
      </c>
      <c r="BR50" s="575">
        <f t="shared" si="25"/>
        <v>0</v>
      </c>
      <c r="BS50" s="580">
        <f t="shared" si="26"/>
        <v>0</v>
      </c>
      <c r="BT50" s="574">
        <f t="shared" si="50"/>
        <v>0</v>
      </c>
      <c r="BU50" s="575">
        <f t="shared" si="51"/>
        <v>0</v>
      </c>
      <c r="BV50" s="580">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60"/>
        <v>0</v>
      </c>
      <c r="AO51" s="576">
        <f t="shared" si="64"/>
        <v>0</v>
      </c>
      <c r="AP51" s="576">
        <f t="shared" si="65"/>
        <v>0</v>
      </c>
      <c r="AQ51" s="596">
        <f t="shared" si="13"/>
        <v>0</v>
      </c>
      <c r="AR51" s="576">
        <f t="shared" si="14"/>
        <v>0</v>
      </c>
      <c r="AS51" s="577">
        <f t="shared" si="15"/>
        <v>0</v>
      </c>
      <c r="AT51" s="574"/>
      <c r="AU51" s="575"/>
      <c r="AV51" s="580"/>
      <c r="AW51" s="285"/>
      <c r="AX51" s="356"/>
      <c r="AY51" s="573" t="s">
        <v>107</v>
      </c>
      <c r="AZ51" s="574"/>
      <c r="BA51" s="575"/>
      <c r="BB51" s="576">
        <f t="shared" si="43"/>
        <v>0</v>
      </c>
      <c r="BC51" s="576">
        <f t="shared" si="44"/>
        <v>0</v>
      </c>
      <c r="BD51" s="574">
        <f t="shared" si="18"/>
        <v>0</v>
      </c>
      <c r="BE51" s="575">
        <f t="shared" si="19"/>
        <v>0</v>
      </c>
      <c r="BF51" s="580">
        <f t="shared" si="20"/>
        <v>0</v>
      </c>
      <c r="BG51" s="574">
        <f t="shared" si="45"/>
        <v>0</v>
      </c>
      <c r="BH51" s="575">
        <f t="shared" si="46"/>
        <v>0</v>
      </c>
      <c r="BI51" s="580">
        <f t="shared" si="47"/>
        <v>0</v>
      </c>
      <c r="BJ51" s="285"/>
      <c r="BK51" s="356"/>
      <c r="BL51" s="573" t="s">
        <v>107</v>
      </c>
      <c r="BM51" s="574"/>
      <c r="BN51" s="575"/>
      <c r="BO51" s="576">
        <f t="shared" si="48"/>
        <v>0</v>
      </c>
      <c r="BP51" s="576">
        <f t="shared" si="49"/>
        <v>0</v>
      </c>
      <c r="BQ51" s="574">
        <f t="shared" si="24"/>
        <v>0</v>
      </c>
      <c r="BR51" s="575">
        <f t="shared" si="25"/>
        <v>0</v>
      </c>
      <c r="BS51" s="580">
        <f t="shared" si="26"/>
        <v>0</v>
      </c>
      <c r="BT51" s="574">
        <f t="shared" si="50"/>
        <v>0</v>
      </c>
      <c r="BU51" s="575">
        <f t="shared" si="51"/>
        <v>0</v>
      </c>
      <c r="BV51" s="580">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f t="shared" ref="J52:L56" si="67">ROUNDUP(BA52/($Z52*$AA52)*J$21*W52,3)</f>
        <v>0</v>
      </c>
      <c r="K52" s="322">
        <f t="shared" si="67"/>
        <v>0</v>
      </c>
      <c r="L52" s="322">
        <f t="shared" si="67"/>
        <v>0</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36">
        <f t="shared" ref="X52:Y58" si="69">W52</f>
        <v>1</v>
      </c>
      <c r="Y52" s="536">
        <f t="shared" si="69"/>
        <v>1</v>
      </c>
      <c r="Z52" s="319">
        <f>3.6*8760/1000000</f>
        <v>3.1536000000000002E-2</v>
      </c>
      <c r="AA52" s="392">
        <f t="shared" ref="AA52:AA60" si="70">$AA$26</f>
        <v>0.5</v>
      </c>
      <c r="AB52" s="331">
        <v>20</v>
      </c>
      <c r="AC52" s="326"/>
      <c r="AD52" s="319"/>
      <c r="AE52" s="331"/>
      <c r="AG52" s="236">
        <f t="shared" ref="AG52:AG62" si="71">((G52*Z52*AA52/W52)+(H52*Z52*AA52/X52))/$G$21</f>
        <v>0</v>
      </c>
      <c r="AH52" s="236">
        <f t="shared" ref="AH52:AH62" si="72">((J52*Z52*AA52/W52)+(K52*Z52*AA52/X52))/$J$21</f>
        <v>0</v>
      </c>
      <c r="AI52" s="236">
        <f t="shared" ref="AI52:AI62" si="73">((M52*AA52*Z52/W52)+(N52*Z52*AA52/X52))/$M$21</f>
        <v>0</v>
      </c>
      <c r="AJ52" s="285"/>
      <c r="AK52" s="356"/>
      <c r="AL52" s="573" t="s">
        <v>100</v>
      </c>
      <c r="AM52" s="574">
        <f>J82/1000</f>
        <v>0</v>
      </c>
      <c r="AN52" s="575">
        <f t="shared" si="60"/>
        <v>0</v>
      </c>
      <c r="AO52" s="576">
        <f t="shared" si="64"/>
        <v>0</v>
      </c>
      <c r="AP52" s="576">
        <f t="shared" si="65"/>
        <v>0</v>
      </c>
      <c r="AQ52" s="596">
        <f t="shared" si="13"/>
        <v>0</v>
      </c>
      <c r="AR52" s="576">
        <f t="shared" si="14"/>
        <v>0</v>
      </c>
      <c r="AS52" s="577">
        <f t="shared" si="15"/>
        <v>0</v>
      </c>
      <c r="AT52" s="574">
        <f t="shared" ref="AT52:AV56" si="74">IFERROR(AQ52/W52,0)</f>
        <v>0</v>
      </c>
      <c r="AU52" s="575">
        <f t="shared" si="74"/>
        <v>0</v>
      </c>
      <c r="AV52" s="580">
        <f t="shared" si="74"/>
        <v>0</v>
      </c>
      <c r="AW52" s="285"/>
      <c r="AX52" s="356"/>
      <c r="AY52" s="573" t="s">
        <v>100</v>
      </c>
      <c r="AZ52" s="574">
        <f>J102/1000</f>
        <v>0</v>
      </c>
      <c r="BA52" s="575">
        <f>AZ52*$AN$23</f>
        <v>0</v>
      </c>
      <c r="BB52" s="576">
        <f t="shared" si="43"/>
        <v>0</v>
      </c>
      <c r="BC52" s="576">
        <f t="shared" si="44"/>
        <v>0</v>
      </c>
      <c r="BD52" s="574">
        <f t="shared" si="18"/>
        <v>0</v>
      </c>
      <c r="BE52" s="575">
        <f t="shared" si="19"/>
        <v>0</v>
      </c>
      <c r="BF52" s="580">
        <f t="shared" si="20"/>
        <v>0</v>
      </c>
      <c r="BG52" s="574">
        <f t="shared" si="45"/>
        <v>0</v>
      </c>
      <c r="BH52" s="575">
        <f t="shared" si="46"/>
        <v>0</v>
      </c>
      <c r="BI52" s="580">
        <f t="shared" si="47"/>
        <v>0</v>
      </c>
      <c r="BJ52" s="285"/>
      <c r="BK52" s="356"/>
      <c r="BL52" s="573" t="s">
        <v>100</v>
      </c>
      <c r="BM52" s="574">
        <f>J122/1000</f>
        <v>0</v>
      </c>
      <c r="BN52" s="575">
        <f>BM52*$AN$23</f>
        <v>0</v>
      </c>
      <c r="BO52" s="576">
        <f t="shared" si="48"/>
        <v>0</v>
      </c>
      <c r="BP52" s="576">
        <f t="shared" si="49"/>
        <v>0</v>
      </c>
      <c r="BQ52" s="574">
        <f t="shared" si="24"/>
        <v>0</v>
      </c>
      <c r="BR52" s="575">
        <f t="shared" si="25"/>
        <v>0</v>
      </c>
      <c r="BS52" s="580">
        <f t="shared" si="26"/>
        <v>0</v>
      </c>
      <c r="BT52" s="574">
        <f t="shared" si="50"/>
        <v>0</v>
      </c>
      <c r="BU52" s="575">
        <f t="shared" si="51"/>
        <v>0</v>
      </c>
      <c r="BV52" s="580">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36">
        <f t="shared" si="69"/>
        <v>0.95</v>
      </c>
      <c r="Y53" s="536">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73" t="s">
        <v>101</v>
      </c>
      <c r="AM53" s="574">
        <f>E82/1000</f>
        <v>0</v>
      </c>
      <c r="AN53" s="575">
        <f t="shared" si="60"/>
        <v>0</v>
      </c>
      <c r="AO53" s="576">
        <f t="shared" si="64"/>
        <v>0</v>
      </c>
      <c r="AP53" s="576">
        <f t="shared" si="65"/>
        <v>0</v>
      </c>
      <c r="AQ53" s="596">
        <f t="shared" si="13"/>
        <v>0</v>
      </c>
      <c r="AR53" s="576">
        <f t="shared" si="14"/>
        <v>0</v>
      </c>
      <c r="AS53" s="577">
        <f t="shared" si="15"/>
        <v>0</v>
      </c>
      <c r="AT53" s="574">
        <f t="shared" si="74"/>
        <v>0</v>
      </c>
      <c r="AU53" s="575">
        <f t="shared" si="74"/>
        <v>0</v>
      </c>
      <c r="AV53" s="580">
        <f t="shared" si="74"/>
        <v>0</v>
      </c>
      <c r="AW53" s="285"/>
      <c r="AX53" s="356"/>
      <c r="AY53" s="573" t="s">
        <v>101</v>
      </c>
      <c r="AZ53" s="574">
        <f>E102/1000</f>
        <v>0</v>
      </c>
      <c r="BA53" s="575">
        <f>AZ53*$AN$23</f>
        <v>0</v>
      </c>
      <c r="BB53" s="576">
        <f t="shared" si="43"/>
        <v>0</v>
      </c>
      <c r="BC53" s="576">
        <f t="shared" si="44"/>
        <v>0</v>
      </c>
      <c r="BD53" s="574">
        <f t="shared" si="18"/>
        <v>0</v>
      </c>
      <c r="BE53" s="575">
        <f t="shared" si="19"/>
        <v>0</v>
      </c>
      <c r="BF53" s="580">
        <f t="shared" si="20"/>
        <v>0</v>
      </c>
      <c r="BG53" s="574">
        <f t="shared" si="45"/>
        <v>0</v>
      </c>
      <c r="BH53" s="575">
        <f t="shared" si="46"/>
        <v>0</v>
      </c>
      <c r="BI53" s="580">
        <f t="shared" si="47"/>
        <v>0</v>
      </c>
      <c r="BJ53" s="285"/>
      <c r="BK53" s="356"/>
      <c r="BL53" s="573" t="s">
        <v>101</v>
      </c>
      <c r="BM53" s="574">
        <f>E122/1000</f>
        <v>0</v>
      </c>
      <c r="BN53" s="575">
        <f>BM53*$AN$23</f>
        <v>0</v>
      </c>
      <c r="BO53" s="576">
        <f t="shared" si="48"/>
        <v>0</v>
      </c>
      <c r="BP53" s="576">
        <f t="shared" si="49"/>
        <v>0</v>
      </c>
      <c r="BQ53" s="574">
        <f t="shared" si="24"/>
        <v>0</v>
      </c>
      <c r="BR53" s="575">
        <f t="shared" si="25"/>
        <v>0</v>
      </c>
      <c r="BS53" s="580">
        <f t="shared" si="26"/>
        <v>0</v>
      </c>
      <c r="BT53" s="574">
        <f t="shared" si="50"/>
        <v>0</v>
      </c>
      <c r="BU53" s="575">
        <f t="shared" si="51"/>
        <v>0</v>
      </c>
      <c r="BV53" s="580">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f t="shared" si="68"/>
        <v>0</v>
      </c>
      <c r="N54" s="322">
        <f t="shared" si="68"/>
        <v>0</v>
      </c>
      <c r="O54" s="322">
        <f t="shared" si="68"/>
        <v>0</v>
      </c>
      <c r="P54" s="322">
        <f t="shared" si="3"/>
        <v>0</v>
      </c>
      <c r="Q54" s="322">
        <f t="shared" si="4"/>
        <v>0</v>
      </c>
      <c r="R54" s="322">
        <f t="shared" si="5"/>
        <v>0</v>
      </c>
      <c r="S54" s="322">
        <f t="shared" si="6"/>
        <v>0</v>
      </c>
      <c r="T54" s="322">
        <f t="shared" si="7"/>
        <v>0</v>
      </c>
      <c r="U54" s="322">
        <f t="shared" si="8"/>
        <v>0</v>
      </c>
      <c r="V54" s="322">
        <v>5</v>
      </c>
      <c r="W54" s="343">
        <f>H136</f>
        <v>1</v>
      </c>
      <c r="X54" s="536">
        <f t="shared" si="69"/>
        <v>1</v>
      </c>
      <c r="Y54" s="536">
        <f t="shared" si="69"/>
        <v>1</v>
      </c>
      <c r="Z54" s="319">
        <f>3.6*8760/1000000</f>
        <v>3.1536000000000002E-2</v>
      </c>
      <c r="AA54" s="392">
        <f t="shared" si="70"/>
        <v>0.5</v>
      </c>
      <c r="AB54" s="331">
        <v>20</v>
      </c>
      <c r="AC54" s="319"/>
      <c r="AD54" s="319"/>
      <c r="AE54" s="331"/>
      <c r="AG54" s="236">
        <f t="shared" si="71"/>
        <v>0</v>
      </c>
      <c r="AH54" s="236">
        <f t="shared" si="72"/>
        <v>0</v>
      </c>
      <c r="AI54" s="236">
        <f t="shared" si="73"/>
        <v>0</v>
      </c>
      <c r="AJ54" s="285"/>
      <c r="AK54" s="356"/>
      <c r="AL54" s="573" t="s">
        <v>53</v>
      </c>
      <c r="AM54" s="574">
        <f>H82/1000</f>
        <v>0</v>
      </c>
      <c r="AN54" s="575">
        <f t="shared" si="60"/>
        <v>0</v>
      </c>
      <c r="AO54" s="576">
        <f t="shared" si="64"/>
        <v>0</v>
      </c>
      <c r="AP54" s="576">
        <f t="shared" si="65"/>
        <v>0</v>
      </c>
      <c r="AQ54" s="596">
        <f t="shared" si="13"/>
        <v>0</v>
      </c>
      <c r="AR54" s="576">
        <f t="shared" si="14"/>
        <v>0</v>
      </c>
      <c r="AS54" s="577">
        <f t="shared" si="15"/>
        <v>0</v>
      </c>
      <c r="AT54" s="574">
        <f t="shared" si="74"/>
        <v>0</v>
      </c>
      <c r="AU54" s="575">
        <f t="shared" si="74"/>
        <v>0</v>
      </c>
      <c r="AV54" s="580">
        <f t="shared" si="74"/>
        <v>0</v>
      </c>
      <c r="AW54" s="285"/>
      <c r="AX54" s="356"/>
      <c r="AY54" s="573" t="s">
        <v>53</v>
      </c>
      <c r="AZ54" s="574">
        <f>H102/1000</f>
        <v>0</v>
      </c>
      <c r="BA54" s="575">
        <f>AZ54*$AN$23</f>
        <v>0</v>
      </c>
      <c r="BB54" s="576">
        <f t="shared" si="43"/>
        <v>0</v>
      </c>
      <c r="BC54" s="576">
        <f t="shared" si="44"/>
        <v>0</v>
      </c>
      <c r="BD54" s="574">
        <f t="shared" si="18"/>
        <v>0</v>
      </c>
      <c r="BE54" s="575">
        <f t="shared" si="19"/>
        <v>0</v>
      </c>
      <c r="BF54" s="580">
        <f t="shared" si="20"/>
        <v>0</v>
      </c>
      <c r="BG54" s="574">
        <f t="shared" si="45"/>
        <v>0</v>
      </c>
      <c r="BH54" s="575">
        <f t="shared" si="46"/>
        <v>0</v>
      </c>
      <c r="BI54" s="580">
        <f t="shared" si="47"/>
        <v>0</v>
      </c>
      <c r="BJ54" s="285"/>
      <c r="BK54" s="356"/>
      <c r="BL54" s="573" t="s">
        <v>53</v>
      </c>
      <c r="BM54" s="574">
        <f>H122/1000</f>
        <v>0</v>
      </c>
      <c r="BN54" s="575">
        <f>BM54*$AN$23</f>
        <v>0</v>
      </c>
      <c r="BO54" s="576">
        <f t="shared" si="48"/>
        <v>0</v>
      </c>
      <c r="BP54" s="576">
        <f t="shared" si="49"/>
        <v>0</v>
      </c>
      <c r="BQ54" s="574">
        <f t="shared" si="24"/>
        <v>0</v>
      </c>
      <c r="BR54" s="575">
        <f t="shared" si="25"/>
        <v>0</v>
      </c>
      <c r="BS54" s="580">
        <f t="shared" si="26"/>
        <v>0</v>
      </c>
      <c r="BT54" s="574">
        <f t="shared" si="50"/>
        <v>0</v>
      </c>
      <c r="BU54" s="575">
        <f t="shared" si="51"/>
        <v>0</v>
      </c>
      <c r="BV54" s="580">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36">
        <f t="shared" si="69"/>
        <v>0.95</v>
      </c>
      <c r="Y55" s="536">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73" t="s">
        <v>102</v>
      </c>
      <c r="AM55" s="574">
        <f>$L82/1000</f>
        <v>0</v>
      </c>
      <c r="AN55" s="575">
        <f t="shared" si="60"/>
        <v>0</v>
      </c>
      <c r="AO55" s="576">
        <f t="shared" si="64"/>
        <v>0</v>
      </c>
      <c r="AP55" s="576">
        <f t="shared" si="65"/>
        <v>0</v>
      </c>
      <c r="AQ55" s="596">
        <f t="shared" si="13"/>
        <v>0</v>
      </c>
      <c r="AR55" s="576">
        <f t="shared" si="14"/>
        <v>0</v>
      </c>
      <c r="AS55" s="577">
        <f t="shared" si="15"/>
        <v>0</v>
      </c>
      <c r="AT55" s="574">
        <f t="shared" si="74"/>
        <v>0</v>
      </c>
      <c r="AU55" s="575">
        <f t="shared" si="74"/>
        <v>0</v>
      </c>
      <c r="AV55" s="580">
        <f t="shared" si="74"/>
        <v>0</v>
      </c>
      <c r="AW55" s="285"/>
      <c r="AX55" s="356"/>
      <c r="AY55" s="573" t="s">
        <v>102</v>
      </c>
      <c r="AZ55" s="574">
        <f>$L102/1000</f>
        <v>0</v>
      </c>
      <c r="BA55" s="575">
        <f>AZ55*$AN$23</f>
        <v>0</v>
      </c>
      <c r="BB55" s="576">
        <f t="shared" si="43"/>
        <v>0</v>
      </c>
      <c r="BC55" s="576">
        <f t="shared" si="44"/>
        <v>0</v>
      </c>
      <c r="BD55" s="574">
        <f t="shared" si="18"/>
        <v>0</v>
      </c>
      <c r="BE55" s="575">
        <f t="shared" si="19"/>
        <v>0</v>
      </c>
      <c r="BF55" s="580">
        <f t="shared" si="20"/>
        <v>0</v>
      </c>
      <c r="BG55" s="574">
        <f t="shared" si="45"/>
        <v>0</v>
      </c>
      <c r="BH55" s="575">
        <f t="shared" si="46"/>
        <v>0</v>
      </c>
      <c r="BI55" s="580">
        <f t="shared" si="47"/>
        <v>0</v>
      </c>
      <c r="BJ55" s="285"/>
      <c r="BK55" s="356"/>
      <c r="BL55" s="573" t="s">
        <v>102</v>
      </c>
      <c r="BM55" s="574">
        <f>$L122/1000</f>
        <v>0</v>
      </c>
      <c r="BN55" s="575">
        <f>BM55*$AN$23</f>
        <v>0</v>
      </c>
      <c r="BO55" s="576">
        <f t="shared" si="48"/>
        <v>0</v>
      </c>
      <c r="BP55" s="576">
        <f t="shared" si="49"/>
        <v>0</v>
      </c>
      <c r="BQ55" s="574">
        <f t="shared" si="24"/>
        <v>0</v>
      </c>
      <c r="BR55" s="575">
        <f t="shared" si="25"/>
        <v>0</v>
      </c>
      <c r="BS55" s="580">
        <f t="shared" si="26"/>
        <v>0</v>
      </c>
      <c r="BT55" s="574">
        <f t="shared" si="50"/>
        <v>0</v>
      </c>
      <c r="BU55" s="575">
        <f t="shared" si="51"/>
        <v>0</v>
      </c>
      <c r="BV55" s="580">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6467.1980000000003</v>
      </c>
      <c r="N56" s="321">
        <f t="shared" si="68"/>
        <v>0</v>
      </c>
      <c r="O56" s="321">
        <f t="shared" si="68"/>
        <v>0</v>
      </c>
      <c r="P56" s="321">
        <f>M56</f>
        <v>6467.1980000000003</v>
      </c>
      <c r="Q56" s="321">
        <f t="shared" si="4"/>
        <v>0</v>
      </c>
      <c r="R56" s="321">
        <f t="shared" si="5"/>
        <v>0</v>
      </c>
      <c r="S56" s="321">
        <f>P56</f>
        <v>6467.1980000000003</v>
      </c>
      <c r="T56" s="321">
        <f t="shared" ref="T56:U62" si="76">IF($AB56=20,0,N56/5)*IF(N56=0,0,1)</f>
        <v>0</v>
      </c>
      <c r="U56" s="321">
        <f t="shared" si="76"/>
        <v>0</v>
      </c>
      <c r="V56" s="321">
        <v>5</v>
      </c>
      <c r="W56" s="343">
        <f>$N$136</f>
        <v>0.96</v>
      </c>
      <c r="X56" s="536">
        <f>$W$56</f>
        <v>0.96</v>
      </c>
      <c r="Y56" s="536">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105.17200707920793</v>
      </c>
      <c r="AJ56" s="285"/>
      <c r="AK56" s="356"/>
      <c r="AL56" s="573" t="s">
        <v>103</v>
      </c>
      <c r="AM56" s="574">
        <f>N82/1000</f>
        <v>75.474999999999994</v>
      </c>
      <c r="AN56" s="627">
        <f>AM56</f>
        <v>75.474999999999994</v>
      </c>
      <c r="AO56" s="628">
        <v>0</v>
      </c>
      <c r="AP56" s="628">
        <v>0</v>
      </c>
      <c r="AQ56" s="596">
        <f t="shared" si="13"/>
        <v>72.456002331428579</v>
      </c>
      <c r="AR56" s="576">
        <f t="shared" si="14"/>
        <v>0</v>
      </c>
      <c r="AS56" s="577">
        <f t="shared" si="15"/>
        <v>0</v>
      </c>
      <c r="AT56" s="574">
        <f t="shared" si="74"/>
        <v>75.475002428571443</v>
      </c>
      <c r="AU56" s="575">
        <f t="shared" si="74"/>
        <v>0</v>
      </c>
      <c r="AV56" s="580">
        <f t="shared" si="74"/>
        <v>0</v>
      </c>
      <c r="AW56" s="285"/>
      <c r="AX56" s="356"/>
      <c r="AY56" s="573" t="s">
        <v>103</v>
      </c>
      <c r="AZ56" s="574">
        <f>N102/1000</f>
        <v>97.183000000000007</v>
      </c>
      <c r="BA56" s="627">
        <f>AZ56</f>
        <v>97.183000000000007</v>
      </c>
      <c r="BB56" s="628">
        <v>0</v>
      </c>
      <c r="BC56" s="628">
        <v>0</v>
      </c>
      <c r="BD56" s="574">
        <f t="shared" si="18"/>
        <v>93.295680879207922</v>
      </c>
      <c r="BE56" s="575">
        <f t="shared" si="19"/>
        <v>0</v>
      </c>
      <c r="BF56" s="580">
        <f t="shared" si="20"/>
        <v>0</v>
      </c>
      <c r="BG56" s="574">
        <f t="shared" si="45"/>
        <v>97.183000915841589</v>
      </c>
      <c r="BH56" s="575">
        <f t="shared" si="46"/>
        <v>0</v>
      </c>
      <c r="BI56" s="580">
        <f t="shared" si="47"/>
        <v>0</v>
      </c>
      <c r="BJ56" s="285"/>
      <c r="BK56" s="356"/>
      <c r="BL56" s="573" t="s">
        <v>103</v>
      </c>
      <c r="BM56" s="574">
        <f>N122/1000</f>
        <v>105.172</v>
      </c>
      <c r="BN56" s="627">
        <f>BM56</f>
        <v>105.172</v>
      </c>
      <c r="BO56" s="628">
        <v>0</v>
      </c>
      <c r="BP56" s="628">
        <v>0</v>
      </c>
      <c r="BQ56" s="574">
        <f t="shared" si="24"/>
        <v>100.96512679603961</v>
      </c>
      <c r="BR56" s="575">
        <f t="shared" si="25"/>
        <v>0</v>
      </c>
      <c r="BS56" s="580">
        <f t="shared" si="26"/>
        <v>0</v>
      </c>
      <c r="BT56" s="574">
        <f t="shared" si="50"/>
        <v>105.17200707920793</v>
      </c>
      <c r="BU56" s="575">
        <f t="shared" si="51"/>
        <v>0</v>
      </c>
      <c r="BV56" s="580">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36">
        <f>$W$56</f>
        <v>0.96</v>
      </c>
      <c r="Y57" s="536">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73" t="s">
        <v>104</v>
      </c>
      <c r="AM57" s="574"/>
      <c r="AN57" s="627">
        <f>AM57</f>
        <v>0</v>
      </c>
      <c r="AO57" s="628">
        <v>0</v>
      </c>
      <c r="AP57" s="628">
        <v>0</v>
      </c>
      <c r="AQ57" s="596">
        <f t="shared" si="13"/>
        <v>0</v>
      </c>
      <c r="AR57" s="576">
        <f t="shared" si="14"/>
        <v>0</v>
      </c>
      <c r="AS57" s="577">
        <f t="shared" si="15"/>
        <v>0</v>
      </c>
      <c r="AT57" s="574"/>
      <c r="AU57" s="575"/>
      <c r="AV57" s="580"/>
      <c r="AW57" s="285"/>
      <c r="AX57" s="356"/>
      <c r="AY57" s="573" t="s">
        <v>104</v>
      </c>
      <c r="AZ57" s="574"/>
      <c r="BA57" s="627">
        <f>AZ57</f>
        <v>0</v>
      </c>
      <c r="BB57" s="628">
        <v>0</v>
      </c>
      <c r="BC57" s="628">
        <v>0</v>
      </c>
      <c r="BD57" s="574">
        <f t="shared" si="18"/>
        <v>0</v>
      </c>
      <c r="BE57" s="575">
        <f t="shared" si="19"/>
        <v>0</v>
      </c>
      <c r="BF57" s="580">
        <f t="shared" si="20"/>
        <v>0</v>
      </c>
      <c r="BG57" s="574"/>
      <c r="BH57" s="575"/>
      <c r="BI57" s="580"/>
      <c r="BJ57" s="285"/>
      <c r="BK57" s="356"/>
      <c r="BL57" s="573" t="s">
        <v>104</v>
      </c>
      <c r="BM57" s="574"/>
      <c r="BN57" s="627">
        <f>BM57</f>
        <v>0</v>
      </c>
      <c r="BO57" s="628">
        <v>0</v>
      </c>
      <c r="BP57" s="628">
        <v>0</v>
      </c>
      <c r="BQ57" s="574">
        <f t="shared" si="24"/>
        <v>0</v>
      </c>
      <c r="BR57" s="575">
        <f t="shared" si="25"/>
        <v>0</v>
      </c>
      <c r="BS57" s="580">
        <f t="shared" si="26"/>
        <v>0</v>
      </c>
      <c r="BT57" s="574"/>
      <c r="BU57" s="575"/>
      <c r="BV57" s="580"/>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115.465</v>
      </c>
      <c r="N58" s="324">
        <f t="shared" si="80"/>
        <v>0</v>
      </c>
      <c r="O58" s="324">
        <f t="shared" si="80"/>
        <v>0</v>
      </c>
      <c r="P58" s="324">
        <f t="shared" si="3"/>
        <v>115.465</v>
      </c>
      <c r="Q58" s="324">
        <f t="shared" si="4"/>
        <v>0</v>
      </c>
      <c r="R58" s="324">
        <f t="shared" si="5"/>
        <v>0</v>
      </c>
      <c r="S58" s="324">
        <f t="shared" si="77"/>
        <v>0</v>
      </c>
      <c r="T58" s="324">
        <f t="shared" si="76"/>
        <v>0</v>
      </c>
      <c r="U58" s="324">
        <f t="shared" si="76"/>
        <v>0</v>
      </c>
      <c r="V58" s="572">
        <v>5</v>
      </c>
      <c r="W58" s="345">
        <f>M136</f>
        <v>0.95</v>
      </c>
      <c r="X58" s="537">
        <f t="shared" si="69"/>
        <v>0.95</v>
      </c>
      <c r="Y58" s="537">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1.8975009067222515</v>
      </c>
      <c r="AJ58" s="285"/>
      <c r="AK58" s="355"/>
      <c r="AL58" s="581" t="s">
        <v>61</v>
      </c>
      <c r="AM58" s="574">
        <f>M82/1000</f>
        <v>1.8841320000000001</v>
      </c>
      <c r="AN58" s="575">
        <f>AM58*$AN$23</f>
        <v>1.8841320000000001</v>
      </c>
      <c r="AO58" s="576">
        <f>AM58*$AO$23</f>
        <v>0</v>
      </c>
      <c r="AP58" s="576">
        <f>AM58*$AP$23</f>
        <v>0</v>
      </c>
      <c r="AQ58" s="596">
        <f t="shared" si="13"/>
        <v>1.7899383085714287</v>
      </c>
      <c r="AR58" s="576">
        <f t="shared" si="14"/>
        <v>0</v>
      </c>
      <c r="AS58" s="577">
        <f t="shared" si="15"/>
        <v>0</v>
      </c>
      <c r="AT58" s="574">
        <f t="shared" ref="AT58:AV62" si="81">IFERROR(AQ58/W58,0)</f>
        <v>1.8841455879699249</v>
      </c>
      <c r="AU58" s="575">
        <f t="shared" si="81"/>
        <v>0</v>
      </c>
      <c r="AV58" s="580">
        <f t="shared" si="81"/>
        <v>0</v>
      </c>
      <c r="AW58" s="285"/>
      <c r="AX58" s="355"/>
      <c r="AY58" s="581" t="s">
        <v>61</v>
      </c>
      <c r="AZ58" s="574">
        <f>M102/1000</f>
        <v>1.9247400000000001</v>
      </c>
      <c r="BA58" s="575">
        <f>AZ58*$AN$23</f>
        <v>1.9247400000000001</v>
      </c>
      <c r="BB58" s="576">
        <f>AZ58*$BB$23</f>
        <v>0</v>
      </c>
      <c r="BC58" s="576">
        <f>AZ58*$BC$23</f>
        <v>0</v>
      </c>
      <c r="BD58" s="574">
        <f t="shared" si="18"/>
        <v>1.8285103603960398</v>
      </c>
      <c r="BE58" s="575">
        <f t="shared" si="19"/>
        <v>0</v>
      </c>
      <c r="BF58" s="580">
        <f t="shared" si="20"/>
        <v>0</v>
      </c>
      <c r="BG58" s="574">
        <f t="shared" ref="BG58:BI62" si="82">IFERROR(BD58/W58,0)</f>
        <v>1.924747747785305</v>
      </c>
      <c r="BH58" s="575">
        <f t="shared" si="82"/>
        <v>0</v>
      </c>
      <c r="BI58" s="580">
        <f t="shared" si="82"/>
        <v>0</v>
      </c>
      <c r="BJ58" s="285"/>
      <c r="BK58" s="355"/>
      <c r="BL58" s="581" t="s">
        <v>61</v>
      </c>
      <c r="BM58" s="574">
        <f>M122/1000</f>
        <v>1.8974879999999998</v>
      </c>
      <c r="BN58" s="575">
        <f>BM58*$AN$23</f>
        <v>1.8974879999999998</v>
      </c>
      <c r="BO58" s="576">
        <f>BM58*$BB$23</f>
        <v>0</v>
      </c>
      <c r="BP58" s="576">
        <f>BM58*$BC$23</f>
        <v>0</v>
      </c>
      <c r="BQ58" s="574">
        <f t="shared" si="24"/>
        <v>1.8026258613861388</v>
      </c>
      <c r="BR58" s="575">
        <f t="shared" si="25"/>
        <v>0</v>
      </c>
      <c r="BS58" s="580">
        <f t="shared" si="26"/>
        <v>0</v>
      </c>
      <c r="BT58" s="574">
        <f t="shared" ref="BT58:BV62" si="83">IFERROR(BQ58/W58,0)</f>
        <v>1.8975009067222515</v>
      </c>
      <c r="BU58" s="575">
        <f t="shared" si="83"/>
        <v>0</v>
      </c>
      <c r="BV58" s="580">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850.78899999999999</v>
      </c>
      <c r="N59" s="323">
        <f t="shared" si="80"/>
        <v>0</v>
      </c>
      <c r="O59" s="323">
        <f t="shared" si="80"/>
        <v>0</v>
      </c>
      <c r="P59" s="323">
        <f t="shared" si="3"/>
        <v>850.78899999999999</v>
      </c>
      <c r="Q59" s="323">
        <f t="shared" si="4"/>
        <v>0</v>
      </c>
      <c r="R59" s="323">
        <f t="shared" si="5"/>
        <v>0</v>
      </c>
      <c r="S59" s="323">
        <f t="shared" si="77"/>
        <v>0</v>
      </c>
      <c r="T59" s="323">
        <f t="shared" si="76"/>
        <v>0</v>
      </c>
      <c r="U59" s="323">
        <f t="shared" si="76"/>
        <v>0</v>
      </c>
      <c r="V59" s="323">
        <v>5</v>
      </c>
      <c r="W59" s="343">
        <v>1</v>
      </c>
      <c r="X59" s="536">
        <v>1</v>
      </c>
      <c r="Y59" s="536">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13.282416784158418</v>
      </c>
      <c r="AJ59" s="285"/>
      <c r="AK59" s="545" t="str">
        <f ca="1">F59</f>
        <v>ICDLA</v>
      </c>
      <c r="AL59" s="592" t="s">
        <v>61</v>
      </c>
      <c r="AM59" s="593">
        <f>M80/1000</f>
        <v>13.188924000000002</v>
      </c>
      <c r="AN59" s="594">
        <f>AM59*$AN$23</f>
        <v>13.188924000000002</v>
      </c>
      <c r="AO59" s="597">
        <f>AM59*$AO$23</f>
        <v>0</v>
      </c>
      <c r="AP59" s="597">
        <f>AM59*$AP$23</f>
        <v>0</v>
      </c>
      <c r="AQ59" s="598">
        <f t="shared" si="13"/>
        <v>13.18892585142857</v>
      </c>
      <c r="AR59" s="597">
        <f t="shared" si="14"/>
        <v>0</v>
      </c>
      <c r="AS59" s="599">
        <f t="shared" si="15"/>
        <v>0</v>
      </c>
      <c r="AT59" s="593">
        <f t="shared" si="81"/>
        <v>13.18892585142857</v>
      </c>
      <c r="AU59" s="594">
        <f t="shared" si="81"/>
        <v>0</v>
      </c>
      <c r="AV59" s="595">
        <f t="shared" si="81"/>
        <v>0</v>
      </c>
      <c r="AW59" s="285"/>
      <c r="AX59" s="545" t="str">
        <f t="shared" ca="1" si="17"/>
        <v>ICDLA</v>
      </c>
      <c r="AY59" s="592" t="s">
        <v>61</v>
      </c>
      <c r="AZ59" s="593">
        <f>M100/1000</f>
        <v>13.473180000000003</v>
      </c>
      <c r="BA59" s="594">
        <f>AZ59*$AN$23</f>
        <v>13.473180000000003</v>
      </c>
      <c r="BB59" s="597">
        <f>AZ59*$BB$23</f>
        <v>0</v>
      </c>
      <c r="BC59" s="597">
        <f>AZ59*$BC$23</f>
        <v>0</v>
      </c>
      <c r="BD59" s="593">
        <f t="shared" si="18"/>
        <v>13.473193972277228</v>
      </c>
      <c r="BE59" s="594">
        <f t="shared" si="19"/>
        <v>0</v>
      </c>
      <c r="BF59" s="595">
        <f t="shared" si="20"/>
        <v>0</v>
      </c>
      <c r="BG59" s="593">
        <f t="shared" si="82"/>
        <v>13.473193972277228</v>
      </c>
      <c r="BH59" s="594">
        <f t="shared" si="82"/>
        <v>0</v>
      </c>
      <c r="BI59" s="595">
        <f t="shared" si="82"/>
        <v>0</v>
      </c>
      <c r="BJ59" s="285"/>
      <c r="BK59" s="545" t="str">
        <f ca="1">AK59</f>
        <v>ICDLA</v>
      </c>
      <c r="BL59" s="592" t="s">
        <v>61</v>
      </c>
      <c r="BM59" s="593">
        <f>M120/1000</f>
        <v>13.282416000000001</v>
      </c>
      <c r="BN59" s="594">
        <f>BM59*$AN$23</f>
        <v>13.282416000000001</v>
      </c>
      <c r="BO59" s="597">
        <f>BM59*$BB$23</f>
        <v>0</v>
      </c>
      <c r="BP59" s="597">
        <f>BM59*$BC$23</f>
        <v>0</v>
      </c>
      <c r="BQ59" s="593">
        <f t="shared" si="24"/>
        <v>13.282416784158418</v>
      </c>
      <c r="BR59" s="594">
        <f t="shared" si="25"/>
        <v>0</v>
      </c>
      <c r="BS59" s="595">
        <f t="shared" si="26"/>
        <v>0</v>
      </c>
      <c r="BT59" s="593">
        <f t="shared" si="83"/>
        <v>13.282416784158418</v>
      </c>
      <c r="BU59" s="594">
        <f t="shared" si="83"/>
        <v>0</v>
      </c>
      <c r="BV59" s="595">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9844.844000000001</v>
      </c>
      <c r="N60" s="324">
        <f t="shared" si="80"/>
        <v>0</v>
      </c>
      <c r="O60" s="324">
        <f t="shared" si="80"/>
        <v>0</v>
      </c>
      <c r="P60" s="324">
        <f t="shared" si="3"/>
        <v>9844.844000000001</v>
      </c>
      <c r="Q60" s="324">
        <f t="shared" si="4"/>
        <v>0</v>
      </c>
      <c r="R60" s="324">
        <f t="shared" si="5"/>
        <v>0</v>
      </c>
      <c r="S60" s="324">
        <f t="shared" si="77"/>
        <v>0</v>
      </c>
      <c r="T60" s="324">
        <f t="shared" si="76"/>
        <v>0</v>
      </c>
      <c r="U60" s="324">
        <f t="shared" si="76"/>
        <v>0</v>
      </c>
      <c r="V60" s="572">
        <v>5</v>
      </c>
      <c r="W60" s="345">
        <v>1</v>
      </c>
      <c r="X60" s="537">
        <v>1</v>
      </c>
      <c r="Y60" s="537">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153.69653484356439</v>
      </c>
      <c r="AJ60" s="285"/>
      <c r="AK60" s="550" t="str">
        <f ca="1">F60</f>
        <v>ICDEM</v>
      </c>
      <c r="AL60" s="592" t="s">
        <v>61</v>
      </c>
      <c r="AM60" s="593">
        <f>M81/1000</f>
        <v>152.61469200000002</v>
      </c>
      <c r="AN60" s="594">
        <f>AM60*$AN$23</f>
        <v>152.61469200000002</v>
      </c>
      <c r="AO60" s="597">
        <f>AM60*$AO$23</f>
        <v>0</v>
      </c>
      <c r="AP60" s="597">
        <f>AM60*$AP$23</f>
        <v>0</v>
      </c>
      <c r="AQ60" s="598">
        <f t="shared" si="13"/>
        <v>152.61470269714286</v>
      </c>
      <c r="AR60" s="597">
        <f t="shared" si="14"/>
        <v>0</v>
      </c>
      <c r="AS60" s="599">
        <f t="shared" si="15"/>
        <v>0</v>
      </c>
      <c r="AT60" s="593">
        <f t="shared" si="81"/>
        <v>152.61470269714286</v>
      </c>
      <c r="AU60" s="594">
        <f t="shared" si="81"/>
        <v>0</v>
      </c>
      <c r="AV60" s="595">
        <f t="shared" si="81"/>
        <v>0</v>
      </c>
      <c r="AW60" s="285"/>
      <c r="AX60" s="550" t="str">
        <f t="shared" ca="1" si="17"/>
        <v>ICDEM</v>
      </c>
      <c r="AY60" s="592" t="s">
        <v>61</v>
      </c>
      <c r="AZ60" s="593">
        <f>M101/1000</f>
        <v>155.90394000000001</v>
      </c>
      <c r="BA60" s="594">
        <f>AZ60*$AN$23</f>
        <v>155.90394000000001</v>
      </c>
      <c r="BB60" s="597">
        <f>AZ60*$BB$23</f>
        <v>0</v>
      </c>
      <c r="BC60" s="597">
        <f>AZ60*$BC$23</f>
        <v>0</v>
      </c>
      <c r="BD60" s="593">
        <f t="shared" si="18"/>
        <v>155.90394556039607</v>
      </c>
      <c r="BE60" s="594">
        <f t="shared" si="19"/>
        <v>0</v>
      </c>
      <c r="BF60" s="595">
        <f t="shared" si="20"/>
        <v>0</v>
      </c>
      <c r="BG60" s="593">
        <f t="shared" si="82"/>
        <v>155.90394556039607</v>
      </c>
      <c r="BH60" s="594">
        <f t="shared" si="82"/>
        <v>0</v>
      </c>
      <c r="BI60" s="595">
        <f t="shared" si="82"/>
        <v>0</v>
      </c>
      <c r="BJ60" s="285"/>
      <c r="BK60" s="550" t="str">
        <f ca="1">AK60</f>
        <v>ICDEM</v>
      </c>
      <c r="BL60" s="592" t="s">
        <v>61</v>
      </c>
      <c r="BM60" s="593">
        <f>M121/1000</f>
        <v>153.696528</v>
      </c>
      <c r="BN60" s="594">
        <f>BM60*$AN$23</f>
        <v>153.696528</v>
      </c>
      <c r="BO60" s="597">
        <f>BM60*$BB$23</f>
        <v>0</v>
      </c>
      <c r="BP60" s="597">
        <f>BM60*$BC$23</f>
        <v>0</v>
      </c>
      <c r="BQ60" s="593">
        <f t="shared" si="24"/>
        <v>153.69653484356439</v>
      </c>
      <c r="BR60" s="594">
        <f t="shared" si="25"/>
        <v>0</v>
      </c>
      <c r="BS60" s="595">
        <f t="shared" si="26"/>
        <v>0</v>
      </c>
      <c r="BT60" s="593">
        <f t="shared" si="83"/>
        <v>153.69653484356439</v>
      </c>
      <c r="BU60" s="594">
        <f t="shared" si="83"/>
        <v>0</v>
      </c>
      <c r="BV60" s="595">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36">
        <f t="shared" ref="X61:Y62" si="84">W61</f>
        <v>1</v>
      </c>
      <c r="Y61" s="536">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50" t="str">
        <f ca="1">F61</f>
        <v>ICDTF</v>
      </c>
      <c r="AL61" s="592" t="s">
        <v>59</v>
      </c>
      <c r="AM61" s="593">
        <f>F79/1000</f>
        <v>2.9168600000000002</v>
      </c>
      <c r="AN61" s="594">
        <f>AM61*$AN$23</f>
        <v>2.9168600000000002</v>
      </c>
      <c r="AO61" s="597">
        <f>AM61*$AO$23</f>
        <v>0</v>
      </c>
      <c r="AP61" s="597">
        <f>AM61*$AP$23</f>
        <v>0</v>
      </c>
      <c r="AQ61" s="598">
        <f t="shared" si="13"/>
        <v>2.9168697600000004</v>
      </c>
      <c r="AR61" s="597">
        <f t="shared" si="14"/>
        <v>0</v>
      </c>
      <c r="AS61" s="599">
        <f t="shared" si="15"/>
        <v>0</v>
      </c>
      <c r="AT61" s="593">
        <f t="shared" si="81"/>
        <v>2.9168697600000004</v>
      </c>
      <c r="AU61" s="594">
        <f t="shared" si="81"/>
        <v>0</v>
      </c>
      <c r="AV61" s="595">
        <f t="shared" si="81"/>
        <v>0</v>
      </c>
      <c r="AW61" s="285"/>
      <c r="AX61" s="550" t="str">
        <f t="shared" ca="1" si="17"/>
        <v>ICDTF</v>
      </c>
      <c r="AY61" s="592" t="s">
        <v>59</v>
      </c>
      <c r="AZ61" s="593">
        <f>F99/1000</f>
        <v>0.81346600000000002</v>
      </c>
      <c r="BA61" s="594">
        <f>AZ61*$AN$23</f>
        <v>0.81346600000000002</v>
      </c>
      <c r="BB61" s="597">
        <f>AZ61*$BB$23</f>
        <v>0</v>
      </c>
      <c r="BC61" s="597">
        <f>AZ61*$BC$23</f>
        <v>0</v>
      </c>
      <c r="BD61" s="593">
        <f t="shared" si="18"/>
        <v>0.81347268118811877</v>
      </c>
      <c r="BE61" s="594">
        <f t="shared" si="19"/>
        <v>0</v>
      </c>
      <c r="BF61" s="595">
        <f t="shared" si="20"/>
        <v>0</v>
      </c>
      <c r="BG61" s="593">
        <f t="shared" si="82"/>
        <v>0.81347268118811877</v>
      </c>
      <c r="BH61" s="594">
        <f t="shared" si="82"/>
        <v>0</v>
      </c>
      <c r="BI61" s="595">
        <f t="shared" si="82"/>
        <v>0</v>
      </c>
      <c r="BJ61" s="285"/>
      <c r="BK61" s="550" t="str">
        <f ca="1">AK61</f>
        <v>ICDTF</v>
      </c>
      <c r="BL61" s="592" t="s">
        <v>59</v>
      </c>
      <c r="BM61" s="593">
        <f>F119/1000</f>
        <v>1.5882989999999999</v>
      </c>
      <c r="BN61" s="594">
        <f>BM61*$AN$23</f>
        <v>1.5882989999999999</v>
      </c>
      <c r="BO61" s="597">
        <f>BM61*$BB$23</f>
        <v>0</v>
      </c>
      <c r="BP61" s="597">
        <f>BM61*$BC$23</f>
        <v>0</v>
      </c>
      <c r="BQ61" s="593">
        <f t="shared" si="24"/>
        <v>1.5883059564356439</v>
      </c>
      <c r="BR61" s="594">
        <f t="shared" si="25"/>
        <v>0</v>
      </c>
      <c r="BS61" s="595">
        <f t="shared" si="26"/>
        <v>0</v>
      </c>
      <c r="BT61" s="593">
        <f t="shared" si="83"/>
        <v>1.5883059564356439</v>
      </c>
      <c r="BU61" s="594">
        <f t="shared" si="83"/>
        <v>0</v>
      </c>
      <c r="BV61" s="595">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f t="shared" si="80"/>
        <v>0</v>
      </c>
      <c r="N62" s="323">
        <f t="shared" si="80"/>
        <v>0</v>
      </c>
      <c r="O62" s="323">
        <f t="shared" si="80"/>
        <v>0</v>
      </c>
      <c r="P62" s="323">
        <f t="shared" si="3"/>
        <v>0</v>
      </c>
      <c r="Q62" s="323">
        <f t="shared" si="4"/>
        <v>0</v>
      </c>
      <c r="R62" s="323">
        <f t="shared" si="5"/>
        <v>0</v>
      </c>
      <c r="S62" s="323">
        <f t="shared" si="77"/>
        <v>0</v>
      </c>
      <c r="T62" s="323">
        <f t="shared" si="76"/>
        <v>0</v>
      </c>
      <c r="U62" s="323">
        <f t="shared" si="76"/>
        <v>0</v>
      </c>
      <c r="V62" s="323">
        <v>5</v>
      </c>
      <c r="W62" s="343">
        <v>1</v>
      </c>
      <c r="X62" s="536">
        <f t="shared" si="84"/>
        <v>1</v>
      </c>
      <c r="Y62" s="536">
        <f t="shared" si="84"/>
        <v>1</v>
      </c>
      <c r="Z62" s="326">
        <f t="shared" si="75"/>
        <v>3.1536000000000002E-2</v>
      </c>
      <c r="AA62" s="392">
        <f>$AA$61</f>
        <v>0.5</v>
      </c>
      <c r="AB62" s="331">
        <v>20</v>
      </c>
      <c r="AC62" s="326"/>
      <c r="AD62" s="326"/>
      <c r="AE62" s="331"/>
      <c r="AG62" s="236">
        <f t="shared" si="71"/>
        <v>0</v>
      </c>
      <c r="AH62" s="236">
        <f t="shared" si="72"/>
        <v>0</v>
      </c>
      <c r="AI62" s="236">
        <f t="shared" si="73"/>
        <v>0</v>
      </c>
      <c r="AJ62" s="285"/>
      <c r="AK62" s="550" t="str">
        <f ca="1">F62</f>
        <v>ICDFL</v>
      </c>
      <c r="AL62" s="546" t="s">
        <v>53</v>
      </c>
      <c r="AM62" s="547">
        <f>H79/1000</f>
        <v>0</v>
      </c>
      <c r="AN62" s="548">
        <f>AM62*$AN$23</f>
        <v>0</v>
      </c>
      <c r="AO62" s="549">
        <f>AM62*$AO$23</f>
        <v>0</v>
      </c>
      <c r="AP62" s="549">
        <f>AM62*$AP$23</f>
        <v>0</v>
      </c>
      <c r="AQ62" s="559">
        <f t="shared" si="13"/>
        <v>0</v>
      </c>
      <c r="AR62" s="549">
        <f t="shared" si="14"/>
        <v>0</v>
      </c>
      <c r="AS62" s="555">
        <f t="shared" si="15"/>
        <v>0</v>
      </c>
      <c r="AT62" s="560">
        <f t="shared" si="81"/>
        <v>0</v>
      </c>
      <c r="AU62" s="551">
        <f t="shared" si="81"/>
        <v>0</v>
      </c>
      <c r="AV62" s="552">
        <f t="shared" si="81"/>
        <v>0</v>
      </c>
      <c r="AW62" s="285"/>
      <c r="AX62" s="550" t="str">
        <f t="shared" ca="1" si="17"/>
        <v>ICDFL</v>
      </c>
      <c r="AY62" s="546" t="s">
        <v>53</v>
      </c>
      <c r="AZ62" s="547">
        <f>H99/1000</f>
        <v>0</v>
      </c>
      <c r="BA62" s="548">
        <f>AZ62*$AN$23</f>
        <v>0</v>
      </c>
      <c r="BB62" s="549">
        <f>AZ62*$BB$23</f>
        <v>0</v>
      </c>
      <c r="BC62" s="549">
        <f>AZ62*$BC$23</f>
        <v>0</v>
      </c>
      <c r="BD62" s="560">
        <f t="shared" si="18"/>
        <v>0</v>
      </c>
      <c r="BE62" s="551">
        <f t="shared" si="19"/>
        <v>0</v>
      </c>
      <c r="BF62" s="552">
        <f t="shared" si="20"/>
        <v>0</v>
      </c>
      <c r="BG62" s="560">
        <f t="shared" si="82"/>
        <v>0</v>
      </c>
      <c r="BH62" s="551">
        <f t="shared" si="82"/>
        <v>0</v>
      </c>
      <c r="BI62" s="552">
        <f t="shared" si="82"/>
        <v>0</v>
      </c>
      <c r="BJ62" s="285"/>
      <c r="BK62" s="550" t="str">
        <f ca="1">AK62</f>
        <v>ICDFL</v>
      </c>
      <c r="BL62" s="546" t="s">
        <v>53</v>
      </c>
      <c r="BM62" s="547">
        <f>H119/1000</f>
        <v>0</v>
      </c>
      <c r="BN62" s="548">
        <f>BM62*$AN$23</f>
        <v>0</v>
      </c>
      <c r="BO62" s="549">
        <f>BM62*$BB$23</f>
        <v>0</v>
      </c>
      <c r="BP62" s="549">
        <f>BM62*$BC$23</f>
        <v>0</v>
      </c>
      <c r="BQ62" s="560">
        <f t="shared" si="24"/>
        <v>0</v>
      </c>
      <c r="BR62" s="551">
        <f t="shared" si="25"/>
        <v>0</v>
      </c>
      <c r="BS62" s="552">
        <f t="shared" si="26"/>
        <v>0</v>
      </c>
      <c r="BT62" s="560">
        <f t="shared" si="83"/>
        <v>0</v>
      </c>
      <c r="BU62" s="551">
        <f t="shared" si="83"/>
        <v>0</v>
      </c>
      <c r="BV62" s="552">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22"/>
      <c r="AG66" s="522"/>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510</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201713.4063</v>
      </c>
      <c r="J77" s="14">
        <f t="shared" si="87"/>
        <v>0</v>
      </c>
      <c r="K77" s="14">
        <f t="shared" si="87"/>
        <v>0</v>
      </c>
      <c r="L77" s="14">
        <f t="shared" si="87"/>
        <v>0</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22412.600700000003</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224126.00700000001</v>
      </c>
      <c r="J83" s="18">
        <f t="shared" si="93"/>
        <v>0</v>
      </c>
      <c r="K83" s="18">
        <f t="shared" si="93"/>
        <v>0</v>
      </c>
      <c r="L83" s="18">
        <f t="shared" si="93"/>
        <v>0</v>
      </c>
      <c r="M83" s="18">
        <f t="shared" si="93"/>
        <v>188413.20000000004</v>
      </c>
      <c r="N83" s="18">
        <f t="shared" si="93"/>
        <v>75475</v>
      </c>
      <c r="O83" s="86"/>
      <c r="T83" s="117" t="str">
        <f>+'Energy matrix'!B11</f>
        <v>Natural gas</v>
      </c>
      <c r="U83" s="117"/>
      <c r="V83" s="118">
        <f>+INDEX('Energy matrix'!C11:N11,1,$D$2)</f>
        <v>224126.00700000001</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188413.2</v>
      </c>
      <c r="W87" s="117"/>
    </row>
    <row r="88" spans="3:24" ht="12.75" customHeight="1">
      <c r="O88" s="86"/>
      <c r="T88" s="122" t="str">
        <f>+'Energy matrix'!B16</f>
        <v>District Heating</v>
      </c>
      <c r="U88" s="122"/>
      <c r="V88" s="123">
        <f>+INDEX('Energy matrix'!C16:N16,1,$D$2)</f>
        <v>75475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558467.75900000008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184304.16</v>
      </c>
      <c r="J97" s="14">
        <f t="shared" si="104"/>
        <v>0</v>
      </c>
      <c r="K97" s="14">
        <f t="shared" si="104"/>
        <v>0</v>
      </c>
      <c r="L97" s="14">
        <f t="shared" si="104"/>
        <v>0</v>
      </c>
      <c r="M97" s="14">
        <f t="shared" si="104"/>
        <v>0</v>
      </c>
      <c r="N97" s="14">
        <f t="shared" si="104"/>
        <v>0</v>
      </c>
      <c r="O97" s="86"/>
      <c r="R97" s="287"/>
      <c r="S97" s="287"/>
      <c r="T97" s="48" t="s">
        <v>209</v>
      </c>
      <c r="U97" s="48"/>
      <c r="V97" s="126" t="str">
        <f>+INDEX('Energy matrix'!C24:N24,1,$D$2)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f t="shared" si="105"/>
        <v>0</v>
      </c>
      <c r="K98" s="14">
        <f t="shared" si="105"/>
        <v>0</v>
      </c>
      <c r="L98" s="14">
        <f t="shared" si="105"/>
        <v>0</v>
      </c>
      <c r="M98" s="14">
        <f t="shared" si="105"/>
        <v>21172.14</v>
      </c>
      <c r="N98" s="14">
        <f t="shared" si="105"/>
        <v>0</v>
      </c>
      <c r="O98" s="86"/>
      <c r="R98" s="287"/>
      <c r="S98" s="287"/>
      <c r="T98" s="117" t="str">
        <f>'Energy matrix'!B25</f>
        <v>Coal</v>
      </c>
      <c r="U98" s="117"/>
      <c r="V98" s="118">
        <f>+INDEX('Energy matrix'!C25:N25,1,$D$2)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f t="shared" si="106"/>
        <v>0</v>
      </c>
      <c r="K99" s="19">
        <f t="shared" si="106"/>
        <v>0</v>
      </c>
      <c r="L99" s="19">
        <f t="shared" si="106"/>
        <v>0</v>
      </c>
      <c r="M99" s="19">
        <f t="shared" si="106"/>
        <v>0</v>
      </c>
      <c r="N99" s="19">
        <f t="shared" si="106"/>
        <v>0</v>
      </c>
      <c r="O99" s="86"/>
      <c r="R99" s="287"/>
      <c r="S99" s="287"/>
      <c r="T99" s="117" t="str">
        <f>'Energy matrix'!B26</f>
        <v>Fuel Oil</v>
      </c>
      <c r="U99" s="117"/>
      <c r="V99" s="118">
        <f>+INDEX('Energy matrix'!C26:N26,1,$D$2)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f t="shared" si="107"/>
        <v>0</v>
      </c>
      <c r="K100" s="14">
        <f t="shared" si="107"/>
        <v>0</v>
      </c>
      <c r="L100" s="14">
        <f t="shared" si="107"/>
        <v>0</v>
      </c>
      <c r="M100" s="14">
        <f t="shared" si="107"/>
        <v>13473.180000000002</v>
      </c>
      <c r="N100" s="14">
        <f t="shared" si="107"/>
        <v>0</v>
      </c>
      <c r="O100" s="86"/>
      <c r="R100" s="287"/>
      <c r="S100" s="287"/>
      <c r="T100" s="117" t="str">
        <f>'Energy matrix'!B27</f>
        <v>Diesel</v>
      </c>
      <c r="U100" s="117"/>
      <c r="V100" s="118">
        <f>+INDEX('Energy matrix'!C27:N27,1,$D$2)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f t="shared" si="108"/>
        <v>0</v>
      </c>
      <c r="K101" s="14">
        <f t="shared" si="108"/>
        <v>0</v>
      </c>
      <c r="L101" s="14">
        <f t="shared" si="108"/>
        <v>0</v>
      </c>
      <c r="M101" s="14">
        <f t="shared" si="108"/>
        <v>155903.94</v>
      </c>
      <c r="N101" s="14">
        <f t="shared" si="108"/>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20478.240000000002</v>
      </c>
      <c r="J102" s="14">
        <f t="shared" si="109"/>
        <v>0</v>
      </c>
      <c r="K102" s="14">
        <f t="shared" si="109"/>
        <v>0</v>
      </c>
      <c r="L102" s="14">
        <f t="shared" si="109"/>
        <v>0</v>
      </c>
      <c r="M102" s="14">
        <f t="shared" si="109"/>
        <v>1924.74</v>
      </c>
      <c r="N102" s="14">
        <f t="shared" si="109"/>
        <v>97183</v>
      </c>
      <c r="O102" s="86"/>
      <c r="R102" s="287"/>
      <c r="S102" s="287"/>
      <c r="T102" s="117" t="str">
        <f>'Energy matrix'!B29</f>
        <v>LPG</v>
      </c>
      <c r="U102" s="117"/>
      <c r="V102" s="118">
        <f>+INDEX('Energy matrix'!C29:N29,1,$D$2)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204782.4</v>
      </c>
      <c r="J103" s="18">
        <f t="shared" si="110"/>
        <v>0</v>
      </c>
      <c r="K103" s="18">
        <f t="shared" si="110"/>
        <v>0</v>
      </c>
      <c r="L103" s="18">
        <f t="shared" si="110"/>
        <v>0</v>
      </c>
      <c r="M103" s="18">
        <f t="shared" si="110"/>
        <v>192474</v>
      </c>
      <c r="N103" s="18">
        <f t="shared" si="110"/>
        <v>97183</v>
      </c>
      <c r="O103" s="86"/>
      <c r="R103" s="287"/>
      <c r="S103" s="287"/>
      <c r="T103" s="117" t="str">
        <f>'Energy matrix'!B31</f>
        <v>Natural gas</v>
      </c>
      <c r="U103" s="117"/>
      <c r="V103" s="118">
        <f>+INDEX('Energy matrix'!C31:N31,1,$D$2)</f>
        <v>204782.4</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192474</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589779.58700000006</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matrix'!B43</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f t="shared" si="121"/>
        <v>0</v>
      </c>
      <c r="I117" s="14">
        <f t="shared" si="121"/>
        <v>188806.1544</v>
      </c>
      <c r="J117" s="14">
        <f t="shared" si="121"/>
        <v>0</v>
      </c>
      <c r="K117" s="14">
        <f t="shared" si="121"/>
        <v>0</v>
      </c>
      <c r="L117" s="14">
        <f t="shared" si="121"/>
        <v>0</v>
      </c>
      <c r="M117" s="14">
        <f t="shared" si="121"/>
        <v>0</v>
      </c>
      <c r="N117" s="14">
        <f t="shared" si="121"/>
        <v>0</v>
      </c>
      <c r="O117" s="86"/>
      <c r="T117" s="48" t="s">
        <v>209</v>
      </c>
      <c r="U117" s="48"/>
      <c r="V117" s="126" t="str">
        <f>+INDEX('Energy matrix'!C44:N44,1,$D$2)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f t="shared" si="122"/>
        <v>0</v>
      </c>
      <c r="I118" s="14">
        <f t="shared" si="122"/>
        <v>0</v>
      </c>
      <c r="J118" s="14">
        <f t="shared" si="122"/>
        <v>0</v>
      </c>
      <c r="K118" s="14">
        <f t="shared" si="122"/>
        <v>0</v>
      </c>
      <c r="L118" s="14">
        <f t="shared" si="122"/>
        <v>0</v>
      </c>
      <c r="M118" s="14">
        <f t="shared" si="122"/>
        <v>20872.367999999999</v>
      </c>
      <c r="N118" s="14">
        <f t="shared" si="122"/>
        <v>0</v>
      </c>
      <c r="O118" s="86"/>
      <c r="T118" s="117" t="str">
        <f>'Energy matrix'!B45</f>
        <v>Coal</v>
      </c>
      <c r="U118" s="117"/>
      <c r="V118" s="118">
        <f>+INDEX('Energy matrix'!C45:N45,1,$D$2)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f t="shared" si="123"/>
        <v>0</v>
      </c>
      <c r="I119" s="19">
        <f t="shared" si="123"/>
        <v>0</v>
      </c>
      <c r="J119" s="19">
        <f t="shared" si="123"/>
        <v>0</v>
      </c>
      <c r="K119" s="19">
        <f t="shared" si="123"/>
        <v>0</v>
      </c>
      <c r="L119" s="19">
        <f t="shared" si="123"/>
        <v>0</v>
      </c>
      <c r="M119" s="19">
        <f t="shared" si="123"/>
        <v>0</v>
      </c>
      <c r="N119" s="19">
        <f t="shared" si="123"/>
        <v>0</v>
      </c>
      <c r="O119" s="86"/>
      <c r="T119" s="117" t="str">
        <f>'Energy matrix'!B46</f>
        <v>Fuel Oil</v>
      </c>
      <c r="U119" s="117"/>
      <c r="V119" s="118">
        <f>+INDEX('Energy matrix'!C46:N46,1,$D$2)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f t="shared" si="124"/>
        <v>0</v>
      </c>
      <c r="I120" s="14">
        <f t="shared" si="124"/>
        <v>0</v>
      </c>
      <c r="J120" s="14">
        <f t="shared" si="124"/>
        <v>0</v>
      </c>
      <c r="K120" s="14">
        <f t="shared" si="124"/>
        <v>0</v>
      </c>
      <c r="L120" s="14">
        <f t="shared" si="124"/>
        <v>0</v>
      </c>
      <c r="M120" s="14">
        <f t="shared" si="124"/>
        <v>13282.416000000001</v>
      </c>
      <c r="N120" s="14">
        <f t="shared" si="124"/>
        <v>0</v>
      </c>
      <c r="O120" s="86"/>
      <c r="T120" s="117" t="str">
        <f>'Energy matrix'!B47</f>
        <v>Diesel</v>
      </c>
      <c r="U120" s="117"/>
      <c r="V120" s="118">
        <f>+INDEX('Energy matrix'!C47:N47,1,$D$2)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f t="shared" si="125"/>
        <v>0</v>
      </c>
      <c r="I121" s="14">
        <f t="shared" si="125"/>
        <v>0</v>
      </c>
      <c r="J121" s="14">
        <f t="shared" si="125"/>
        <v>0</v>
      </c>
      <c r="K121" s="14">
        <f t="shared" si="125"/>
        <v>0</v>
      </c>
      <c r="L121" s="14">
        <f t="shared" si="125"/>
        <v>0</v>
      </c>
      <c r="M121" s="14">
        <f t="shared" si="125"/>
        <v>153696.52799999999</v>
      </c>
      <c r="N121" s="14">
        <f t="shared" si="125"/>
        <v>0</v>
      </c>
      <c r="O121" s="86"/>
      <c r="T121" s="117" t="str">
        <f>'Energy matrix'!B48</f>
        <v>Gasoline</v>
      </c>
      <c r="U121" s="117"/>
      <c r="V121" s="118">
        <f>+INDEX('Energy matrix'!C48:N48,1,$D$2)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f t="shared" si="126"/>
        <v>0</v>
      </c>
      <c r="I122" s="14">
        <f t="shared" si="126"/>
        <v>20978.461600000002</v>
      </c>
      <c r="J122" s="14">
        <f t="shared" si="126"/>
        <v>0</v>
      </c>
      <c r="K122" s="14">
        <f t="shared" si="126"/>
        <v>0</v>
      </c>
      <c r="L122" s="14">
        <f t="shared" si="126"/>
        <v>0</v>
      </c>
      <c r="M122" s="14">
        <f t="shared" si="126"/>
        <v>1897.4879999999998</v>
      </c>
      <c r="N122" s="14">
        <f t="shared" si="126"/>
        <v>105172</v>
      </c>
      <c r="O122" s="86"/>
      <c r="T122" s="117" t="str">
        <f>'Energy matrix'!B49</f>
        <v>LPG</v>
      </c>
      <c r="U122" s="117"/>
      <c r="V122" s="118">
        <f>+INDEX('Energy matrix'!C49:N49,1,$D$2)</f>
        <v>0</v>
      </c>
      <c r="W122" s="117"/>
    </row>
    <row r="123" spans="3:31" ht="12.75" customHeight="1">
      <c r="C123" s="17" t="s">
        <v>57</v>
      </c>
      <c r="D123" s="18">
        <f t="shared" ref="D123:N123" si="127">SUM(D117:D122)</f>
        <v>14652.936</v>
      </c>
      <c r="E123" s="18">
        <f t="shared" si="127"/>
        <v>21139.732</v>
      </c>
      <c r="F123" s="18">
        <f t="shared" si="127"/>
        <v>1588.299</v>
      </c>
      <c r="G123" s="18">
        <f t="shared" si="127"/>
        <v>0</v>
      </c>
      <c r="H123" s="18">
        <f t="shared" si="127"/>
        <v>0</v>
      </c>
      <c r="I123" s="18">
        <f t="shared" si="127"/>
        <v>209784.61600000001</v>
      </c>
      <c r="J123" s="18">
        <f t="shared" si="127"/>
        <v>0</v>
      </c>
      <c r="K123" s="18">
        <f t="shared" si="127"/>
        <v>0</v>
      </c>
      <c r="L123" s="18">
        <f t="shared" si="127"/>
        <v>0</v>
      </c>
      <c r="M123" s="18">
        <f t="shared" si="127"/>
        <v>189748.8</v>
      </c>
      <c r="N123" s="18">
        <f t="shared" si="127"/>
        <v>105172</v>
      </c>
      <c r="O123" s="86"/>
      <c r="T123" s="117" t="str">
        <f>'Energy matrix'!B51</f>
        <v>Natural gas</v>
      </c>
      <c r="U123" s="117"/>
      <c r="V123" s="118">
        <f>+INDEX('Energy matrix'!C51:N51,1,$D$2)</f>
        <v>209784.61600000001</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189748.8</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105172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542086.38300000003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534</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535</v>
      </c>
      <c r="E151" s="22"/>
      <c r="F151" s="22"/>
      <c r="G151" s="22"/>
      <c r="H151" s="22">
        <v>0</v>
      </c>
      <c r="I151" s="22"/>
      <c r="J151" s="22"/>
      <c r="K151" s="22">
        <v>0</v>
      </c>
      <c r="L151" s="624"/>
      <c r="M151" s="22">
        <v>0</v>
      </c>
      <c r="N151" s="22">
        <v>0.11</v>
      </c>
      <c r="O151" s="22">
        <v>0</v>
      </c>
      <c r="P151" s="34"/>
      <c r="Q151" s="34"/>
      <c r="R151" s="25"/>
      <c r="S151" s="25"/>
      <c r="Y151" s="285"/>
      <c r="AB151" s="25"/>
    </row>
    <row r="152" spans="3:28">
      <c r="C152" s="15"/>
      <c r="D152" s="13" t="s">
        <v>536</v>
      </c>
      <c r="E152" s="22">
        <v>0</v>
      </c>
      <c r="F152" s="22"/>
      <c r="G152" s="22">
        <v>1</v>
      </c>
      <c r="H152" s="625">
        <v>1</v>
      </c>
      <c r="I152" s="22">
        <v>0.75</v>
      </c>
      <c r="J152" s="22">
        <v>0</v>
      </c>
      <c r="K152" s="22">
        <v>0</v>
      </c>
      <c r="L152" s="22"/>
      <c r="M152" s="22">
        <v>0</v>
      </c>
      <c r="N152" s="22">
        <v>0</v>
      </c>
      <c r="O152" s="22">
        <v>0</v>
      </c>
      <c r="P152" s="34"/>
      <c r="Q152" s="34"/>
      <c r="R152" s="25"/>
      <c r="S152" s="25"/>
      <c r="Y152" s="285"/>
      <c r="AB152" s="25"/>
    </row>
    <row r="153" spans="3:28">
      <c r="C153" s="15"/>
      <c r="D153" s="13" t="s">
        <v>537</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539</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Z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39" cm="1">
        <f t="array" ref="AO23">INDEX(RegSplit!$B$4:$AN$6,MATCH(AO22,RegSplit!$A$4:$A$6,0),MATCH($D$6&amp;AK19,RegSplit!$B$2:$AN$2&amp;RegSplit!$B$3:$AN$3,0))</f>
        <v>0</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39" cm="1">
        <f t="array" ref="BB23">INDEX(RegSplit!$B$4:$AN$6,MATCH(BB22,RegSplit!$A$4:$A$6,0),MATCH($D$6&amp;AX19,RegSplit!$B$2:$AN$2&amp;RegSplit!$B$3:$AN$3,0))</f>
        <v>0</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39" cm="1">
        <f t="array" ref="BO23">INDEX(RegSplit!$B$4:$AN$6,MATCH(BO22,RegSplit!$A$4:$A$6,0),MATCH($D$6&amp;BK19,RegSplit!$B$2:$AN$2&amp;RegSplit!$B$3:$AN$3,0))</f>
        <v>0</v>
      </c>
      <c r="BP23" s="539"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6265.933</v>
      </c>
      <c r="N26" s="322">
        <f>ROUNDUP(BO26/($Z26*$AA26)*N$21*X26,3)</f>
        <v>0</v>
      </c>
      <c r="O26" s="322">
        <f>ROUNDUP(BP26/($Z26*$AA26)*O$21*Y26,3)</f>
        <v>329.786</v>
      </c>
      <c r="P26" s="322">
        <f t="shared" ref="P26:P62" si="1">M26</f>
        <v>6265.933</v>
      </c>
      <c r="Q26" s="322">
        <f t="shared" ref="Q26:Q62" si="2">N26</f>
        <v>0</v>
      </c>
      <c r="R26" s="322">
        <f t="shared" ref="R26:R62" si="3">O26</f>
        <v>329.786</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99.81938931501314</v>
      </c>
      <c r="AJ26" s="285"/>
      <c r="AK26" s="544"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44"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44" t="str">
        <f ca="1">AK26</f>
        <v>IGDPH</v>
      </c>
      <c r="BL26" s="350" t="s">
        <v>97</v>
      </c>
      <c r="BM26" s="313">
        <f>I117/1000</f>
        <v>105.07303</v>
      </c>
      <c r="BN26" s="310">
        <f>BM26*$AN$23</f>
        <v>99.819378499999999</v>
      </c>
      <c r="BO26" s="311">
        <f>BM26*$BB$23</f>
        <v>0</v>
      </c>
      <c r="BP26" s="311">
        <f>BM26*$BC$23</f>
        <v>5.2536515000000001</v>
      </c>
      <c r="BQ26" s="313">
        <f>IFERROR(M26*$Z26*$AA26/M$21,0)</f>
        <v>97.823001528712879</v>
      </c>
      <c r="BR26" s="310">
        <f>IFERROR(N26*$Z26*$AA26/N$21,0)</f>
        <v>0</v>
      </c>
      <c r="BS26" s="357">
        <f>IFERROR(O26*$Z26*$AA26/O$21,0)</f>
        <v>5.1485798495049515</v>
      </c>
      <c r="BT26" s="313">
        <f>IFERROR(BQ26/W26,0)</f>
        <v>99.81938931501314</v>
      </c>
      <c r="BU26" s="310">
        <f>IFERROR(BR26/X26,0)</f>
        <v>0</v>
      </c>
      <c r="BV26" s="357">
        <f>IFERROR(BS26/Y26,0)</f>
        <v>5.2536529076581138</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54">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73" t="s">
        <v>101</v>
      </c>
      <c r="AM32" s="574">
        <f>E77/1000</f>
        <v>7.7468159999999999</v>
      </c>
      <c r="AN32" s="575">
        <f t="shared" si="47"/>
        <v>7.3594751999999994</v>
      </c>
      <c r="AO32" s="576">
        <f>AM32*$AO$23</f>
        <v>0</v>
      </c>
      <c r="AP32" s="576">
        <f t="shared" si="49"/>
        <v>0.38734080000000004</v>
      </c>
      <c r="AQ32" s="596">
        <f t="shared" si="28"/>
        <v>6.8516764435564443</v>
      </c>
      <c r="AR32" s="576">
        <f t="shared" si="29"/>
        <v>0</v>
      </c>
      <c r="AS32" s="577">
        <f t="shared" si="30"/>
        <v>0.36061620779220788</v>
      </c>
      <c r="AT32" s="574">
        <f t="shared" si="50"/>
        <v>7.3594806053237862</v>
      </c>
      <c r="AU32" s="575">
        <f t="shared" si="50"/>
        <v>0</v>
      </c>
      <c r="AV32" s="580">
        <f t="shared" si="50"/>
        <v>0.38734286551257563</v>
      </c>
      <c r="AW32" s="285"/>
      <c r="AX32" s="290"/>
      <c r="AY32" s="573" t="s">
        <v>101</v>
      </c>
      <c r="AZ32" s="574">
        <f>E97/1000</f>
        <v>3.462475</v>
      </c>
      <c r="BA32" s="575">
        <f>AZ32*$AN$23</f>
        <v>3.2893512499999997</v>
      </c>
      <c r="BB32" s="576">
        <f t="shared" ref="BB32:BB34" si="51">AZ32*$BB$23</f>
        <v>0</v>
      </c>
      <c r="BC32" s="576">
        <f t="shared" ref="BC32:BC34" si="52">AZ32*$BC$23</f>
        <v>0.17312375000000002</v>
      </c>
      <c r="BD32" s="574">
        <f>IFERROR(J32*$Z32*AA32/J$21,0)</f>
        <v>3.0623953900990104</v>
      </c>
      <c r="BE32" s="575">
        <f t="shared" si="34"/>
        <v>0</v>
      </c>
      <c r="BF32" s="580">
        <f t="shared" si="35"/>
        <v>0.16119267326732672</v>
      </c>
      <c r="BG32" s="574">
        <f t="shared" si="15"/>
        <v>3.2893613212663917</v>
      </c>
      <c r="BH32" s="575">
        <f t="shared" si="16"/>
        <v>0</v>
      </c>
      <c r="BI32" s="580">
        <f t="shared" si="17"/>
        <v>0.17313928385319735</v>
      </c>
      <c r="BJ32" s="285"/>
      <c r="BK32" s="290"/>
      <c r="BL32" s="573" t="s">
        <v>101</v>
      </c>
      <c r="BM32" s="574">
        <f>E117/1000</f>
        <v>2.3398939999999997</v>
      </c>
      <c r="BN32" s="575">
        <f>BM32*$AN$23</f>
        <v>2.2228992999999995</v>
      </c>
      <c r="BO32" s="576">
        <f t="shared" ref="BO32:BO62" si="53">BM32*$BB$23</f>
        <v>0</v>
      </c>
      <c r="BP32" s="576">
        <f t="shared" ref="BP32:BP62" si="54">BM32*$BC$23</f>
        <v>0.11699469999999999</v>
      </c>
      <c r="BQ32" s="574">
        <f t="shared" si="38"/>
        <v>2.0695265821782178</v>
      </c>
      <c r="BR32" s="575">
        <f t="shared" si="39"/>
        <v>0</v>
      </c>
      <c r="BS32" s="580">
        <f t="shared" si="40"/>
        <v>0.10892409504950497</v>
      </c>
      <c r="BT32" s="574">
        <f t="shared" si="41"/>
        <v>2.2229071774202125</v>
      </c>
      <c r="BU32" s="575">
        <f t="shared" si="42"/>
        <v>0</v>
      </c>
      <c r="BV32" s="580">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f t="shared" si="24"/>
        <v>15.413</v>
      </c>
      <c r="N33" s="322">
        <f t="shared" si="25"/>
        <v>0</v>
      </c>
      <c r="O33" s="322">
        <f t="shared" si="26"/>
        <v>0.81200000000000006</v>
      </c>
      <c r="P33" s="322">
        <f t="shared" si="1"/>
        <v>15.413</v>
      </c>
      <c r="Q33" s="322">
        <f t="shared" si="2"/>
        <v>0</v>
      </c>
      <c r="R33" s="322">
        <f t="shared" si="3"/>
        <v>0.81200000000000006</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f t="shared" si="10"/>
        <v>0.24553665791068904</v>
      </c>
      <c r="AJ33" s="285"/>
      <c r="AK33" s="290"/>
      <c r="AL33" s="573" t="s">
        <v>53</v>
      </c>
      <c r="AM33" s="574">
        <f>H77/1000</f>
        <v>0.62141849999999998</v>
      </c>
      <c r="AN33" s="575">
        <f t="shared" si="47"/>
        <v>0.59034757500000001</v>
      </c>
      <c r="AO33" s="576">
        <f t="shared" si="48"/>
        <v>0</v>
      </c>
      <c r="AP33" s="576">
        <f t="shared" si="49"/>
        <v>3.1070924999999999E-2</v>
      </c>
      <c r="AQ33" s="596">
        <f t="shared" si="28"/>
        <v>0.57854855544455541</v>
      </c>
      <c r="AR33" s="576">
        <f t="shared" si="29"/>
        <v>0</v>
      </c>
      <c r="AS33" s="577">
        <f t="shared" si="30"/>
        <v>3.0464847152847155E-2</v>
      </c>
      <c r="AT33" s="574">
        <f t="shared" si="50"/>
        <v>0.5903556688209749</v>
      </c>
      <c r="AU33" s="575">
        <f t="shared" si="50"/>
        <v>0</v>
      </c>
      <c r="AV33" s="580">
        <f t="shared" si="50"/>
        <v>3.1086578727395058E-2</v>
      </c>
      <c r="AW33" s="285"/>
      <c r="AX33" s="290"/>
      <c r="AY33" s="573" t="s">
        <v>53</v>
      </c>
      <c r="AZ33" s="574">
        <f>H97/1000</f>
        <v>0.22683</v>
      </c>
      <c r="BA33" s="575">
        <f>AZ33*$AN$23</f>
        <v>0.2154885</v>
      </c>
      <c r="BB33" s="576">
        <f t="shared" si="51"/>
        <v>0</v>
      </c>
      <c r="BC33" s="576">
        <f t="shared" si="52"/>
        <v>1.1341500000000001E-2</v>
      </c>
      <c r="BD33" s="574">
        <f t="shared" si="33"/>
        <v>0.21118191683168316</v>
      </c>
      <c r="BE33" s="575">
        <f t="shared" si="34"/>
        <v>0</v>
      </c>
      <c r="BF33" s="580">
        <f t="shared" si="35"/>
        <v>1.1115659405940595E-2</v>
      </c>
      <c r="BG33" s="574">
        <f t="shared" si="15"/>
        <v>0.21549175186906447</v>
      </c>
      <c r="BH33" s="575">
        <f t="shared" si="16"/>
        <v>0</v>
      </c>
      <c r="BI33" s="580">
        <f t="shared" si="17"/>
        <v>1.1342509597898566E-2</v>
      </c>
      <c r="BJ33" s="285"/>
      <c r="BK33" s="290"/>
      <c r="BL33" s="573" t="s">
        <v>53</v>
      </c>
      <c r="BM33" s="574">
        <f>H117/1000</f>
        <v>0.25844400000000001</v>
      </c>
      <c r="BN33" s="575">
        <f>BM33*$AN$23</f>
        <v>0.24552179999999998</v>
      </c>
      <c r="BO33" s="576">
        <f t="shared" si="53"/>
        <v>0</v>
      </c>
      <c r="BP33" s="576">
        <f t="shared" si="54"/>
        <v>1.2922200000000002E-2</v>
      </c>
      <c r="BQ33" s="574">
        <f t="shared" si="38"/>
        <v>0.24062592475247527</v>
      </c>
      <c r="BR33" s="575">
        <f t="shared" si="39"/>
        <v>0</v>
      </c>
      <c r="BS33" s="580">
        <f t="shared" si="40"/>
        <v>1.2676847524752477E-2</v>
      </c>
      <c r="BT33" s="574">
        <f t="shared" si="41"/>
        <v>0.24553665791068904</v>
      </c>
      <c r="BU33" s="575">
        <f t="shared" si="42"/>
        <v>0</v>
      </c>
      <c r="BV33" s="580">
        <f t="shared" si="43"/>
        <v>1.2935558698727019E-2</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IGDCO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IGDCO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IGDCO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IGDSH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IGDSH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IGDSH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54.666999999999994</v>
      </c>
      <c r="N56" s="321">
        <f t="shared" si="25"/>
        <v>0</v>
      </c>
      <c r="O56" s="321">
        <f t="shared" si="26"/>
        <v>0</v>
      </c>
      <c r="P56" s="321">
        <f t="shared" si="1"/>
        <v>54.666999999999994</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0.88901532178217824</v>
      </c>
      <c r="AJ56" s="285"/>
      <c r="AK56" s="356"/>
      <c r="AL56" s="573" t="s">
        <v>103</v>
      </c>
      <c r="AM56" s="574">
        <f>N82/1000</f>
        <v>0.60799999999999998</v>
      </c>
      <c r="AN56" s="627">
        <f>AM56</f>
        <v>0.60799999999999998</v>
      </c>
      <c r="AO56" s="628">
        <v>0</v>
      </c>
      <c r="AP56" s="628">
        <v>0</v>
      </c>
      <c r="AQ56" s="596">
        <f t="shared" si="28"/>
        <v>0.58368378821178823</v>
      </c>
      <c r="AR56" s="576">
        <f t="shared" si="29"/>
        <v>0</v>
      </c>
      <c r="AS56" s="577">
        <f t="shared" si="30"/>
        <v>0</v>
      </c>
      <c r="AT56" s="574">
        <f t="shared" si="85"/>
        <v>0.60800394605394614</v>
      </c>
      <c r="AU56" s="575">
        <f t="shared" si="85"/>
        <v>0</v>
      </c>
      <c r="AV56" s="580">
        <f t="shared" si="85"/>
        <v>0</v>
      </c>
      <c r="AW56" s="285"/>
      <c r="AX56" s="356"/>
      <c r="AY56" s="573" t="s">
        <v>103</v>
      </c>
      <c r="AZ56" s="574">
        <f>N102/1000</f>
        <v>0.77500000000000002</v>
      </c>
      <c r="BA56" s="627">
        <f>AZ56</f>
        <v>0.77500000000000002</v>
      </c>
      <c r="BB56" s="628">
        <v>0</v>
      </c>
      <c r="BC56" s="628">
        <v>0</v>
      </c>
      <c r="BD56" s="574">
        <f t="shared" si="33"/>
        <v>0.74401542178217828</v>
      </c>
      <c r="BE56" s="575">
        <f t="shared" si="34"/>
        <v>0</v>
      </c>
      <c r="BF56" s="580">
        <f t="shared" si="35"/>
        <v>0</v>
      </c>
      <c r="BG56" s="574">
        <f t="shared" si="62"/>
        <v>0.77501606435643577</v>
      </c>
      <c r="BH56" s="575">
        <f t="shared" si="63"/>
        <v>0</v>
      </c>
      <c r="BI56" s="580">
        <f t="shared" si="64"/>
        <v>0</v>
      </c>
      <c r="BJ56" s="285"/>
      <c r="BK56" s="356"/>
      <c r="BL56" s="573" t="s">
        <v>103</v>
      </c>
      <c r="BM56" s="574">
        <f>N122/1000</f>
        <v>0.88900000000000001</v>
      </c>
      <c r="BN56" s="627">
        <f>BM56</f>
        <v>0.88900000000000001</v>
      </c>
      <c r="BO56" s="628">
        <v>0</v>
      </c>
      <c r="BP56" s="628">
        <v>0</v>
      </c>
      <c r="BQ56" s="574">
        <f t="shared" si="38"/>
        <v>0.85345470891089104</v>
      </c>
      <c r="BR56" s="575">
        <f t="shared" si="39"/>
        <v>0</v>
      </c>
      <c r="BS56" s="580">
        <f t="shared" si="40"/>
        <v>0</v>
      </c>
      <c r="BT56" s="574">
        <f t="shared" si="65"/>
        <v>0.88901532178217824</v>
      </c>
      <c r="BU56" s="575">
        <f t="shared" si="66"/>
        <v>0</v>
      </c>
      <c r="BV56" s="580">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8.7619999999999987</v>
      </c>
      <c r="N58" s="324">
        <f t="shared" si="25"/>
        <v>0</v>
      </c>
      <c r="O58" s="324">
        <f t="shared" si="26"/>
        <v>0.46200000000000002</v>
      </c>
      <c r="P58" s="324">
        <f t="shared" si="1"/>
        <v>8.7619999999999987</v>
      </c>
      <c r="Q58" s="324">
        <f t="shared" si="2"/>
        <v>0</v>
      </c>
      <c r="R58" s="324">
        <f t="shared" si="3"/>
        <v>0.46200000000000002</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0.1439908452318916</v>
      </c>
      <c r="AJ58" s="285"/>
      <c r="AK58" s="355"/>
      <c r="AL58" s="581" t="s">
        <v>61</v>
      </c>
      <c r="AM58" s="574">
        <f>M82/1000</f>
        <v>0.14842594167981987</v>
      </c>
      <c r="AN58" s="575">
        <f t="shared" si="77"/>
        <v>0.14100464459582887</v>
      </c>
      <c r="AO58" s="576">
        <f t="shared" si="78"/>
        <v>0</v>
      </c>
      <c r="AP58" s="576">
        <f t="shared" si="79"/>
        <v>7.4212970839909942E-3</v>
      </c>
      <c r="AQ58" s="596">
        <f t="shared" si="28"/>
        <v>0.13395711488511491</v>
      </c>
      <c r="AR58" s="576">
        <f t="shared" si="29"/>
        <v>0</v>
      </c>
      <c r="AS58" s="577">
        <f t="shared" si="30"/>
        <v>7.0570069930069937E-3</v>
      </c>
      <c r="AT58" s="574">
        <f t="shared" ref="AT58:AV62" si="87">IFERROR(AQ58/W58,0)</f>
        <v>0.14100748935275254</v>
      </c>
      <c r="AU58" s="575">
        <f t="shared" si="87"/>
        <v>0</v>
      </c>
      <c r="AV58" s="580">
        <f t="shared" si="87"/>
        <v>7.4284284136915723E-3</v>
      </c>
      <c r="AW58" s="285"/>
      <c r="AX58" s="355"/>
      <c r="AY58" s="581" t="s">
        <v>61</v>
      </c>
      <c r="AZ58" s="574">
        <f>M102/1000</f>
        <v>0.14917814115539196</v>
      </c>
      <c r="BA58" s="575">
        <f>AZ58*$AN$23</f>
        <v>0.14171923409762235</v>
      </c>
      <c r="BB58" s="576">
        <f t="shared" si="60"/>
        <v>0</v>
      </c>
      <c r="BC58" s="576">
        <f t="shared" si="61"/>
        <v>7.4589070577695989E-3</v>
      </c>
      <c r="BD58" s="574">
        <f t="shared" si="33"/>
        <v>0.13463686336633662</v>
      </c>
      <c r="BE58" s="575">
        <f t="shared" si="34"/>
        <v>0</v>
      </c>
      <c r="BF58" s="580">
        <f t="shared" si="35"/>
        <v>7.0877940594059408E-3</v>
      </c>
      <c r="BG58" s="574">
        <f t="shared" ref="BG58:BI62" si="88">IFERROR(BD58/W58,0)</f>
        <v>0.14172301406982804</v>
      </c>
      <c r="BH58" s="575">
        <f t="shared" si="88"/>
        <v>0</v>
      </c>
      <c r="BI58" s="580">
        <f t="shared" si="88"/>
        <v>7.4608358520062536E-3</v>
      </c>
      <c r="BJ58" s="285"/>
      <c r="BK58" s="355"/>
      <c r="BL58" s="581" t="s">
        <v>61</v>
      </c>
      <c r="BM58" s="574">
        <f>M122/1000</f>
        <v>0.15155606207816819</v>
      </c>
      <c r="BN58" s="575">
        <f>BM58*$AN$23</f>
        <v>0.14397825897425978</v>
      </c>
      <c r="BO58" s="576">
        <f t="shared" si="53"/>
        <v>0</v>
      </c>
      <c r="BP58" s="576">
        <f t="shared" si="54"/>
        <v>7.5778031039084098E-3</v>
      </c>
      <c r="BQ58" s="574">
        <f t="shared" si="38"/>
        <v>0.13679130297029701</v>
      </c>
      <c r="BR58" s="575">
        <f t="shared" si="39"/>
        <v>0</v>
      </c>
      <c r="BS58" s="580">
        <f t="shared" si="40"/>
        <v>7.2126891089108911E-3</v>
      </c>
      <c r="BT58" s="574">
        <f t="shared" ref="BT58:BV62" si="89">IFERROR(BQ58/W58,0)</f>
        <v>0.1439908452318916</v>
      </c>
      <c r="BU58" s="575">
        <f t="shared" si="89"/>
        <v>0</v>
      </c>
      <c r="BV58" s="580">
        <f t="shared" si="89"/>
        <v>7.5923043251693596E-3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273.65499999999997</v>
      </c>
      <c r="N59" s="323">
        <f t="shared" si="25"/>
        <v>0</v>
      </c>
      <c r="O59" s="323">
        <f t="shared" si="26"/>
        <v>14.402999999999999</v>
      </c>
      <c r="P59" s="323">
        <f t="shared" si="1"/>
        <v>273.65499999999997</v>
      </c>
      <c r="Q59" s="323">
        <f t="shared" si="2"/>
        <v>0</v>
      </c>
      <c r="R59" s="323">
        <f t="shared" si="3"/>
        <v>14.402999999999999</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4.2722693465346531</v>
      </c>
      <c r="AJ59" s="285"/>
      <c r="AK59" s="545" t="str">
        <f ca="1">F59</f>
        <v>IGDLA</v>
      </c>
      <c r="AL59" s="592" t="s">
        <v>61</v>
      </c>
      <c r="AM59" s="593">
        <f>M80/1000</f>
        <v>4.4042400000000006</v>
      </c>
      <c r="AN59" s="594">
        <f t="shared" si="77"/>
        <v>4.1840280000000005</v>
      </c>
      <c r="AO59" s="597">
        <f t="shared" si="78"/>
        <v>0</v>
      </c>
      <c r="AP59" s="597">
        <f t="shared" si="79"/>
        <v>0.22021200000000005</v>
      </c>
      <c r="AQ59" s="598">
        <f t="shared" si="28"/>
        <v>4.1840332867132872</v>
      </c>
      <c r="AR59" s="597">
        <f t="shared" si="29"/>
        <v>0</v>
      </c>
      <c r="AS59" s="599">
        <f t="shared" si="30"/>
        <v>0.2202164235764236</v>
      </c>
      <c r="AT59" s="593">
        <f t="shared" si="87"/>
        <v>4.1840332867132872</v>
      </c>
      <c r="AU59" s="594">
        <f t="shared" si="87"/>
        <v>0</v>
      </c>
      <c r="AV59" s="595">
        <f t="shared" si="87"/>
        <v>0.2202164235764236</v>
      </c>
      <c r="AW59" s="285"/>
      <c r="AX59" s="545" t="str">
        <f t="shared" ca="1" si="12"/>
        <v>IGDLA</v>
      </c>
      <c r="AY59" s="592" t="s">
        <v>61</v>
      </c>
      <c r="AZ59" s="593">
        <f>M100/1000</f>
        <v>4.4265600000000003</v>
      </c>
      <c r="BA59" s="594">
        <f>AZ59*$AN$23</f>
        <v>4.2052319999999996</v>
      </c>
      <c r="BB59" s="597">
        <f t="shared" si="60"/>
        <v>0</v>
      </c>
      <c r="BC59" s="597">
        <f t="shared" si="61"/>
        <v>0.22132800000000002</v>
      </c>
      <c r="BD59" s="593">
        <f t="shared" si="33"/>
        <v>4.2052475405940593</v>
      </c>
      <c r="BE59" s="594">
        <f t="shared" si="34"/>
        <v>0</v>
      </c>
      <c r="BF59" s="595">
        <f t="shared" si="35"/>
        <v>0.2213296396039604</v>
      </c>
      <c r="BG59" s="593">
        <f t="shared" si="88"/>
        <v>4.2052475405940593</v>
      </c>
      <c r="BH59" s="594">
        <f t="shared" si="88"/>
        <v>0</v>
      </c>
      <c r="BI59" s="595">
        <f t="shared" si="88"/>
        <v>0.2213296396039604</v>
      </c>
      <c r="BJ59" s="285"/>
      <c r="BK59" s="545" t="str">
        <f ca="1">AK59</f>
        <v>IGDLA</v>
      </c>
      <c r="BL59" s="592" t="s">
        <v>61</v>
      </c>
      <c r="BM59" s="593">
        <f>M120/1000</f>
        <v>4.4971199999999998</v>
      </c>
      <c r="BN59" s="594">
        <f>BM59*$AN$23</f>
        <v>4.2722639999999998</v>
      </c>
      <c r="BO59" s="597">
        <f t="shared" si="53"/>
        <v>0</v>
      </c>
      <c r="BP59" s="597">
        <f t="shared" si="54"/>
        <v>0.224856</v>
      </c>
      <c r="BQ59" s="593">
        <f t="shared" si="38"/>
        <v>4.2722693465346531</v>
      </c>
      <c r="BR59" s="594">
        <f t="shared" si="39"/>
        <v>0</v>
      </c>
      <c r="BS59" s="595">
        <f t="shared" si="40"/>
        <v>0.22485792475247524</v>
      </c>
      <c r="BT59" s="593">
        <f t="shared" si="89"/>
        <v>4.2722693465346531</v>
      </c>
      <c r="BU59" s="594">
        <f t="shared" si="89"/>
        <v>0</v>
      </c>
      <c r="BV59" s="595">
        <f t="shared" si="89"/>
        <v>0.22485792475247524</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2462.8920000000003</v>
      </c>
      <c r="N60" s="324">
        <f t="shared" si="25"/>
        <v>0</v>
      </c>
      <c r="O60" s="324">
        <f t="shared" si="26"/>
        <v>129.626</v>
      </c>
      <c r="P60" s="324">
        <f t="shared" si="1"/>
        <v>2462.8920000000003</v>
      </c>
      <c r="Q60" s="324">
        <f t="shared" si="2"/>
        <v>0</v>
      </c>
      <c r="R60" s="324">
        <f t="shared" si="3"/>
        <v>129.626</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38.450377283168322</v>
      </c>
      <c r="AJ60" s="285"/>
      <c r="AK60" s="550" t="str">
        <f ca="1">F60</f>
        <v>IGDEM</v>
      </c>
      <c r="AL60" s="592" t="s">
        <v>61</v>
      </c>
      <c r="AM60" s="593">
        <f>M81/1000</f>
        <v>39.638160000000006</v>
      </c>
      <c r="AN60" s="594">
        <f t="shared" si="77"/>
        <v>37.656252000000002</v>
      </c>
      <c r="AO60" s="597">
        <f t="shared" si="78"/>
        <v>0</v>
      </c>
      <c r="AP60" s="597">
        <f t="shared" si="79"/>
        <v>1.9819080000000004</v>
      </c>
      <c r="AQ60" s="598">
        <f t="shared" si="28"/>
        <v>37.656252323676334</v>
      </c>
      <c r="AR60" s="597">
        <f t="shared" si="29"/>
        <v>0</v>
      </c>
      <c r="AS60" s="599">
        <f t="shared" si="30"/>
        <v>1.9819163076923079</v>
      </c>
      <c r="AT60" s="593">
        <f t="shared" si="87"/>
        <v>37.656252323676334</v>
      </c>
      <c r="AU60" s="594">
        <f t="shared" si="87"/>
        <v>0</v>
      </c>
      <c r="AV60" s="595">
        <f t="shared" si="87"/>
        <v>1.9819163076923079</v>
      </c>
      <c r="AW60" s="285"/>
      <c r="AX60" s="550" t="str">
        <f t="shared" ca="1" si="12"/>
        <v>IGDEM</v>
      </c>
      <c r="AY60" s="592" t="s">
        <v>61</v>
      </c>
      <c r="AZ60" s="593">
        <f>M101/1000</f>
        <v>39.839040000000004</v>
      </c>
      <c r="BA60" s="594">
        <f>AZ60*$AN$23</f>
        <v>37.847087999999999</v>
      </c>
      <c r="BB60" s="597">
        <f t="shared" si="60"/>
        <v>0</v>
      </c>
      <c r="BC60" s="597">
        <f t="shared" si="61"/>
        <v>1.9919520000000004</v>
      </c>
      <c r="BD60" s="593">
        <f t="shared" si="33"/>
        <v>37.84710297029703</v>
      </c>
      <c r="BE60" s="594">
        <f t="shared" si="34"/>
        <v>0</v>
      </c>
      <c r="BF60" s="595">
        <f t="shared" si="35"/>
        <v>1.9919667564356436</v>
      </c>
      <c r="BG60" s="593">
        <f t="shared" si="88"/>
        <v>37.84710297029703</v>
      </c>
      <c r="BH60" s="594">
        <f t="shared" si="88"/>
        <v>0</v>
      </c>
      <c r="BI60" s="595">
        <f t="shared" si="88"/>
        <v>1.9919667564356436</v>
      </c>
      <c r="BJ60" s="285"/>
      <c r="BK60" s="550" t="str">
        <f ca="1">AK60</f>
        <v>IGDEM</v>
      </c>
      <c r="BL60" s="592" t="s">
        <v>61</v>
      </c>
      <c r="BM60" s="593">
        <f>M121/1000</f>
        <v>40.474080000000001</v>
      </c>
      <c r="BN60" s="594">
        <f>BM60*$AN$23</f>
        <v>38.450375999999999</v>
      </c>
      <c r="BO60" s="597">
        <f t="shared" si="53"/>
        <v>0</v>
      </c>
      <c r="BP60" s="597">
        <f t="shared" si="54"/>
        <v>2.0237039999999999</v>
      </c>
      <c r="BQ60" s="593">
        <f t="shared" si="38"/>
        <v>38.450377283168322</v>
      </c>
      <c r="BR60" s="594">
        <f t="shared" si="39"/>
        <v>0</v>
      </c>
      <c r="BS60" s="595">
        <f t="shared" si="40"/>
        <v>2.0237057108910892</v>
      </c>
      <c r="BT60" s="593">
        <f t="shared" si="89"/>
        <v>38.450377283168322</v>
      </c>
      <c r="BU60" s="594">
        <f t="shared" si="89"/>
        <v>0</v>
      </c>
      <c r="BV60" s="595">
        <f t="shared" si="89"/>
        <v>2.0237057108910892</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50" t="str">
        <f ca="1">F61</f>
        <v>IGDTF</v>
      </c>
      <c r="AL61" s="592" t="s">
        <v>59</v>
      </c>
      <c r="AM61" s="593">
        <f>F79/1000</f>
        <v>12.396655000000001</v>
      </c>
      <c r="AN61" s="594">
        <f t="shared" si="77"/>
        <v>11.77682225</v>
      </c>
      <c r="AO61" s="597">
        <f t="shared" si="78"/>
        <v>0</v>
      </c>
      <c r="AP61" s="597">
        <f t="shared" si="79"/>
        <v>0.61983275000000004</v>
      </c>
      <c r="AQ61" s="598">
        <f t="shared" si="28"/>
        <v>11.776837234765237</v>
      </c>
      <c r="AR61" s="597">
        <f t="shared" si="29"/>
        <v>0</v>
      </c>
      <c r="AS61" s="599">
        <f t="shared" si="30"/>
        <v>0.61983519680319688</v>
      </c>
      <c r="AT61" s="593">
        <f t="shared" si="87"/>
        <v>11.776837234765237</v>
      </c>
      <c r="AU61" s="594">
        <f t="shared" si="87"/>
        <v>0</v>
      </c>
      <c r="AV61" s="595">
        <f t="shared" si="87"/>
        <v>0.61983519680319688</v>
      </c>
      <c r="AW61" s="285"/>
      <c r="AX61" s="550" t="str">
        <f t="shared" ca="1" si="12"/>
        <v>IGDTF</v>
      </c>
      <c r="AY61" s="592" t="s">
        <v>59</v>
      </c>
      <c r="AZ61" s="593">
        <f>F99/1000</f>
        <v>3.3394920000000003</v>
      </c>
      <c r="BA61" s="594">
        <f>AZ61*$AN$23</f>
        <v>3.1725174000000003</v>
      </c>
      <c r="BB61" s="597">
        <f t="shared" si="60"/>
        <v>0</v>
      </c>
      <c r="BC61" s="597">
        <f t="shared" si="61"/>
        <v>0.16697460000000003</v>
      </c>
      <c r="BD61" s="593">
        <f t="shared" si="33"/>
        <v>3.1725216000000005</v>
      </c>
      <c r="BE61" s="594">
        <f t="shared" si="34"/>
        <v>0</v>
      </c>
      <c r="BF61" s="595">
        <f t="shared" si="35"/>
        <v>0.16698468118811882</v>
      </c>
      <c r="BG61" s="593">
        <f t="shared" si="88"/>
        <v>3.1725216000000005</v>
      </c>
      <c r="BH61" s="594">
        <f t="shared" si="88"/>
        <v>0</v>
      </c>
      <c r="BI61" s="595">
        <f t="shared" si="88"/>
        <v>0.16698468118811882</v>
      </c>
      <c r="BJ61" s="285"/>
      <c r="BK61" s="550" t="str">
        <f ca="1">AK61</f>
        <v>IGDTF</v>
      </c>
      <c r="BL61" s="592" t="s">
        <v>59</v>
      </c>
      <c r="BM61" s="593">
        <f>F119/1000</f>
        <v>3.1765979999999998</v>
      </c>
      <c r="BN61" s="594">
        <f>BM61*$AN$23</f>
        <v>3.0177680999999996</v>
      </c>
      <c r="BO61" s="597">
        <f t="shared" si="53"/>
        <v>0</v>
      </c>
      <c r="BP61" s="597">
        <f t="shared" si="54"/>
        <v>0.1588299</v>
      </c>
      <c r="BQ61" s="593">
        <f t="shared" si="38"/>
        <v>3.0177766336633667</v>
      </c>
      <c r="BR61" s="594">
        <f t="shared" si="39"/>
        <v>0</v>
      </c>
      <c r="BS61" s="595">
        <f t="shared" si="40"/>
        <v>0.15883527920792079</v>
      </c>
      <c r="BT61" s="593">
        <f t="shared" si="89"/>
        <v>3.0177766336633667</v>
      </c>
      <c r="BU61" s="594">
        <f t="shared" si="89"/>
        <v>0</v>
      </c>
      <c r="BV61" s="595">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f t="shared" si="24"/>
        <v>15.727</v>
      </c>
      <c r="N62" s="323">
        <f t="shared" si="25"/>
        <v>0</v>
      </c>
      <c r="O62" s="323">
        <f t="shared" si="26"/>
        <v>0.82799999999999996</v>
      </c>
      <c r="P62" s="323">
        <f t="shared" si="1"/>
        <v>15.727</v>
      </c>
      <c r="Q62" s="323">
        <f t="shared" si="2"/>
        <v>0</v>
      </c>
      <c r="R62" s="323">
        <f t="shared" si="3"/>
        <v>0.82799999999999996</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0.59036274125874122</v>
      </c>
      <c r="AH62" s="236">
        <f t="shared" si="83"/>
        <v>0.21549079603960394</v>
      </c>
      <c r="AI62" s="236">
        <f t="shared" si="84"/>
        <v>0.24552805544554457</v>
      </c>
      <c r="AJ62" s="285"/>
      <c r="AK62" s="550" t="str">
        <f ca="1">F62</f>
        <v>IGDFL</v>
      </c>
      <c r="AL62" s="546" t="s">
        <v>53</v>
      </c>
      <c r="AM62" s="547">
        <f>H79/1000</f>
        <v>0.62141849999999998</v>
      </c>
      <c r="AN62" s="548">
        <f t="shared" si="77"/>
        <v>0.59034757500000001</v>
      </c>
      <c r="AO62" s="549">
        <f t="shared" si="78"/>
        <v>0</v>
      </c>
      <c r="AP62" s="549">
        <f t="shared" si="79"/>
        <v>3.1070924999999999E-2</v>
      </c>
      <c r="AQ62" s="559">
        <f t="shared" si="28"/>
        <v>0.59036274125874122</v>
      </c>
      <c r="AR62" s="549">
        <f t="shared" si="29"/>
        <v>0</v>
      </c>
      <c r="AS62" s="555">
        <f t="shared" si="30"/>
        <v>3.1079184815184818E-2</v>
      </c>
      <c r="AT62" s="560">
        <f t="shared" si="87"/>
        <v>0.59036274125874122</v>
      </c>
      <c r="AU62" s="551">
        <f t="shared" si="87"/>
        <v>0</v>
      </c>
      <c r="AV62" s="552">
        <f t="shared" si="87"/>
        <v>3.1079184815184818E-2</v>
      </c>
      <c r="AW62" s="285"/>
      <c r="AX62" s="550" t="str">
        <f t="shared" ca="1" si="12"/>
        <v>IGDFL</v>
      </c>
      <c r="AY62" s="546" t="s">
        <v>53</v>
      </c>
      <c r="AZ62" s="547">
        <f>H99/1000</f>
        <v>0.22683</v>
      </c>
      <c r="BA62" s="548">
        <f>AZ62*$AN$23</f>
        <v>0.2154885</v>
      </c>
      <c r="BB62" s="549">
        <f t="shared" si="60"/>
        <v>0</v>
      </c>
      <c r="BC62" s="549">
        <f t="shared" si="61"/>
        <v>1.1341500000000001E-2</v>
      </c>
      <c r="BD62" s="560">
        <f t="shared" si="33"/>
        <v>0.21549079603960394</v>
      </c>
      <c r="BE62" s="551">
        <f t="shared" si="34"/>
        <v>0</v>
      </c>
      <c r="BF62" s="552">
        <f t="shared" si="35"/>
        <v>1.1349837623762377E-2</v>
      </c>
      <c r="BG62" s="560">
        <f t="shared" si="88"/>
        <v>0.21549079603960394</v>
      </c>
      <c r="BH62" s="551">
        <f t="shared" si="88"/>
        <v>0</v>
      </c>
      <c r="BI62" s="552">
        <f t="shared" si="88"/>
        <v>1.1349837623762377E-2</v>
      </c>
      <c r="BJ62" s="285"/>
      <c r="BK62" s="550" t="str">
        <f ca="1">AK62</f>
        <v>IGDFL</v>
      </c>
      <c r="BL62" s="546" t="s">
        <v>53</v>
      </c>
      <c r="BM62" s="547">
        <f>H119/1000</f>
        <v>0.25844400000000001</v>
      </c>
      <c r="BN62" s="548">
        <f>BM62*$AN$23</f>
        <v>0.24552179999999998</v>
      </c>
      <c r="BO62" s="549">
        <f t="shared" si="53"/>
        <v>0</v>
      </c>
      <c r="BP62" s="549">
        <f t="shared" si="54"/>
        <v>1.2922200000000002E-2</v>
      </c>
      <c r="BQ62" s="560">
        <f t="shared" si="38"/>
        <v>0.24552805544554457</v>
      </c>
      <c r="BR62" s="551">
        <f t="shared" si="39"/>
        <v>0</v>
      </c>
      <c r="BS62" s="552">
        <f t="shared" si="40"/>
        <v>1.2926637623762376E-2</v>
      </c>
      <c r="BT62" s="560">
        <f t="shared" si="89"/>
        <v>0.24552805544554457</v>
      </c>
      <c r="BU62" s="551">
        <f t="shared" si="89"/>
        <v>0</v>
      </c>
      <c r="BV62" s="552">
        <f t="shared" si="89"/>
        <v>1.2926637623762376E-2</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24"/>
      <c r="AG66" s="524"/>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0</v>
      </c>
      <c r="K77" s="14">
        <f t="shared" si="93"/>
        <v>0</v>
      </c>
      <c r="L77" s="14">
        <f t="shared" si="93"/>
        <v>0</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0</v>
      </c>
      <c r="K83" s="18">
        <f t="shared" si="99"/>
        <v>0</v>
      </c>
      <c r="L83" s="18">
        <f t="shared" si="99"/>
        <v>0</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44042.400000000001</v>
      </c>
      <c r="W87" s="117"/>
    </row>
    <row r="88" spans="3:24" ht="12.75" customHeight="1">
      <c r="O88" s="86"/>
      <c r="T88" s="122" t="str">
        <f>+'Energy matrix'!B16</f>
        <v>District Heating</v>
      </c>
      <c r="U88" s="122"/>
      <c r="V88" s="123">
        <f>+INDEX('Energy matrix'!C16:N16,1,$D$2)</f>
        <v>608</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225093.59599999999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4426.5600000000004</v>
      </c>
      <c r="N100" s="14">
        <f t="shared" si="113"/>
        <v>0</v>
      </c>
      <c r="O100" s="86"/>
      <c r="R100" s="287"/>
      <c r="S100" s="287"/>
      <c r="T100" s="117" t="str">
        <f>'Energy matrix'!B27</f>
        <v>Diesel</v>
      </c>
      <c r="U100" s="117"/>
      <c r="V100" s="118">
        <f>+INDEX('Energy matrix'!C27:N27,1,$D$2)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39839.040000000001</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149.17814115539196</v>
      </c>
      <c r="N102" s="14">
        <f t="shared" si="115"/>
        <v>775</v>
      </c>
      <c r="O102" s="86"/>
      <c r="R102" s="287"/>
      <c r="S102" s="287"/>
      <c r="T102" s="117" t="str">
        <f>'Energy matrix'!B29</f>
        <v>LPG</v>
      </c>
      <c r="U102" s="117"/>
      <c r="V102" s="118">
        <f>+INDEX('Energy matrix'!C29:N29,1,$D$2)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f t="shared" si="116"/>
        <v>0</v>
      </c>
      <c r="K103" s="18">
        <f t="shared" si="116"/>
        <v>0</v>
      </c>
      <c r="L103" s="18">
        <f t="shared" si="116"/>
        <v>0</v>
      </c>
      <c r="M103" s="18">
        <f t="shared" si="116"/>
        <v>44414.778141155388</v>
      </c>
      <c r="N103" s="18">
        <f t="shared" si="116"/>
        <v>775</v>
      </c>
      <c r="O103" s="86"/>
      <c r="R103" s="287"/>
      <c r="S103" s="287"/>
      <c r="T103" s="117" t="str">
        <f>'Energy matrix'!B31</f>
        <v>Natural gas</v>
      </c>
      <c r="U103" s="117"/>
      <c r="V103" s="118">
        <f>+INDEX('Energy matrix'!C31:N31,1,$D$2)</f>
        <v>104013</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44265.599999999999</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214101.12700000001</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f t="shared" si="127"/>
        <v>258.44400000000002</v>
      </c>
      <c r="I117" s="14">
        <f t="shared" si="127"/>
        <v>105073.03</v>
      </c>
      <c r="J117" s="14">
        <f t="shared" si="127"/>
        <v>0</v>
      </c>
      <c r="K117" s="14">
        <f t="shared" si="127"/>
        <v>0</v>
      </c>
      <c r="L117" s="14">
        <f t="shared" si="127"/>
        <v>0</v>
      </c>
      <c r="M117" s="14">
        <f t="shared" si="127"/>
        <v>0</v>
      </c>
      <c r="N117" s="14">
        <f t="shared" si="127"/>
        <v>0</v>
      </c>
      <c r="O117" s="86"/>
      <c r="T117" s="48" t="s">
        <v>209</v>
      </c>
      <c r="U117" s="48"/>
      <c r="V117" s="126" t="str">
        <f>+INDEX('Energy matrix'!C44:N44,1,$D$2)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f t="shared" si="129"/>
        <v>258.44400000000002</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4497.12</v>
      </c>
      <c r="N120" s="14">
        <f t="shared" si="130"/>
        <v>0</v>
      </c>
      <c r="O120" s="86"/>
      <c r="T120" s="117" t="str">
        <f>'Energy matrix'!B47</f>
        <v>Diesel</v>
      </c>
      <c r="U120" s="117"/>
      <c r="V120" s="118">
        <f>+INDEX('Energy matrix'!C47:N47,1,$D$2)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40474.080000000002</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151.5560620781682</v>
      </c>
      <c r="N122" s="14">
        <f t="shared" si="132"/>
        <v>889</v>
      </c>
      <c r="O122" s="86"/>
      <c r="T122" s="117" t="str">
        <f>'Energy matrix'!B49</f>
        <v>LPG</v>
      </c>
      <c r="U122" s="117"/>
      <c r="V122" s="118">
        <f>+INDEX('Energy matrix'!C49:N49,1,$D$2)</f>
        <v>516.88800000000003</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f t="shared" si="133"/>
        <v>516.88800000000003</v>
      </c>
      <c r="I123" s="18">
        <f t="shared" si="133"/>
        <v>105073.03</v>
      </c>
      <c r="J123" s="18">
        <f t="shared" si="133"/>
        <v>0</v>
      </c>
      <c r="K123" s="18">
        <f t="shared" si="133"/>
        <v>0</v>
      </c>
      <c r="L123" s="18">
        <f t="shared" si="133"/>
        <v>0</v>
      </c>
      <c r="M123" s="18">
        <f t="shared" si="133"/>
        <v>45122.756062078173</v>
      </c>
      <c r="N123" s="18">
        <f t="shared" si="133"/>
        <v>889</v>
      </c>
      <c r="O123" s="86"/>
      <c r="T123" s="117" t="str">
        <f>'Energy matrix'!B51</f>
        <v>Natural gas</v>
      </c>
      <c r="U123" s="117"/>
      <c r="V123" s="118">
        <f>+INDEX('Energy matrix'!C51:N51,1,$D$2)</f>
        <v>105073.03</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44971.199999999997</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889</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210842.06300000002</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534</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535</v>
      </c>
      <c r="E151" s="22"/>
      <c r="F151" s="22"/>
      <c r="G151" s="22"/>
      <c r="H151" s="22">
        <v>0</v>
      </c>
      <c r="I151" s="22"/>
      <c r="J151" s="22"/>
      <c r="K151" s="22">
        <v>0</v>
      </c>
      <c r="L151" s="624"/>
      <c r="M151" s="22"/>
      <c r="N151" s="22"/>
      <c r="O151" s="22">
        <v>0</v>
      </c>
      <c r="P151" s="34"/>
      <c r="Q151" s="34"/>
      <c r="R151" s="25"/>
      <c r="S151" s="25"/>
      <c r="X151" s="285"/>
      <c r="Y151" s="285"/>
      <c r="AA151" s="25"/>
      <c r="AB151" s="25"/>
    </row>
    <row r="152" spans="3:28">
      <c r="C152" s="15"/>
      <c r="D152" s="13" t="s">
        <v>536</v>
      </c>
      <c r="E152" s="22">
        <v>0</v>
      </c>
      <c r="F152" s="22">
        <v>0</v>
      </c>
      <c r="G152" s="22">
        <v>1</v>
      </c>
      <c r="H152" s="625">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221.32900000000001</v>
      </c>
      <c r="N26" s="322">
        <f>ROUNDUP(BO26/($Z26*$AA26)*N$21*X26,3)</f>
        <v>12.296999999999999</v>
      </c>
      <c r="O26" s="322">
        <f>ROUNDUP(BP26/($Z26*$AA26)*O$21*Y26,3)</f>
        <v>12.296999999999999</v>
      </c>
      <c r="P26" s="322">
        <f t="shared" ref="P26:P62" si="1">M26</f>
        <v>221.32900000000001</v>
      </c>
      <c r="Q26" s="322">
        <f t="shared" ref="Q26:Q62" si="2">N26</f>
        <v>12.296999999999999</v>
      </c>
      <c r="R26" s="322">
        <f t="shared" ref="R26:R62" si="3">O26</f>
        <v>12.296999999999999</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3.7217768923014756</v>
      </c>
      <c r="AJ26" s="285"/>
      <c r="AK26" s="544"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44"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44" t="str">
        <f ca="1">AK26</f>
        <v>IIDPH</v>
      </c>
      <c r="BL26" s="350" t="s">
        <v>97</v>
      </c>
      <c r="BM26" s="313">
        <f>I117/1000</f>
        <v>3.9176359999999999</v>
      </c>
      <c r="BN26" s="310">
        <f>BM26*$AN$23</f>
        <v>3.5258723999999999</v>
      </c>
      <c r="BO26" s="311">
        <f>BM26*$BB$23</f>
        <v>0.19588179999999999</v>
      </c>
      <c r="BP26" s="311">
        <f>BM26*$BC$23</f>
        <v>0.19588179999999999</v>
      </c>
      <c r="BQ26" s="313">
        <f>IFERROR(M26*$Z26*$AA26/M$21,0)</f>
        <v>3.4553620514851491</v>
      </c>
      <c r="BR26" s="310">
        <f>IFERROR(N26*$Z26*$AA26/N$21,0)</f>
        <v>0.19197930297029703</v>
      </c>
      <c r="BS26" s="357">
        <f>IFERROR(O26*$Z26*$AA26/O$21,0)</f>
        <v>0.19197930297029703</v>
      </c>
      <c r="BT26" s="313">
        <f>IFERROR(BQ26/W26,0)</f>
        <v>3.5258796443726013</v>
      </c>
      <c r="BU26" s="310">
        <f>IFERROR(BR26/X26,0)</f>
        <v>0.19589724792887453</v>
      </c>
      <c r="BV26" s="357">
        <f>IFERROR(BS26/Y26,0)</f>
        <v>0.19589724792887453</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54">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73" t="s">
        <v>101</v>
      </c>
      <c r="AM32" s="574">
        <f>E77/1000</f>
        <v>8.0696000000000004E-2</v>
      </c>
      <c r="AN32" s="575">
        <f t="shared" si="47"/>
        <v>7.2626400000000008E-2</v>
      </c>
      <c r="AO32" s="576">
        <f>AM32*$AO$23</f>
        <v>4.0348000000000007E-3</v>
      </c>
      <c r="AP32" s="576">
        <f t="shared" si="49"/>
        <v>4.0348000000000007E-3</v>
      </c>
      <c r="AQ32" s="596">
        <f t="shared" si="28"/>
        <v>6.7624399600399607E-2</v>
      </c>
      <c r="AR32" s="576">
        <f t="shared" si="29"/>
        <v>3.7647872127872131E-3</v>
      </c>
      <c r="AS32" s="577">
        <f t="shared" si="30"/>
        <v>3.7647872127872131E-3</v>
      </c>
      <c r="AT32" s="574">
        <f t="shared" si="50"/>
        <v>7.2636304619118811E-2</v>
      </c>
      <c r="AU32" s="575">
        <f t="shared" si="50"/>
        <v>4.0438101104051704E-3</v>
      </c>
      <c r="AV32" s="580">
        <f t="shared" si="50"/>
        <v>4.0438101104051704E-3</v>
      </c>
      <c r="AW32" s="285"/>
      <c r="AX32" s="290"/>
      <c r="AY32" s="573" t="s">
        <v>101</v>
      </c>
      <c r="AZ32" s="574">
        <f>E97/1000</f>
        <v>4.0735E-2</v>
      </c>
      <c r="BA32" s="575">
        <f>AZ32*$AN$23</f>
        <v>3.66615E-2</v>
      </c>
      <c r="BB32" s="576">
        <f t="shared" ref="BB32:BB34" si="51">AZ32*$BB$23</f>
        <v>2.0367499999999999E-3</v>
      </c>
      <c r="BC32" s="576">
        <f t="shared" ref="BC32:BC34" si="52">AZ32*$BC$23</f>
        <v>2.0367499999999999E-3</v>
      </c>
      <c r="BD32" s="574">
        <f>IFERROR(J32*$Z32*AA32/J$21,0)</f>
        <v>3.4143184158415836E-2</v>
      </c>
      <c r="BE32" s="575">
        <f t="shared" si="34"/>
        <v>1.9046495049504951E-3</v>
      </c>
      <c r="BF32" s="580">
        <f t="shared" si="35"/>
        <v>1.9046495049504951E-3</v>
      </c>
      <c r="BG32" s="574">
        <f t="shared" si="15"/>
        <v>3.6673667194861266E-2</v>
      </c>
      <c r="BH32" s="575">
        <f t="shared" si="16"/>
        <v>2.0458104242217995E-3</v>
      </c>
      <c r="BI32" s="580">
        <f t="shared" si="17"/>
        <v>2.0458104242217995E-3</v>
      </c>
      <c r="BJ32" s="285"/>
      <c r="BK32" s="290"/>
      <c r="BL32" s="573" t="s">
        <v>101</v>
      </c>
      <c r="BM32" s="574">
        <f>E117/1000</f>
        <v>4.0343000000000004E-2</v>
      </c>
      <c r="BN32" s="575">
        <f>BM32*$AN$23</f>
        <v>3.6308700000000006E-2</v>
      </c>
      <c r="BO32" s="576">
        <f t="shared" ref="BO32:BO62" si="53">BM32*$BB$23</f>
        <v>2.0171500000000001E-3</v>
      </c>
      <c r="BP32" s="576">
        <f t="shared" ref="BP32:BP62" si="54">BM32*$BC$23</f>
        <v>2.0171500000000001E-3</v>
      </c>
      <c r="BQ32" s="574">
        <f t="shared" si="38"/>
        <v>3.3815334653465347E-2</v>
      </c>
      <c r="BR32" s="575">
        <f t="shared" si="39"/>
        <v>1.8890376237623763E-3</v>
      </c>
      <c r="BS32" s="580">
        <f t="shared" si="40"/>
        <v>1.8890376237623763E-3</v>
      </c>
      <c r="BT32" s="574">
        <f t="shared" si="41"/>
        <v>3.632151949888867E-2</v>
      </c>
      <c r="BU32" s="575">
        <f t="shared" si="42"/>
        <v>2.029041486318342E-3</v>
      </c>
      <c r="BV32" s="580">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f t="shared" si="24"/>
        <v>1.8259999999999998</v>
      </c>
      <c r="N33" s="322">
        <f t="shared" si="25"/>
        <v>0.10200000000000001</v>
      </c>
      <c r="O33" s="322">
        <f t="shared" si="26"/>
        <v>0.10200000000000001</v>
      </c>
      <c r="P33" s="322">
        <f t="shared" si="1"/>
        <v>1.8259999999999998</v>
      </c>
      <c r="Q33" s="322">
        <f t="shared" si="2"/>
        <v>0.10200000000000001</v>
      </c>
      <c r="R33" s="322">
        <f t="shared" si="3"/>
        <v>0.10200000000000001</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f t="shared" si="10"/>
        <v>3.0713986663972518E-2</v>
      </c>
      <c r="AJ33" s="285"/>
      <c r="AK33" s="290"/>
      <c r="AL33" s="573" t="s">
        <v>53</v>
      </c>
      <c r="AM33" s="574">
        <f>H77/1000</f>
        <v>0.10356975</v>
      </c>
      <c r="AN33" s="575">
        <f t="shared" si="47"/>
        <v>9.3212774999999998E-2</v>
      </c>
      <c r="AO33" s="576">
        <f t="shared" si="48"/>
        <v>5.1784875000000005E-3</v>
      </c>
      <c r="AP33" s="576">
        <f t="shared" si="49"/>
        <v>5.1784875000000005E-3</v>
      </c>
      <c r="AQ33" s="596">
        <f t="shared" si="28"/>
        <v>9.1363036963036992E-2</v>
      </c>
      <c r="AR33" s="576">
        <f t="shared" si="29"/>
        <v>5.0879760239760253E-3</v>
      </c>
      <c r="AS33" s="577">
        <f t="shared" si="30"/>
        <v>5.0879760239760253E-3</v>
      </c>
      <c r="AT33" s="574">
        <f t="shared" si="50"/>
        <v>9.3227588737792855E-2</v>
      </c>
      <c r="AU33" s="575">
        <f t="shared" si="50"/>
        <v>5.1918122693632909E-3</v>
      </c>
      <c r="AV33" s="580">
        <f t="shared" si="50"/>
        <v>5.1918122693632909E-3</v>
      </c>
      <c r="AW33" s="285"/>
      <c r="AX33" s="290"/>
      <c r="AY33" s="573" t="s">
        <v>53</v>
      </c>
      <c r="AZ33" s="574">
        <f>H97/1000</f>
        <v>7.9390500000000003E-2</v>
      </c>
      <c r="BA33" s="575">
        <f>AZ33*$AN$23</f>
        <v>7.145145E-2</v>
      </c>
      <c r="BB33" s="576">
        <f t="shared" si="51"/>
        <v>3.9695250000000007E-3</v>
      </c>
      <c r="BC33" s="576">
        <f t="shared" si="52"/>
        <v>3.9695250000000007E-3</v>
      </c>
      <c r="BD33" s="574">
        <f t="shared" si="33"/>
        <v>7.0034899009901008E-2</v>
      </c>
      <c r="BE33" s="575">
        <f t="shared" si="34"/>
        <v>3.9029702970297033E-3</v>
      </c>
      <c r="BF33" s="580">
        <f t="shared" si="35"/>
        <v>3.9029702970297033E-3</v>
      </c>
      <c r="BG33" s="574">
        <f t="shared" si="15"/>
        <v>7.1464182663164302E-2</v>
      </c>
      <c r="BH33" s="575">
        <f t="shared" si="16"/>
        <v>3.9826227520711258E-3</v>
      </c>
      <c r="BI33" s="580">
        <f t="shared" si="17"/>
        <v>3.9826227520711258E-3</v>
      </c>
      <c r="BJ33" s="285"/>
      <c r="BK33" s="290"/>
      <c r="BL33" s="573" t="s">
        <v>53</v>
      </c>
      <c r="BM33" s="574">
        <f>H117/1000</f>
        <v>3.2305500000000001E-2</v>
      </c>
      <c r="BN33" s="575">
        <f>BM33*$AN$23</f>
        <v>2.9074950000000002E-2</v>
      </c>
      <c r="BO33" s="576">
        <f t="shared" si="53"/>
        <v>1.6152750000000002E-3</v>
      </c>
      <c r="BP33" s="576">
        <f t="shared" si="54"/>
        <v>1.6152750000000002E-3</v>
      </c>
      <c r="BQ33" s="574">
        <f t="shared" si="38"/>
        <v>2.8507295049504951E-2</v>
      </c>
      <c r="BR33" s="575">
        <f t="shared" si="39"/>
        <v>1.592411881188119E-3</v>
      </c>
      <c r="BS33" s="580">
        <f t="shared" si="40"/>
        <v>1.592411881188119E-3</v>
      </c>
      <c r="BT33" s="574">
        <f t="shared" si="41"/>
        <v>2.9089076581127502E-2</v>
      </c>
      <c r="BU33" s="575">
        <f t="shared" si="42"/>
        <v>1.6249100828450193E-3</v>
      </c>
      <c r="BV33" s="580">
        <f t="shared" si="43"/>
        <v>1.6249100828450193E-3</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IIDCO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IIDCO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IIDCO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IIDSH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IIDSH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IIDSH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11.93</v>
      </c>
      <c r="N56" s="321">
        <f t="shared" si="25"/>
        <v>0</v>
      </c>
      <c r="O56" s="321">
        <f t="shared" si="26"/>
        <v>0</v>
      </c>
      <c r="P56" s="321">
        <f t="shared" si="1"/>
        <v>11.93</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0.19401014851485152</v>
      </c>
      <c r="AJ56" s="285"/>
      <c r="AK56" s="356"/>
      <c r="AL56" s="573" t="s">
        <v>103</v>
      </c>
      <c r="AM56" s="574">
        <f>N82/1000</f>
        <v>5.6000000000000001E-2</v>
      </c>
      <c r="AN56" s="627">
        <f>AM56</f>
        <v>5.6000000000000001E-2</v>
      </c>
      <c r="AO56" s="628">
        <v>0</v>
      </c>
      <c r="AP56" s="628">
        <v>0</v>
      </c>
      <c r="AQ56" s="596">
        <f t="shared" si="28"/>
        <v>5.3762421578421586E-2</v>
      </c>
      <c r="AR56" s="576">
        <f t="shared" si="29"/>
        <v>0</v>
      </c>
      <c r="AS56" s="577">
        <f t="shared" si="30"/>
        <v>0</v>
      </c>
      <c r="AT56" s="574">
        <f t="shared" si="85"/>
        <v>5.6002522477522486E-2</v>
      </c>
      <c r="AU56" s="575">
        <f t="shared" si="85"/>
        <v>0</v>
      </c>
      <c r="AV56" s="580">
        <f t="shared" si="85"/>
        <v>0</v>
      </c>
      <c r="AW56" s="285"/>
      <c r="AX56" s="356"/>
      <c r="AY56" s="573" t="s">
        <v>103</v>
      </c>
      <c r="AZ56" s="574">
        <f>N102/1000</f>
        <v>0.11600000000000001</v>
      </c>
      <c r="BA56" s="627">
        <f>AZ56</f>
        <v>0.11600000000000001</v>
      </c>
      <c r="BB56" s="628">
        <v>0</v>
      </c>
      <c r="BC56" s="628">
        <v>0</v>
      </c>
      <c r="BD56" s="574">
        <f t="shared" si="33"/>
        <v>0.11137516039603962</v>
      </c>
      <c r="BE56" s="575">
        <f t="shared" si="34"/>
        <v>0</v>
      </c>
      <c r="BF56" s="580">
        <f t="shared" si="35"/>
        <v>0</v>
      </c>
      <c r="BG56" s="574">
        <f t="shared" si="62"/>
        <v>0.11601579207920794</v>
      </c>
      <c r="BH56" s="575">
        <f t="shared" si="63"/>
        <v>0</v>
      </c>
      <c r="BI56" s="580">
        <f t="shared" si="64"/>
        <v>0</v>
      </c>
      <c r="BJ56" s="285"/>
      <c r="BK56" s="356"/>
      <c r="BL56" s="573" t="s">
        <v>103</v>
      </c>
      <c r="BM56" s="574">
        <f>N122/1000</f>
        <v>0.19400000000000001</v>
      </c>
      <c r="BN56" s="627">
        <f>BM56</f>
        <v>0.19400000000000001</v>
      </c>
      <c r="BO56" s="628">
        <v>0</v>
      </c>
      <c r="BP56" s="628">
        <v>0</v>
      </c>
      <c r="BQ56" s="574">
        <f t="shared" si="38"/>
        <v>0.18624974257425744</v>
      </c>
      <c r="BR56" s="575">
        <f t="shared" si="39"/>
        <v>0</v>
      </c>
      <c r="BS56" s="580">
        <f t="shared" si="40"/>
        <v>0</v>
      </c>
      <c r="BT56" s="574">
        <f t="shared" si="65"/>
        <v>0.19401014851485152</v>
      </c>
      <c r="BU56" s="575">
        <f t="shared" si="66"/>
        <v>0</v>
      </c>
      <c r="BV56" s="580">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1.1889999999999998</v>
      </c>
      <c r="N58" s="324">
        <f t="shared" si="25"/>
        <v>6.7000000000000004E-2</v>
      </c>
      <c r="O58" s="324">
        <f t="shared" si="26"/>
        <v>6.7000000000000004E-2</v>
      </c>
      <c r="P58" s="324">
        <f t="shared" si="1"/>
        <v>1.1889999999999998</v>
      </c>
      <c r="Q58" s="324">
        <f t="shared" si="2"/>
        <v>6.7000000000000004E-2</v>
      </c>
      <c r="R58" s="324">
        <f t="shared" si="3"/>
        <v>6.7000000000000004E-2</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2.064055028660761E-2</v>
      </c>
      <c r="AJ58" s="285"/>
      <c r="AK58" s="355"/>
      <c r="AL58" s="581" t="s">
        <v>61</v>
      </c>
      <c r="AM58" s="574">
        <f>M82/1000</f>
        <v>2.6181394649750802E-2</v>
      </c>
      <c r="AN58" s="575">
        <f t="shared" si="77"/>
        <v>2.3563255184775721E-2</v>
      </c>
      <c r="AO58" s="576">
        <f t="shared" si="78"/>
        <v>1.3090697324875402E-3</v>
      </c>
      <c r="AP58" s="576">
        <f t="shared" si="79"/>
        <v>1.3090697324875402E-3</v>
      </c>
      <c r="AQ58" s="596">
        <f t="shared" si="28"/>
        <v>2.2399696303696304E-2</v>
      </c>
      <c r="AR58" s="576">
        <f t="shared" si="29"/>
        <v>1.2444275724275726E-3</v>
      </c>
      <c r="AS58" s="577">
        <f t="shared" si="30"/>
        <v>1.2444275724275726E-3</v>
      </c>
      <c r="AT58" s="574">
        <f t="shared" ref="AT58:AV62" si="87">IFERROR(AQ58/W58,0)</f>
        <v>2.3578627688101376E-2</v>
      </c>
      <c r="AU58" s="575">
        <f t="shared" si="87"/>
        <v>1.3099237604500763E-3</v>
      </c>
      <c r="AV58" s="580">
        <f t="shared" si="87"/>
        <v>1.3099237604500763E-3</v>
      </c>
      <c r="AW58" s="285"/>
      <c r="AX58" s="355"/>
      <c r="AY58" s="581" t="s">
        <v>61</v>
      </c>
      <c r="AZ58" s="574">
        <f>M102/1000</f>
        <v>2.111011431444226E-2</v>
      </c>
      <c r="BA58" s="575">
        <f>AZ58*$AN$23</f>
        <v>1.8999102882998033E-2</v>
      </c>
      <c r="BB58" s="576">
        <f t="shared" si="60"/>
        <v>1.0555057157221131E-3</v>
      </c>
      <c r="BC58" s="576">
        <f t="shared" si="61"/>
        <v>1.0555057157221131E-3</v>
      </c>
      <c r="BD58" s="574">
        <f t="shared" si="33"/>
        <v>1.8062946534653464E-2</v>
      </c>
      <c r="BE58" s="575">
        <f t="shared" si="34"/>
        <v>1.0147722772277229E-3</v>
      </c>
      <c r="BF58" s="580">
        <f t="shared" si="35"/>
        <v>1.0147722772277229E-3</v>
      </c>
      <c r="BG58" s="574">
        <f t="shared" ref="BG58:BI62" si="88">IFERROR(BD58/W58,0)</f>
        <v>1.9013627931214173E-2</v>
      </c>
      <c r="BH58" s="575">
        <f t="shared" si="88"/>
        <v>1.0681813444502347E-3</v>
      </c>
      <c r="BI58" s="580">
        <f t="shared" si="88"/>
        <v>1.0681813444502347E-3</v>
      </c>
      <c r="BJ58" s="285"/>
      <c r="BK58" s="355"/>
      <c r="BL58" s="581" t="s">
        <v>61</v>
      </c>
      <c r="BM58" s="574">
        <f>M122/1000</f>
        <v>2.1704594545136319E-2</v>
      </c>
      <c r="BN58" s="575">
        <f>BM58*$AN$23</f>
        <v>1.9534135090622688E-2</v>
      </c>
      <c r="BO58" s="576">
        <f t="shared" si="53"/>
        <v>1.085229727256816E-3</v>
      </c>
      <c r="BP58" s="576">
        <f t="shared" si="54"/>
        <v>1.085229727256816E-3</v>
      </c>
      <c r="BQ58" s="574">
        <f t="shared" si="38"/>
        <v>1.8562526732673265E-2</v>
      </c>
      <c r="BR58" s="575">
        <f t="shared" si="39"/>
        <v>1.0459960396039605E-3</v>
      </c>
      <c r="BS58" s="580">
        <f t="shared" si="40"/>
        <v>1.0459960396039605E-3</v>
      </c>
      <c r="BT58" s="574">
        <f t="shared" ref="BT58:BV62" si="89">IFERROR(BQ58/W58,0)</f>
        <v>1.9539501823866597E-2</v>
      </c>
      <c r="BU58" s="575">
        <f t="shared" si="89"/>
        <v>1.1010484627410112E-3</v>
      </c>
      <c r="BV58" s="580">
        <f t="shared" si="89"/>
        <v>1.1010484627410112E-3</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37.128</v>
      </c>
      <c r="N59" s="323">
        <f t="shared" si="25"/>
        <v>2.0629999999999997</v>
      </c>
      <c r="O59" s="323">
        <f t="shared" si="26"/>
        <v>2.0629999999999997</v>
      </c>
      <c r="P59" s="323">
        <f t="shared" si="1"/>
        <v>37.128</v>
      </c>
      <c r="Q59" s="323">
        <f t="shared" si="2"/>
        <v>2.0629999999999997</v>
      </c>
      <c r="R59" s="323">
        <f t="shared" si="3"/>
        <v>2.0629999999999997</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0.61184523564356452</v>
      </c>
      <c r="AJ59" s="285"/>
      <c r="AK59" s="545" t="str">
        <f ca="1">F59</f>
        <v>IIDLA</v>
      </c>
      <c r="AL59" s="592" t="s">
        <v>61</v>
      </c>
      <c r="AM59" s="593">
        <f>M80/1000</f>
        <v>0.77688000000000013</v>
      </c>
      <c r="AN59" s="594">
        <f t="shared" si="77"/>
        <v>0.69919200000000015</v>
      </c>
      <c r="AO59" s="597">
        <f t="shared" si="78"/>
        <v>3.884400000000001E-2</v>
      </c>
      <c r="AP59" s="597">
        <f t="shared" si="79"/>
        <v>3.884400000000001E-2</v>
      </c>
      <c r="AQ59" s="598">
        <f t="shared" si="28"/>
        <v>0.69919502097902109</v>
      </c>
      <c r="AR59" s="597">
        <f t="shared" si="29"/>
        <v>3.8845042957042962E-2</v>
      </c>
      <c r="AS59" s="599">
        <f t="shared" si="30"/>
        <v>3.8845042957042962E-2</v>
      </c>
      <c r="AT59" s="593">
        <f t="shared" si="87"/>
        <v>0.69919502097902109</v>
      </c>
      <c r="AU59" s="594">
        <f t="shared" si="87"/>
        <v>3.8845042957042962E-2</v>
      </c>
      <c r="AV59" s="595">
        <f t="shared" si="87"/>
        <v>3.8845042957042962E-2</v>
      </c>
      <c r="AW59" s="285"/>
      <c r="AX59" s="545" t="str">
        <f t="shared" ca="1" si="12"/>
        <v>IIDLA</v>
      </c>
      <c r="AY59" s="592" t="s">
        <v>61</v>
      </c>
      <c r="AZ59" s="593">
        <f>M100/1000</f>
        <v>0.62640000000000007</v>
      </c>
      <c r="BA59" s="594">
        <f>AZ59*$AN$23</f>
        <v>0.56376000000000004</v>
      </c>
      <c r="BB59" s="597">
        <f t="shared" si="60"/>
        <v>3.1320000000000008E-2</v>
      </c>
      <c r="BC59" s="597">
        <f t="shared" si="61"/>
        <v>3.1320000000000008E-2</v>
      </c>
      <c r="BD59" s="593">
        <f t="shared" si="33"/>
        <v>0.5637606415841584</v>
      </c>
      <c r="BE59" s="594">
        <f t="shared" si="34"/>
        <v>3.1333045544554454E-2</v>
      </c>
      <c r="BF59" s="595">
        <f t="shared" si="35"/>
        <v>3.1333045544554454E-2</v>
      </c>
      <c r="BG59" s="593">
        <f t="shared" si="88"/>
        <v>0.5637606415841584</v>
      </c>
      <c r="BH59" s="594">
        <f t="shared" si="88"/>
        <v>3.1333045544554454E-2</v>
      </c>
      <c r="BI59" s="595">
        <f t="shared" si="88"/>
        <v>3.1333045544554454E-2</v>
      </c>
      <c r="BJ59" s="285"/>
      <c r="BK59" s="545" t="str">
        <f ca="1">AK59</f>
        <v>IIDLA</v>
      </c>
      <c r="BL59" s="592" t="s">
        <v>61</v>
      </c>
      <c r="BM59" s="593">
        <f>M120/1000</f>
        <v>0.64403999999999995</v>
      </c>
      <c r="BN59" s="594">
        <f>BM59*$AN$23</f>
        <v>0.57963599999999993</v>
      </c>
      <c r="BO59" s="597">
        <f t="shared" si="53"/>
        <v>3.2202000000000001E-2</v>
      </c>
      <c r="BP59" s="597">
        <f t="shared" si="54"/>
        <v>3.2202000000000001E-2</v>
      </c>
      <c r="BQ59" s="593">
        <f t="shared" si="38"/>
        <v>0.57963792475247533</v>
      </c>
      <c r="BR59" s="594">
        <f t="shared" si="39"/>
        <v>3.2207310891089101E-2</v>
      </c>
      <c r="BS59" s="595">
        <f t="shared" si="40"/>
        <v>3.2207310891089101E-2</v>
      </c>
      <c r="BT59" s="593">
        <f t="shared" si="89"/>
        <v>0.57963792475247533</v>
      </c>
      <c r="BU59" s="594">
        <f t="shared" si="89"/>
        <v>3.2207310891089101E-2</v>
      </c>
      <c r="BV59" s="595">
        <f t="shared" si="89"/>
        <v>3.2207310891089101E-2</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334.15099999999995</v>
      </c>
      <c r="N60" s="324">
        <f t="shared" si="25"/>
        <v>18.564</v>
      </c>
      <c r="O60" s="324">
        <f t="shared" si="26"/>
        <v>18.564</v>
      </c>
      <c r="P60" s="324">
        <f t="shared" si="1"/>
        <v>334.15099999999995</v>
      </c>
      <c r="Q60" s="324">
        <f t="shared" si="2"/>
        <v>18.564</v>
      </c>
      <c r="R60" s="324">
        <f t="shared" si="3"/>
        <v>18.564</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5.5065446732673262</v>
      </c>
      <c r="AJ60" s="285"/>
      <c r="AK60" s="550" t="str">
        <f ca="1">F60</f>
        <v>IIDEM</v>
      </c>
      <c r="AL60" s="592" t="s">
        <v>61</v>
      </c>
      <c r="AM60" s="593">
        <f>M81/1000</f>
        <v>6.9919200000000004</v>
      </c>
      <c r="AN60" s="594">
        <f t="shared" si="77"/>
        <v>6.2927280000000003</v>
      </c>
      <c r="AO60" s="597">
        <f t="shared" si="78"/>
        <v>0.34959600000000002</v>
      </c>
      <c r="AP60" s="597">
        <f t="shared" si="79"/>
        <v>0.34959600000000002</v>
      </c>
      <c r="AQ60" s="598">
        <f t="shared" si="28"/>
        <v>6.292739436563437</v>
      </c>
      <c r="AR60" s="597">
        <f t="shared" si="29"/>
        <v>0.34960538661338675</v>
      </c>
      <c r="AS60" s="599">
        <f t="shared" si="30"/>
        <v>0.34960538661338675</v>
      </c>
      <c r="AT60" s="593">
        <f t="shared" si="87"/>
        <v>6.292739436563437</v>
      </c>
      <c r="AU60" s="594">
        <f t="shared" si="87"/>
        <v>0.34960538661338675</v>
      </c>
      <c r="AV60" s="595">
        <f t="shared" si="87"/>
        <v>0.34960538661338675</v>
      </c>
      <c r="AW60" s="285"/>
      <c r="AX60" s="550" t="str">
        <f t="shared" ca="1" si="12"/>
        <v>IIDEM</v>
      </c>
      <c r="AY60" s="592" t="s">
        <v>61</v>
      </c>
      <c r="AZ60" s="593">
        <f>M101/1000</f>
        <v>5.6375999999999999</v>
      </c>
      <c r="BA60" s="594">
        <f>AZ60*$AN$23</f>
        <v>5.0738399999999997</v>
      </c>
      <c r="BB60" s="597">
        <f t="shared" si="60"/>
        <v>0.28188000000000002</v>
      </c>
      <c r="BC60" s="597">
        <f t="shared" si="61"/>
        <v>0.28188000000000002</v>
      </c>
      <c r="BD60" s="593">
        <f t="shared" si="33"/>
        <v>5.0738457742574257</v>
      </c>
      <c r="BE60" s="594">
        <f t="shared" si="34"/>
        <v>0.28188812673267333</v>
      </c>
      <c r="BF60" s="595">
        <f t="shared" si="35"/>
        <v>0.28188812673267333</v>
      </c>
      <c r="BG60" s="593">
        <f t="shared" si="88"/>
        <v>5.0738457742574257</v>
      </c>
      <c r="BH60" s="594">
        <f t="shared" si="88"/>
        <v>0.28188812673267333</v>
      </c>
      <c r="BI60" s="595">
        <f t="shared" si="88"/>
        <v>0.28188812673267333</v>
      </c>
      <c r="BJ60" s="285"/>
      <c r="BK60" s="550" t="str">
        <f ca="1">AK60</f>
        <v>IIDEM</v>
      </c>
      <c r="BL60" s="592" t="s">
        <v>61</v>
      </c>
      <c r="BM60" s="593">
        <f>M121/1000</f>
        <v>5.79636</v>
      </c>
      <c r="BN60" s="594">
        <f>BM60*$AN$23</f>
        <v>5.2167240000000001</v>
      </c>
      <c r="BO60" s="597">
        <f t="shared" si="53"/>
        <v>0.28981800000000002</v>
      </c>
      <c r="BP60" s="597">
        <f t="shared" si="54"/>
        <v>0.28981800000000002</v>
      </c>
      <c r="BQ60" s="593">
        <f t="shared" si="38"/>
        <v>5.2167257108910885</v>
      </c>
      <c r="BR60" s="594">
        <f t="shared" si="39"/>
        <v>0.28981896237623767</v>
      </c>
      <c r="BS60" s="595">
        <f t="shared" si="40"/>
        <v>0.28981896237623767</v>
      </c>
      <c r="BT60" s="593">
        <f t="shared" si="89"/>
        <v>5.2167257108910885</v>
      </c>
      <c r="BU60" s="594">
        <f t="shared" si="89"/>
        <v>0.28981896237623767</v>
      </c>
      <c r="BV60" s="595">
        <f t="shared" si="89"/>
        <v>0.28981896237623767</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50" t="str">
        <f ca="1">F61</f>
        <v>IIDTF</v>
      </c>
      <c r="AL61" s="592" t="s">
        <v>59</v>
      </c>
      <c r="AM61" s="593">
        <f>F79/1000</f>
        <v>1.0723750000000001</v>
      </c>
      <c r="AN61" s="594">
        <f t="shared" si="77"/>
        <v>0.96513750000000009</v>
      </c>
      <c r="AO61" s="597">
        <f t="shared" si="78"/>
        <v>5.3618750000000007E-2</v>
      </c>
      <c r="AP61" s="597">
        <f t="shared" si="79"/>
        <v>5.3618750000000007E-2</v>
      </c>
      <c r="AQ61" s="598">
        <f t="shared" si="28"/>
        <v>0.96514021978021991</v>
      </c>
      <c r="AR61" s="597">
        <f t="shared" si="29"/>
        <v>5.3620651348651356E-2</v>
      </c>
      <c r="AS61" s="599">
        <f t="shared" si="30"/>
        <v>5.3620651348651356E-2</v>
      </c>
      <c r="AT61" s="593">
        <f t="shared" si="87"/>
        <v>0.96514021978021991</v>
      </c>
      <c r="AU61" s="594">
        <f t="shared" si="87"/>
        <v>5.3620651348651356E-2</v>
      </c>
      <c r="AV61" s="595">
        <f t="shared" si="87"/>
        <v>5.3620651348651356E-2</v>
      </c>
      <c r="AW61" s="285"/>
      <c r="AX61" s="550" t="str">
        <f t="shared" ca="1" si="12"/>
        <v>IIDTF</v>
      </c>
      <c r="AY61" s="592" t="s">
        <v>59</v>
      </c>
      <c r="AZ61" s="593">
        <f>F99/1000</f>
        <v>0.64221000000000006</v>
      </c>
      <c r="BA61" s="594">
        <f>AZ61*$AN$23</f>
        <v>0.57798900000000009</v>
      </c>
      <c r="BB61" s="597">
        <f t="shared" si="60"/>
        <v>3.2110500000000007E-2</v>
      </c>
      <c r="BC61" s="597">
        <f t="shared" si="61"/>
        <v>3.2110500000000007E-2</v>
      </c>
      <c r="BD61" s="593">
        <f t="shared" si="33"/>
        <v>0.5779986772277228</v>
      </c>
      <c r="BE61" s="594">
        <f t="shared" si="34"/>
        <v>3.2113639603960395E-2</v>
      </c>
      <c r="BF61" s="595">
        <f t="shared" si="35"/>
        <v>3.2113639603960395E-2</v>
      </c>
      <c r="BG61" s="593">
        <f t="shared" si="88"/>
        <v>0.5779986772277228</v>
      </c>
      <c r="BH61" s="594">
        <f t="shared" si="88"/>
        <v>3.2113639603960395E-2</v>
      </c>
      <c r="BI61" s="595">
        <f t="shared" si="88"/>
        <v>3.2113639603960395E-2</v>
      </c>
      <c r="BJ61" s="285"/>
      <c r="BK61" s="550" t="str">
        <f ca="1">AK61</f>
        <v>IIDTF</v>
      </c>
      <c r="BL61" s="592" t="s">
        <v>59</v>
      </c>
      <c r="BM61" s="593">
        <f>F119/1000</f>
        <v>0.72975900000000005</v>
      </c>
      <c r="BN61" s="594">
        <f>BM61*$AN$23</f>
        <v>0.65678310000000006</v>
      </c>
      <c r="BO61" s="597">
        <f t="shared" si="53"/>
        <v>3.6487950000000005E-2</v>
      </c>
      <c r="BP61" s="597">
        <f t="shared" si="54"/>
        <v>3.6487950000000005E-2</v>
      </c>
      <c r="BQ61" s="593">
        <f t="shared" si="38"/>
        <v>0.65679184158415849</v>
      </c>
      <c r="BR61" s="594">
        <f t="shared" si="39"/>
        <v>3.650057821782178E-2</v>
      </c>
      <c r="BS61" s="595">
        <f t="shared" si="40"/>
        <v>3.650057821782178E-2</v>
      </c>
      <c r="BT61" s="593">
        <f t="shared" si="89"/>
        <v>0.65679184158415849</v>
      </c>
      <c r="BU61" s="594">
        <f t="shared" si="89"/>
        <v>3.650057821782178E-2</v>
      </c>
      <c r="BV61" s="595">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50" t="str">
        <f ca="1">F62</f>
        <v>IIDFL</v>
      </c>
      <c r="AL62" s="546" t="s">
        <v>53</v>
      </c>
      <c r="AM62" s="547">
        <f>H79/1000</f>
        <v>0</v>
      </c>
      <c r="AN62" s="548">
        <f t="shared" si="77"/>
        <v>0</v>
      </c>
      <c r="AO62" s="549">
        <f t="shared" si="78"/>
        <v>0</v>
      </c>
      <c r="AP62" s="549">
        <f t="shared" si="79"/>
        <v>0</v>
      </c>
      <c r="AQ62" s="559">
        <f t="shared" si="28"/>
        <v>0</v>
      </c>
      <c r="AR62" s="549">
        <f t="shared" si="29"/>
        <v>0</v>
      </c>
      <c r="AS62" s="555">
        <f t="shared" si="30"/>
        <v>0</v>
      </c>
      <c r="AT62" s="560">
        <f t="shared" si="87"/>
        <v>0</v>
      </c>
      <c r="AU62" s="551">
        <f t="shared" si="87"/>
        <v>0</v>
      </c>
      <c r="AV62" s="552">
        <f t="shared" si="87"/>
        <v>0</v>
      </c>
      <c r="AW62" s="285"/>
      <c r="AX62" s="550" t="str">
        <f t="shared" ca="1" si="12"/>
        <v>IIDFL</v>
      </c>
      <c r="AY62" s="546" t="s">
        <v>53</v>
      </c>
      <c r="AZ62" s="547">
        <f>H99/1000</f>
        <v>0</v>
      </c>
      <c r="BA62" s="548">
        <f>AZ62*$AN$23</f>
        <v>0</v>
      </c>
      <c r="BB62" s="549">
        <f t="shared" si="60"/>
        <v>0</v>
      </c>
      <c r="BC62" s="549">
        <f t="shared" si="61"/>
        <v>0</v>
      </c>
      <c r="BD62" s="560">
        <f t="shared" si="33"/>
        <v>0</v>
      </c>
      <c r="BE62" s="551">
        <f t="shared" si="34"/>
        <v>0</v>
      </c>
      <c r="BF62" s="552">
        <f t="shared" si="35"/>
        <v>0</v>
      </c>
      <c r="BG62" s="560">
        <f t="shared" si="88"/>
        <v>0</v>
      </c>
      <c r="BH62" s="551">
        <f t="shared" si="88"/>
        <v>0</v>
      </c>
      <c r="BI62" s="552">
        <f t="shared" si="88"/>
        <v>0</v>
      </c>
      <c r="BJ62" s="285"/>
      <c r="BK62" s="550" t="str">
        <f ca="1">AK62</f>
        <v>IIDFL</v>
      </c>
      <c r="BL62" s="546" t="s">
        <v>53</v>
      </c>
      <c r="BM62" s="547">
        <f>H119/1000</f>
        <v>0</v>
      </c>
      <c r="BN62" s="548">
        <f>BM62*$AN$23</f>
        <v>0</v>
      </c>
      <c r="BO62" s="549">
        <f t="shared" si="53"/>
        <v>0</v>
      </c>
      <c r="BP62" s="549">
        <f t="shared" si="54"/>
        <v>0</v>
      </c>
      <c r="BQ62" s="560">
        <f t="shared" si="38"/>
        <v>0</v>
      </c>
      <c r="BR62" s="551">
        <f t="shared" si="39"/>
        <v>0</v>
      </c>
      <c r="BS62" s="552">
        <f t="shared" si="40"/>
        <v>0</v>
      </c>
      <c r="BT62" s="560">
        <f t="shared" si="89"/>
        <v>0</v>
      </c>
      <c r="BU62" s="551">
        <f t="shared" si="89"/>
        <v>0</v>
      </c>
      <c r="BV62" s="552">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22"/>
      <c r="AG66" s="522"/>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0</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0</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7768.8</v>
      </c>
      <c r="W87" s="117"/>
    </row>
    <row r="88" spans="3:24" ht="12.75" customHeight="1">
      <c r="O88" s="86"/>
      <c r="T88" s="122" t="str">
        <f>+'Energy matrix'!B16</f>
        <v>District Heating</v>
      </c>
      <c r="U88" s="122"/>
      <c r="V88" s="123">
        <f>+INDEX('Energy matrix'!C16:N16,1,$D$2)</f>
        <v>56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17770.580999999998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626.40000000000009</v>
      </c>
      <c r="N100" s="14">
        <f t="shared" si="113"/>
        <v>0</v>
      </c>
      <c r="O100" s="86"/>
      <c r="R100" s="287"/>
      <c r="S100" s="287"/>
      <c r="T100" s="117" t="str">
        <f>'Energy matrix'!B27</f>
        <v>Diesel</v>
      </c>
      <c r="U100" s="117"/>
      <c r="V100" s="118">
        <f>+INDEX('Energy matrix'!C27:N27,1,$D$2)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5637.6</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21.11011431444226</v>
      </c>
      <c r="N102" s="14">
        <f t="shared" si="115"/>
        <v>116</v>
      </c>
      <c r="O102" s="86"/>
      <c r="R102" s="287"/>
      <c r="S102" s="287"/>
      <c r="T102" s="117" t="str">
        <f>'Energy matrix'!B29</f>
        <v>LPG</v>
      </c>
      <c r="U102" s="117"/>
      <c r="V102" s="118">
        <f>+INDEX('Energy matrix'!C29:N29,1,$D$2)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f t="shared" si="116"/>
        <v>0</v>
      </c>
      <c r="K103" s="18">
        <f t="shared" si="116"/>
        <v>0</v>
      </c>
      <c r="L103" s="18">
        <f t="shared" si="116"/>
        <v>0</v>
      </c>
      <c r="M103" s="18">
        <f t="shared" si="116"/>
        <v>6285.1101143144424</v>
      </c>
      <c r="N103" s="18">
        <f t="shared" si="116"/>
        <v>116</v>
      </c>
      <c r="O103" s="86"/>
      <c r="R103" s="287"/>
      <c r="S103" s="287"/>
      <c r="T103" s="117" t="str">
        <f>'Energy matrix'!B31</f>
        <v>Natural gas</v>
      </c>
      <c r="U103" s="117"/>
      <c r="V103" s="118">
        <f>+INDEX('Energy matrix'!C31:N31,1,$D$2)</f>
        <v>4308.3</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6264</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14246.293</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f t="shared" si="127"/>
        <v>32.305500000000002</v>
      </c>
      <c r="I117" s="14">
        <f t="shared" si="127"/>
        <v>3917.636</v>
      </c>
      <c r="J117" s="14">
        <f t="shared" si="127"/>
        <v>0</v>
      </c>
      <c r="K117" s="14">
        <f t="shared" si="127"/>
        <v>0</v>
      </c>
      <c r="L117" s="14">
        <f t="shared" si="127"/>
        <v>0</v>
      </c>
      <c r="M117" s="14">
        <f t="shared" si="127"/>
        <v>0</v>
      </c>
      <c r="N117" s="14">
        <f t="shared" si="127"/>
        <v>0</v>
      </c>
      <c r="O117" s="86"/>
      <c r="T117" s="48" t="s">
        <v>209</v>
      </c>
      <c r="U117" s="48"/>
      <c r="V117" s="126" t="str">
        <f>+INDEX('Energy matrix'!C44:N44,1,$D$2)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644.04</v>
      </c>
      <c r="N120" s="14">
        <f t="shared" si="130"/>
        <v>0</v>
      </c>
      <c r="O120" s="86"/>
      <c r="T120" s="117" t="str">
        <f>'Energy matrix'!B47</f>
        <v>Diesel</v>
      </c>
      <c r="U120" s="117"/>
      <c r="V120" s="118">
        <f>+INDEX('Energy matrix'!C47:N47,1,$D$2)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5796.36</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21.70459454513632</v>
      </c>
      <c r="N122" s="14">
        <f t="shared" si="132"/>
        <v>194</v>
      </c>
      <c r="O122" s="86"/>
      <c r="T122" s="117" t="str">
        <f>'Energy matrix'!B49</f>
        <v>LPG</v>
      </c>
      <c r="U122" s="117"/>
      <c r="V122" s="118">
        <f>+INDEX('Energy matrix'!C49:N49,1,$D$2)</f>
        <v>129.22200000000001</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f t="shared" si="133"/>
        <v>32.305500000000002</v>
      </c>
      <c r="I123" s="18">
        <f t="shared" si="133"/>
        <v>3917.636</v>
      </c>
      <c r="J123" s="18">
        <f t="shared" si="133"/>
        <v>0</v>
      </c>
      <c r="K123" s="18">
        <f t="shared" si="133"/>
        <v>0</v>
      </c>
      <c r="L123" s="18">
        <f t="shared" si="133"/>
        <v>0</v>
      </c>
      <c r="M123" s="18">
        <f t="shared" si="133"/>
        <v>6462.104594545136</v>
      </c>
      <c r="N123" s="18">
        <f t="shared" si="133"/>
        <v>194</v>
      </c>
      <c r="O123" s="86"/>
      <c r="T123" s="117" t="str">
        <f>'Energy matrix'!B51</f>
        <v>Natural gas</v>
      </c>
      <c r="U123" s="117"/>
      <c r="V123" s="118">
        <f>+INDEX('Energy matrix'!C51:N51,1,$D$2)</f>
        <v>3917.636</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6440.4</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194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14075.439999999999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535</v>
      </c>
      <c r="E151" s="22"/>
      <c r="F151" s="22"/>
      <c r="G151" s="22"/>
      <c r="H151" s="22">
        <v>0</v>
      </c>
      <c r="I151" s="22"/>
      <c r="J151" s="22"/>
      <c r="K151" s="22">
        <v>0</v>
      </c>
      <c r="L151" s="624"/>
      <c r="M151" s="22">
        <v>0</v>
      </c>
      <c r="N151" s="22"/>
      <c r="O151" s="22">
        <v>0</v>
      </c>
      <c r="P151" s="34"/>
      <c r="Q151" s="34"/>
      <c r="R151" s="25"/>
      <c r="S151" s="25"/>
      <c r="W151" s="285"/>
      <c r="X151" s="285"/>
      <c r="Y151" s="285"/>
      <c r="Z151" s="25"/>
      <c r="AA151" s="25"/>
      <c r="AB151" s="25"/>
    </row>
    <row r="152" spans="3:28">
      <c r="C152" s="15"/>
      <c r="D152" s="13" t="s">
        <v>536</v>
      </c>
      <c r="E152" s="22">
        <v>0</v>
      </c>
      <c r="F152" s="22">
        <v>0</v>
      </c>
      <c r="G152" s="22">
        <v>1</v>
      </c>
      <c r="H152" s="625">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5"/>
      <c r="AI20" s="285"/>
      <c r="AJ20" s="285"/>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4434.2910000000002</v>
      </c>
      <c r="N26" s="322">
        <f>ROUNDUP(BO26/($Z26*$AA26)*N$21*X26,3)</f>
        <v>246.35</v>
      </c>
      <c r="O26" s="322">
        <f>ROUNDUP(BP26/($Z26*$AA26)*O$21*Y26,3)</f>
        <v>246.35</v>
      </c>
      <c r="P26" s="322">
        <f t="shared" ref="P26:P62" si="1">M26</f>
        <v>4434.2910000000002</v>
      </c>
      <c r="Q26" s="322">
        <f t="shared" ref="Q26:Q62" si="2">N26</f>
        <v>246.35</v>
      </c>
      <c r="R26" s="322">
        <f t="shared" ref="R26:R62" si="3">O26</f>
        <v>246.35</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74.564909363507795</v>
      </c>
      <c r="AJ26" s="285"/>
      <c r="AK26" s="544"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44"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44" t="str">
        <f ca="1">AK26</f>
        <v>IRDPH</v>
      </c>
      <c r="BL26" s="350" t="s">
        <v>97</v>
      </c>
      <c r="BM26" s="313">
        <f>I117/1000</f>
        <v>78.489356999999998</v>
      </c>
      <c r="BN26" s="310">
        <f>BM26*$AN$23</f>
        <v>70.6404213</v>
      </c>
      <c r="BO26" s="311">
        <f>BM26*$BB$23</f>
        <v>3.9244678500000001</v>
      </c>
      <c r="BP26" s="311">
        <f>BM26*$BC$23</f>
        <v>3.9244678500000001</v>
      </c>
      <c r="BQ26" s="313">
        <f>IFERROR(M26*$Z26*$AA26/M$21,0)</f>
        <v>69.227624245544561</v>
      </c>
      <c r="BR26" s="310">
        <f>IFERROR(N26*$Z26*$AA26/N$21,0)</f>
        <v>3.8459869306930692</v>
      </c>
      <c r="BS26" s="357">
        <f>IFERROR(O26*$Z26*$AA26/O$21,0)</f>
        <v>3.8459869306930692</v>
      </c>
      <c r="BT26" s="313">
        <f>IFERROR(BQ26/W26,0)</f>
        <v>70.640432903616897</v>
      </c>
      <c r="BU26" s="310">
        <f>IFERROR(BR26/X26,0)</f>
        <v>3.924476459890887</v>
      </c>
      <c r="BV26" s="357">
        <f>IFERROR(BS26/Y26,0)</f>
        <v>3.924476459890887</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54">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73" t="s">
        <v>101</v>
      </c>
      <c r="AM32" s="574">
        <f>E77/1000</f>
        <v>0.80696000000000001</v>
      </c>
      <c r="AN32" s="575">
        <f t="shared" si="47"/>
        <v>0.72626400000000002</v>
      </c>
      <c r="AO32" s="576">
        <f>AM32*$AO$23</f>
        <v>4.0348000000000002E-2</v>
      </c>
      <c r="AP32" s="576">
        <f t="shared" si="49"/>
        <v>4.0348000000000002E-2</v>
      </c>
      <c r="AQ32" s="596">
        <f t="shared" si="28"/>
        <v>0.67616523476523482</v>
      </c>
      <c r="AR32" s="576">
        <f t="shared" si="29"/>
        <v>3.7569110889110892E-2</v>
      </c>
      <c r="AS32" s="577">
        <f t="shared" si="30"/>
        <v>3.7569110889110892E-2</v>
      </c>
      <c r="AT32" s="574">
        <f t="shared" si="50"/>
        <v>0.72627844765331351</v>
      </c>
      <c r="AU32" s="575">
        <f t="shared" si="50"/>
        <v>4.0353502566177119E-2</v>
      </c>
      <c r="AV32" s="580">
        <f t="shared" si="50"/>
        <v>4.0353502566177119E-2</v>
      </c>
      <c r="AW32" s="285"/>
      <c r="AX32" s="290"/>
      <c r="AY32" s="573" t="s">
        <v>101</v>
      </c>
      <c r="AZ32" s="574">
        <f>E97/1000</f>
        <v>0.36661500000000002</v>
      </c>
      <c r="BA32" s="575">
        <f>AZ32*$AN$23</f>
        <v>0.32995350000000001</v>
      </c>
      <c r="BB32" s="576">
        <f t="shared" ref="BB32:BB34" si="51">AZ32*$BB$23</f>
        <v>1.8330750000000003E-2</v>
      </c>
      <c r="BC32" s="576">
        <f t="shared" ref="BC32:BC34" si="52">AZ32*$BC$23</f>
        <v>1.8330750000000003E-2</v>
      </c>
      <c r="BD32" s="574">
        <f>IFERROR(J32*$Z32*AA32/J$21,0)</f>
        <v>0.30719498613861385</v>
      </c>
      <c r="BE32" s="575">
        <f t="shared" si="34"/>
        <v>1.7079398019801979E-2</v>
      </c>
      <c r="BF32" s="580">
        <f t="shared" si="35"/>
        <v>1.7079398019801979E-2</v>
      </c>
      <c r="BG32" s="574">
        <f t="shared" si="15"/>
        <v>0.32996239112633069</v>
      </c>
      <c r="BH32" s="575">
        <f t="shared" si="16"/>
        <v>1.8345218066382361E-2</v>
      </c>
      <c r="BI32" s="580">
        <f t="shared" si="17"/>
        <v>1.8345218066382361E-2</v>
      </c>
      <c r="BJ32" s="285"/>
      <c r="BK32" s="290"/>
      <c r="BL32" s="573" t="s">
        <v>101</v>
      </c>
      <c r="BM32" s="574">
        <f>E117/1000</f>
        <v>0.40343000000000001</v>
      </c>
      <c r="BN32" s="575">
        <f>BM32*$AN$23</f>
        <v>0.36308699999999999</v>
      </c>
      <c r="BO32" s="576">
        <f t="shared" ref="BO32:BO62" si="53">BM32*$BB$23</f>
        <v>2.0171500000000002E-2</v>
      </c>
      <c r="BP32" s="576">
        <f t="shared" ref="BP32:BP62" si="54">BM32*$BC$23</f>
        <v>2.0171500000000002E-2</v>
      </c>
      <c r="BQ32" s="574">
        <f t="shared" si="38"/>
        <v>0.33804406336633669</v>
      </c>
      <c r="BR32" s="575">
        <f t="shared" si="39"/>
        <v>1.878109306930693E-2</v>
      </c>
      <c r="BS32" s="580">
        <f t="shared" si="40"/>
        <v>1.878109306930693E-2</v>
      </c>
      <c r="BT32" s="574">
        <f t="shared" si="41"/>
        <v>0.36309781242356254</v>
      </c>
      <c r="BU32" s="575">
        <f t="shared" si="42"/>
        <v>2.0173032297859217E-2</v>
      </c>
      <c r="BV32" s="580">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f t="shared" si="24"/>
        <v>1.2169999999999999</v>
      </c>
      <c r="N33" s="322">
        <f t="shared" si="25"/>
        <v>6.8000000000000005E-2</v>
      </c>
      <c r="O33" s="322">
        <f t="shared" si="26"/>
        <v>6.8000000000000005E-2</v>
      </c>
      <c r="P33" s="322">
        <f t="shared" si="1"/>
        <v>1.2169999999999999</v>
      </c>
      <c r="Q33" s="322">
        <f t="shared" si="2"/>
        <v>6.8000000000000005E-2</v>
      </c>
      <c r="R33" s="322">
        <f t="shared" si="3"/>
        <v>6.8000000000000005E-2</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f t="shared" si="10"/>
        <v>2.0470680945645584E-2</v>
      </c>
      <c r="AJ33" s="285"/>
      <c r="AK33" s="290"/>
      <c r="AL33" s="573" t="s">
        <v>53</v>
      </c>
      <c r="AM33" s="574">
        <f>H77/1000</f>
        <v>9.2061999999999991E-2</v>
      </c>
      <c r="AN33" s="575">
        <f t="shared" si="47"/>
        <v>8.2855799999999993E-2</v>
      </c>
      <c r="AO33" s="576">
        <f t="shared" si="48"/>
        <v>4.6030999999999997E-3</v>
      </c>
      <c r="AP33" s="576">
        <f t="shared" si="49"/>
        <v>4.6030999999999997E-3</v>
      </c>
      <c r="AQ33" s="596">
        <f t="shared" si="28"/>
        <v>8.1202837162837174E-2</v>
      </c>
      <c r="AR33" s="576">
        <f t="shared" si="29"/>
        <v>4.5208951048951052E-3</v>
      </c>
      <c r="AS33" s="577">
        <f t="shared" si="30"/>
        <v>4.5208951048951052E-3</v>
      </c>
      <c r="AT33" s="574">
        <f t="shared" si="50"/>
        <v>8.2860037921262425E-2</v>
      </c>
      <c r="AU33" s="575">
        <f t="shared" si="50"/>
        <v>4.6131582703011279E-3</v>
      </c>
      <c r="AV33" s="580">
        <f t="shared" si="50"/>
        <v>4.6131582703011279E-3</v>
      </c>
      <c r="AW33" s="285"/>
      <c r="AX33" s="290"/>
      <c r="AY33" s="573" t="s">
        <v>53</v>
      </c>
      <c r="AZ33" s="574">
        <f>H97/1000</f>
        <v>0.17012250000000001</v>
      </c>
      <c r="BA33" s="575">
        <f>AZ33*$AN$23</f>
        <v>0.15311025</v>
      </c>
      <c r="BB33" s="576">
        <f t="shared" si="51"/>
        <v>8.5061250000000015E-3</v>
      </c>
      <c r="BC33" s="576">
        <f t="shared" si="52"/>
        <v>8.5061250000000015E-3</v>
      </c>
      <c r="BD33" s="574">
        <f t="shared" si="33"/>
        <v>0.15006140198019804</v>
      </c>
      <c r="BE33" s="575">
        <f t="shared" si="34"/>
        <v>8.3367445544554452E-3</v>
      </c>
      <c r="BF33" s="580">
        <f t="shared" si="35"/>
        <v>8.3367445544554452E-3</v>
      </c>
      <c r="BG33" s="574">
        <f t="shared" si="15"/>
        <v>0.15312387957163065</v>
      </c>
      <c r="BH33" s="575">
        <f t="shared" si="16"/>
        <v>8.5068821984239235E-3</v>
      </c>
      <c r="BI33" s="580">
        <f t="shared" si="17"/>
        <v>8.5068821984239235E-3</v>
      </c>
      <c r="BJ33" s="285"/>
      <c r="BK33" s="290"/>
      <c r="BL33" s="573" t="s">
        <v>53</v>
      </c>
      <c r="BM33" s="574">
        <f>H117/1000</f>
        <v>2.1537000000000001E-2</v>
      </c>
      <c r="BN33" s="575">
        <f>BM33*$AN$23</f>
        <v>1.9383300000000003E-2</v>
      </c>
      <c r="BO33" s="576">
        <f t="shared" si="53"/>
        <v>1.0768500000000001E-3</v>
      </c>
      <c r="BP33" s="576">
        <f t="shared" si="54"/>
        <v>1.0768500000000001E-3</v>
      </c>
      <c r="BQ33" s="574">
        <f t="shared" si="38"/>
        <v>1.8999659405940592E-2</v>
      </c>
      <c r="BR33" s="575">
        <f t="shared" si="39"/>
        <v>1.0616079207920793E-3</v>
      </c>
      <c r="BS33" s="580">
        <f t="shared" si="40"/>
        <v>1.0616079207920793E-3</v>
      </c>
      <c r="BT33" s="574">
        <f t="shared" si="41"/>
        <v>1.9387407557082237E-2</v>
      </c>
      <c r="BU33" s="575">
        <f t="shared" si="42"/>
        <v>1.0832733885633463E-3</v>
      </c>
      <c r="BV33" s="580">
        <f t="shared" si="43"/>
        <v>1.0832733885633463E-3</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IRDCO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IRDCO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IRDCO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IRDSH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IRDSH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IRDSH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1648.038</v>
      </c>
      <c r="N56" s="321">
        <f t="shared" si="25"/>
        <v>0</v>
      </c>
      <c r="O56" s="321">
        <f t="shared" si="26"/>
        <v>0</v>
      </c>
      <c r="P56" s="321">
        <f t="shared" si="1"/>
        <v>1648.038</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26.801014009900992</v>
      </c>
      <c r="AJ56" s="285"/>
      <c r="AK56" s="356"/>
      <c r="AL56" s="573" t="s">
        <v>103</v>
      </c>
      <c r="AM56" s="574">
        <f>N82/1000</f>
        <v>17.725000000000001</v>
      </c>
      <c r="AN56" s="627">
        <f>AM56</f>
        <v>17.725000000000001</v>
      </c>
      <c r="AO56" s="628">
        <v>0</v>
      </c>
      <c r="AP56" s="628">
        <v>0</v>
      </c>
      <c r="AQ56" s="596">
        <f t="shared" si="28"/>
        <v>17.016003332667339</v>
      </c>
      <c r="AR56" s="576">
        <f t="shared" si="29"/>
        <v>0</v>
      </c>
      <c r="AS56" s="577">
        <f t="shared" si="30"/>
        <v>0</v>
      </c>
      <c r="AT56" s="574">
        <f t="shared" si="85"/>
        <v>17.725003471528478</v>
      </c>
      <c r="AU56" s="575">
        <f t="shared" si="85"/>
        <v>0</v>
      </c>
      <c r="AV56" s="580">
        <f t="shared" si="85"/>
        <v>0</v>
      </c>
      <c r="AW56" s="285"/>
      <c r="AX56" s="356"/>
      <c r="AY56" s="573" t="s">
        <v>103</v>
      </c>
      <c r="AZ56" s="574">
        <f>N102/1000</f>
        <v>27.747</v>
      </c>
      <c r="BA56" s="627">
        <f>AZ56</f>
        <v>27.747</v>
      </c>
      <c r="BB56" s="628">
        <v>0</v>
      </c>
      <c r="BC56" s="628">
        <v>0</v>
      </c>
      <c r="BD56" s="574">
        <f t="shared" si="33"/>
        <v>26.637132190099013</v>
      </c>
      <c r="BE56" s="575">
        <f t="shared" si="34"/>
        <v>0</v>
      </c>
      <c r="BF56" s="580">
        <f t="shared" si="35"/>
        <v>0</v>
      </c>
      <c r="BG56" s="574">
        <f t="shared" si="62"/>
        <v>27.747012698019805</v>
      </c>
      <c r="BH56" s="575">
        <f t="shared" si="63"/>
        <v>0</v>
      </c>
      <c r="BI56" s="580">
        <f t="shared" si="64"/>
        <v>0</v>
      </c>
      <c r="BJ56" s="285"/>
      <c r="BK56" s="356"/>
      <c r="BL56" s="573" t="s">
        <v>103</v>
      </c>
      <c r="BM56" s="574">
        <f>N122/1000</f>
        <v>26.800999999999998</v>
      </c>
      <c r="BN56" s="627">
        <f>BM56</f>
        <v>26.800999999999998</v>
      </c>
      <c r="BO56" s="628">
        <v>0</v>
      </c>
      <c r="BP56" s="628">
        <v>0</v>
      </c>
      <c r="BQ56" s="574">
        <f t="shared" si="38"/>
        <v>25.728973449504952</v>
      </c>
      <c r="BR56" s="575">
        <f t="shared" si="39"/>
        <v>0</v>
      </c>
      <c r="BS56" s="580">
        <f t="shared" si="40"/>
        <v>0</v>
      </c>
      <c r="BT56" s="574">
        <f t="shared" si="65"/>
        <v>26.801014009900992</v>
      </c>
      <c r="BU56" s="575">
        <f t="shared" si="66"/>
        <v>0</v>
      </c>
      <c r="BV56" s="580">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13.148</v>
      </c>
      <c r="N58" s="324">
        <f t="shared" si="25"/>
        <v>0.73099999999999998</v>
      </c>
      <c r="O58" s="324">
        <f t="shared" si="26"/>
        <v>0.73099999999999998</v>
      </c>
      <c r="P58" s="324">
        <f t="shared" si="1"/>
        <v>13.148</v>
      </c>
      <c r="Q58" s="324">
        <f t="shared" si="2"/>
        <v>0.73099999999999998</v>
      </c>
      <c r="R58" s="324">
        <f t="shared" si="3"/>
        <v>0.73099999999999998</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0.22808136737884319</v>
      </c>
      <c r="AJ58" s="285"/>
      <c r="AK58" s="355"/>
      <c r="AL58" s="581" t="s">
        <v>61</v>
      </c>
      <c r="AM58" s="574">
        <f>M82/1000</f>
        <v>0.29477726867701354</v>
      </c>
      <c r="AN58" s="575">
        <f t="shared" si="77"/>
        <v>0.2652995418093122</v>
      </c>
      <c r="AO58" s="576">
        <f t="shared" si="78"/>
        <v>1.4738863433850677E-2</v>
      </c>
      <c r="AP58" s="576">
        <f t="shared" si="79"/>
        <v>1.4738863433850677E-2</v>
      </c>
      <c r="AQ58" s="596">
        <f t="shared" si="28"/>
        <v>0.25203596403596407</v>
      </c>
      <c r="AR58" s="576">
        <f t="shared" si="29"/>
        <v>1.4003748251748254E-2</v>
      </c>
      <c r="AS58" s="577">
        <f t="shared" si="30"/>
        <v>1.4003748251748254E-2</v>
      </c>
      <c r="AT58" s="574">
        <f t="shared" ref="AT58:AV62" si="87">IFERROR(AQ58/W58,0)</f>
        <v>0.26530101477469903</v>
      </c>
      <c r="AU58" s="575">
        <f t="shared" si="87"/>
        <v>1.4740787633419216E-2</v>
      </c>
      <c r="AV58" s="580">
        <f t="shared" si="87"/>
        <v>1.4740787633419216E-2</v>
      </c>
      <c r="AW58" s="285"/>
      <c r="AX58" s="355"/>
      <c r="AY58" s="581" t="s">
        <v>61</v>
      </c>
      <c r="AZ58" s="574">
        <f>M102/1000</f>
        <v>0.25869595834876569</v>
      </c>
      <c r="BA58" s="575">
        <f>AZ58*$AN$23</f>
        <v>0.23282636251388913</v>
      </c>
      <c r="BB58" s="576">
        <f t="shared" si="60"/>
        <v>1.2934797917438285E-2</v>
      </c>
      <c r="BC58" s="576">
        <f t="shared" si="61"/>
        <v>1.2934797917438285E-2</v>
      </c>
      <c r="BD58" s="574">
        <f t="shared" si="33"/>
        <v>0.22118913267326734</v>
      </c>
      <c r="BE58" s="575">
        <f t="shared" si="34"/>
        <v>1.2302162376237625E-2</v>
      </c>
      <c r="BF58" s="580">
        <f t="shared" si="35"/>
        <v>1.2302162376237625E-2</v>
      </c>
      <c r="BG58" s="574">
        <f t="shared" ref="BG58:BI62" si="88">IFERROR(BD58/W58,0)</f>
        <v>0.23283066597186036</v>
      </c>
      <c r="BH58" s="575">
        <f t="shared" si="88"/>
        <v>1.294964460656592E-2</v>
      </c>
      <c r="BI58" s="580">
        <f t="shared" si="88"/>
        <v>1.294964460656592E-2</v>
      </c>
      <c r="BJ58" s="285"/>
      <c r="BK58" s="355"/>
      <c r="BL58" s="581" t="s">
        <v>61</v>
      </c>
      <c r="BM58" s="574">
        <f>M122/1000</f>
        <v>0.24007295520355371</v>
      </c>
      <c r="BN58" s="575">
        <f>BM58*$AN$23</f>
        <v>0.21606565968319835</v>
      </c>
      <c r="BO58" s="576">
        <f t="shared" si="53"/>
        <v>1.2003647760177686E-2</v>
      </c>
      <c r="BP58" s="576">
        <f t="shared" si="54"/>
        <v>1.2003647760177686E-2</v>
      </c>
      <c r="BQ58" s="574">
        <f t="shared" si="38"/>
        <v>0.20526501386138615</v>
      </c>
      <c r="BR58" s="575">
        <f t="shared" si="39"/>
        <v>1.1412285148514851E-2</v>
      </c>
      <c r="BS58" s="580">
        <f t="shared" si="40"/>
        <v>1.1412285148514851E-2</v>
      </c>
      <c r="BT58" s="574">
        <f t="shared" ref="BT58:BV62" si="89">IFERROR(BQ58/W58,0)</f>
        <v>0.21606843564356437</v>
      </c>
      <c r="BU58" s="575">
        <f t="shared" si="89"/>
        <v>1.201293173527879E-2</v>
      </c>
      <c r="BV58" s="580">
        <f t="shared" si="89"/>
        <v>1.201293173527879E-2</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410.66899999999998</v>
      </c>
      <c r="N59" s="323">
        <f t="shared" si="25"/>
        <v>22.815000000000001</v>
      </c>
      <c r="O59" s="323">
        <f t="shared" si="26"/>
        <v>22.815000000000001</v>
      </c>
      <c r="P59" s="323">
        <f t="shared" si="1"/>
        <v>410.66899999999998</v>
      </c>
      <c r="Q59" s="323">
        <f t="shared" si="2"/>
        <v>22.815000000000001</v>
      </c>
      <c r="R59" s="323">
        <f t="shared" si="3"/>
        <v>22.815000000000001</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6.7675007049504945</v>
      </c>
      <c r="AJ59" s="285"/>
      <c r="AK59" s="545" t="str">
        <f ca="1">F59</f>
        <v>IRDLA</v>
      </c>
      <c r="AL59" s="592" t="s">
        <v>61</v>
      </c>
      <c r="AM59" s="593">
        <f>M80/1000</f>
        <v>8.7469199999999994</v>
      </c>
      <c r="AN59" s="594">
        <f t="shared" si="77"/>
        <v>7.8722279999999998</v>
      </c>
      <c r="AO59" s="597">
        <f t="shared" si="78"/>
        <v>0.43734600000000001</v>
      </c>
      <c r="AP59" s="597">
        <f t="shared" si="79"/>
        <v>0.43734600000000001</v>
      </c>
      <c r="AQ59" s="598">
        <f t="shared" si="28"/>
        <v>7.872233070929072</v>
      </c>
      <c r="AR59" s="597">
        <f t="shared" si="29"/>
        <v>0.43736115884115889</v>
      </c>
      <c r="AS59" s="599">
        <f t="shared" si="30"/>
        <v>0.43736115884115889</v>
      </c>
      <c r="AT59" s="593">
        <f t="shared" si="87"/>
        <v>7.872233070929072</v>
      </c>
      <c r="AU59" s="594">
        <f t="shared" si="87"/>
        <v>0.43736115884115889</v>
      </c>
      <c r="AV59" s="595">
        <f t="shared" si="87"/>
        <v>0.43736115884115889</v>
      </c>
      <c r="AW59" s="285"/>
      <c r="AX59" s="545" t="str">
        <f t="shared" ca="1" si="12"/>
        <v>IRDLA</v>
      </c>
      <c r="AY59" s="592" t="s">
        <v>61</v>
      </c>
      <c r="AZ59" s="593">
        <f>M100/1000</f>
        <v>7.6762800000000002</v>
      </c>
      <c r="BA59" s="594">
        <f>AZ59*$AN$23</f>
        <v>6.908652</v>
      </c>
      <c r="BB59" s="597">
        <f t="shared" si="60"/>
        <v>0.38381400000000004</v>
      </c>
      <c r="BC59" s="597">
        <f t="shared" si="61"/>
        <v>0.38381400000000004</v>
      </c>
      <c r="BD59" s="593">
        <f t="shared" si="33"/>
        <v>6.9086633346534647</v>
      </c>
      <c r="BE59" s="594">
        <f t="shared" si="34"/>
        <v>0.38381809900990099</v>
      </c>
      <c r="BF59" s="595">
        <f t="shared" si="35"/>
        <v>0.38381809900990099</v>
      </c>
      <c r="BG59" s="593">
        <f t="shared" si="88"/>
        <v>6.9086633346534647</v>
      </c>
      <c r="BH59" s="594">
        <f t="shared" si="88"/>
        <v>0.38381809900990099</v>
      </c>
      <c r="BI59" s="595">
        <f t="shared" si="88"/>
        <v>0.38381809900990099</v>
      </c>
      <c r="BJ59" s="285"/>
      <c r="BK59" s="545" t="str">
        <f ca="1">AK59</f>
        <v>IRDLA</v>
      </c>
      <c r="BL59" s="592" t="s">
        <v>61</v>
      </c>
      <c r="BM59" s="593">
        <f>M120/1000</f>
        <v>7.1236800000000002</v>
      </c>
      <c r="BN59" s="594">
        <f>BM59*$AN$23</f>
        <v>6.4113120000000006</v>
      </c>
      <c r="BO59" s="597">
        <f t="shared" si="53"/>
        <v>0.35618400000000006</v>
      </c>
      <c r="BP59" s="597">
        <f t="shared" si="54"/>
        <v>0.35618400000000006</v>
      </c>
      <c r="BQ59" s="593">
        <f t="shared" si="38"/>
        <v>6.4113156356435637</v>
      </c>
      <c r="BR59" s="594">
        <f t="shared" si="39"/>
        <v>0.35618506930693072</v>
      </c>
      <c r="BS59" s="595">
        <f t="shared" si="40"/>
        <v>0.35618506930693072</v>
      </c>
      <c r="BT59" s="593">
        <f t="shared" si="89"/>
        <v>6.4113156356435637</v>
      </c>
      <c r="BU59" s="594">
        <f t="shared" si="89"/>
        <v>0.35618506930693072</v>
      </c>
      <c r="BV59" s="595">
        <f t="shared" si="89"/>
        <v>0.35618506930693072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3696.0190000000002</v>
      </c>
      <c r="N60" s="324">
        <f t="shared" si="25"/>
        <v>205.33500000000001</v>
      </c>
      <c r="O60" s="324">
        <f t="shared" si="26"/>
        <v>205.33500000000001</v>
      </c>
      <c r="P60" s="324">
        <f t="shared" si="1"/>
        <v>3696.0190000000002</v>
      </c>
      <c r="Q60" s="324">
        <f t="shared" si="2"/>
        <v>205.33500000000001</v>
      </c>
      <c r="R60" s="324">
        <f t="shared" si="3"/>
        <v>205.33500000000001</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60.907475120792085</v>
      </c>
      <c r="AJ60" s="285"/>
      <c r="AK60" s="550" t="str">
        <f ca="1">F60</f>
        <v>IRDEM</v>
      </c>
      <c r="AL60" s="592" t="s">
        <v>61</v>
      </c>
      <c r="AM60" s="593">
        <f>M81/1000</f>
        <v>78.722279999999998</v>
      </c>
      <c r="AN60" s="594">
        <f t="shared" si="77"/>
        <v>70.850052000000005</v>
      </c>
      <c r="AO60" s="597">
        <f t="shared" si="78"/>
        <v>3.9361139999999999</v>
      </c>
      <c r="AP60" s="597">
        <f t="shared" si="79"/>
        <v>3.9361139999999999</v>
      </c>
      <c r="AQ60" s="598">
        <f t="shared" si="28"/>
        <v>70.85006613386615</v>
      </c>
      <c r="AR60" s="597">
        <f t="shared" si="29"/>
        <v>3.9361244115884122</v>
      </c>
      <c r="AS60" s="599">
        <f t="shared" si="30"/>
        <v>3.9361244115884122</v>
      </c>
      <c r="AT60" s="593">
        <f t="shared" si="87"/>
        <v>70.85006613386615</v>
      </c>
      <c r="AU60" s="594">
        <f t="shared" si="87"/>
        <v>3.9361244115884122</v>
      </c>
      <c r="AV60" s="595">
        <f t="shared" si="87"/>
        <v>3.9361244115884122</v>
      </c>
      <c r="AW60" s="285"/>
      <c r="AX60" s="550" t="str">
        <f t="shared" ca="1" si="12"/>
        <v>IRDEM</v>
      </c>
      <c r="AY60" s="592" t="s">
        <v>61</v>
      </c>
      <c r="AZ60" s="593">
        <f>M101/1000</f>
        <v>69.086520000000007</v>
      </c>
      <c r="BA60" s="594">
        <f>AZ60*$AN$23</f>
        <v>62.177868000000011</v>
      </c>
      <c r="BB60" s="597">
        <f t="shared" si="60"/>
        <v>3.4543260000000005</v>
      </c>
      <c r="BC60" s="597">
        <f t="shared" si="61"/>
        <v>3.4543260000000005</v>
      </c>
      <c r="BD60" s="593">
        <f t="shared" si="33"/>
        <v>62.177876340594061</v>
      </c>
      <c r="BE60" s="594">
        <f t="shared" si="34"/>
        <v>3.4543316673267328</v>
      </c>
      <c r="BF60" s="595">
        <f t="shared" si="35"/>
        <v>3.4543316673267328</v>
      </c>
      <c r="BG60" s="593">
        <f t="shared" si="88"/>
        <v>62.177876340594061</v>
      </c>
      <c r="BH60" s="594">
        <f t="shared" si="88"/>
        <v>3.4543316673267328</v>
      </c>
      <c r="BI60" s="595">
        <f t="shared" si="88"/>
        <v>3.4543316673267328</v>
      </c>
      <c r="BJ60" s="285"/>
      <c r="BK60" s="550" t="str">
        <f ca="1">AK60</f>
        <v>IRDEM</v>
      </c>
      <c r="BL60" s="592" t="s">
        <v>61</v>
      </c>
      <c r="BM60" s="593">
        <f>M121/1000</f>
        <v>64.113120000000009</v>
      </c>
      <c r="BN60" s="594">
        <f>BM60*$AN$23</f>
        <v>57.701808000000007</v>
      </c>
      <c r="BO60" s="597">
        <f t="shared" si="53"/>
        <v>3.2056560000000007</v>
      </c>
      <c r="BP60" s="597">
        <f t="shared" si="54"/>
        <v>3.2056560000000007</v>
      </c>
      <c r="BQ60" s="593">
        <f t="shared" si="38"/>
        <v>57.701809497029707</v>
      </c>
      <c r="BR60" s="594">
        <f t="shared" si="39"/>
        <v>3.2056656237623766</v>
      </c>
      <c r="BS60" s="595">
        <f t="shared" si="40"/>
        <v>3.2056656237623766</v>
      </c>
      <c r="BT60" s="593">
        <f t="shared" si="89"/>
        <v>57.701809497029707</v>
      </c>
      <c r="BU60" s="594">
        <f t="shared" si="89"/>
        <v>3.2056656237623766</v>
      </c>
      <c r="BV60" s="595">
        <f t="shared" si="89"/>
        <v>3.2056656237623766</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50" t="str">
        <f ca="1">F61</f>
        <v>IRDTF</v>
      </c>
      <c r="AL61" s="592" t="s">
        <v>59</v>
      </c>
      <c r="AM61" s="593">
        <f>F79/1000</f>
        <v>2.9168600000000002</v>
      </c>
      <c r="AN61" s="594">
        <f t="shared" si="77"/>
        <v>2.6251740000000003</v>
      </c>
      <c r="AO61" s="597">
        <f t="shared" si="78"/>
        <v>0.14584300000000003</v>
      </c>
      <c r="AP61" s="597">
        <f t="shared" si="79"/>
        <v>0.14584300000000003</v>
      </c>
      <c r="AQ61" s="598">
        <f t="shared" si="28"/>
        <v>2.6251750969030971</v>
      </c>
      <c r="AR61" s="597">
        <f t="shared" si="29"/>
        <v>0.14585006193806194</v>
      </c>
      <c r="AS61" s="599">
        <f t="shared" si="30"/>
        <v>0.14585006193806194</v>
      </c>
      <c r="AT61" s="593">
        <f t="shared" si="87"/>
        <v>2.6251750969030971</v>
      </c>
      <c r="AU61" s="594">
        <f t="shared" si="87"/>
        <v>0.14585006193806194</v>
      </c>
      <c r="AV61" s="595">
        <f t="shared" si="87"/>
        <v>0.14585006193806194</v>
      </c>
      <c r="AW61" s="285"/>
      <c r="AX61" s="550" t="str">
        <f t="shared" ca="1" si="12"/>
        <v>IRDTF</v>
      </c>
      <c r="AY61" s="592" t="s">
        <v>59</v>
      </c>
      <c r="AZ61" s="593">
        <f>F99/1000</f>
        <v>1.0703499999999999</v>
      </c>
      <c r="BA61" s="594">
        <f>AZ61*$AN$23</f>
        <v>0.96331499999999992</v>
      </c>
      <c r="BB61" s="597">
        <f t="shared" si="60"/>
        <v>5.3517499999999996E-2</v>
      </c>
      <c r="BC61" s="597">
        <f t="shared" si="61"/>
        <v>5.3517499999999996E-2</v>
      </c>
      <c r="BD61" s="593">
        <f t="shared" si="33"/>
        <v>0.96331551683168315</v>
      </c>
      <c r="BE61" s="594">
        <f t="shared" si="34"/>
        <v>5.3517528712871285E-2</v>
      </c>
      <c r="BF61" s="595">
        <f t="shared" si="35"/>
        <v>5.3517528712871285E-2</v>
      </c>
      <c r="BG61" s="593">
        <f t="shared" si="88"/>
        <v>0.96331551683168315</v>
      </c>
      <c r="BH61" s="594">
        <f t="shared" si="88"/>
        <v>5.3517528712871285E-2</v>
      </c>
      <c r="BI61" s="595">
        <f t="shared" si="88"/>
        <v>5.3517528712871285E-2</v>
      </c>
      <c r="BJ61" s="285"/>
      <c r="BK61" s="550" t="str">
        <f ca="1">AK61</f>
        <v>IRDTF</v>
      </c>
      <c r="BL61" s="592" t="s">
        <v>59</v>
      </c>
      <c r="BM61" s="593">
        <f>F119/1000</f>
        <v>1.1161020000000001</v>
      </c>
      <c r="BN61" s="594">
        <f>BM61*$AN$23</f>
        <v>1.0044918000000003</v>
      </c>
      <c r="BO61" s="597">
        <f t="shared" si="53"/>
        <v>5.580510000000001E-2</v>
      </c>
      <c r="BP61" s="597">
        <f t="shared" si="54"/>
        <v>5.580510000000001E-2</v>
      </c>
      <c r="BQ61" s="593">
        <f t="shared" si="38"/>
        <v>1.0044996594059405</v>
      </c>
      <c r="BR61" s="594">
        <f t="shared" si="39"/>
        <v>5.5812475247524751E-2</v>
      </c>
      <c r="BS61" s="595">
        <f t="shared" si="40"/>
        <v>5.5812475247524751E-2</v>
      </c>
      <c r="BT61" s="593">
        <f t="shared" si="89"/>
        <v>1.0044996594059405</v>
      </c>
      <c r="BU61" s="594">
        <f t="shared" si="89"/>
        <v>5.5812475247524751E-2</v>
      </c>
      <c r="BV61" s="595">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f t="shared" si="24"/>
        <v>3.7250000000000001</v>
      </c>
      <c r="N62" s="323">
        <f t="shared" si="25"/>
        <v>0.20699999999999999</v>
      </c>
      <c r="O62" s="323">
        <f t="shared" si="26"/>
        <v>0.20699999999999999</v>
      </c>
      <c r="P62" s="323">
        <f t="shared" si="1"/>
        <v>3.7250000000000001</v>
      </c>
      <c r="Q62" s="323">
        <f t="shared" si="2"/>
        <v>0.20699999999999999</v>
      </c>
      <c r="R62" s="323">
        <f t="shared" si="3"/>
        <v>0.20699999999999999</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0.26238519080919082</v>
      </c>
      <c r="AH62" s="236">
        <f t="shared" si="83"/>
        <v>0.48485819405940594</v>
      </c>
      <c r="AI62" s="236">
        <f t="shared" si="84"/>
        <v>6.1385916831683172E-2</v>
      </c>
      <c r="AJ62" s="285"/>
      <c r="AK62" s="550" t="str">
        <f ca="1">F62</f>
        <v>IRDFL</v>
      </c>
      <c r="AL62" s="546" t="s">
        <v>53</v>
      </c>
      <c r="AM62" s="547">
        <f>H79/1000</f>
        <v>0.27618599999999999</v>
      </c>
      <c r="AN62" s="548">
        <f t="shared" si="77"/>
        <v>0.24856739999999999</v>
      </c>
      <c r="AO62" s="549">
        <f t="shared" si="78"/>
        <v>1.38093E-2</v>
      </c>
      <c r="AP62" s="549">
        <f t="shared" si="79"/>
        <v>1.38093E-2</v>
      </c>
      <c r="AQ62" s="559">
        <f t="shared" si="28"/>
        <v>0.24857046953046955</v>
      </c>
      <c r="AR62" s="549">
        <f t="shared" si="29"/>
        <v>1.3814721278721281E-2</v>
      </c>
      <c r="AS62" s="555">
        <f t="shared" si="30"/>
        <v>1.3814721278721281E-2</v>
      </c>
      <c r="AT62" s="560">
        <f t="shared" si="87"/>
        <v>0.24857046953046955</v>
      </c>
      <c r="AU62" s="551">
        <f t="shared" si="87"/>
        <v>1.3814721278721281E-2</v>
      </c>
      <c r="AV62" s="552">
        <f t="shared" si="87"/>
        <v>1.3814721278721281E-2</v>
      </c>
      <c r="AW62" s="285"/>
      <c r="AX62" s="550" t="str">
        <f t="shared" ca="1" si="12"/>
        <v>IRDFL</v>
      </c>
      <c r="AY62" s="546" t="s">
        <v>53</v>
      </c>
      <c r="AZ62" s="547">
        <f>H99/1000</f>
        <v>0.51036749999999997</v>
      </c>
      <c r="BA62" s="548">
        <f>AZ62*$AN$23</f>
        <v>0.45933075000000001</v>
      </c>
      <c r="BB62" s="549">
        <f t="shared" si="60"/>
        <v>2.5518374999999999E-2</v>
      </c>
      <c r="BC62" s="549">
        <f t="shared" si="61"/>
        <v>2.5518374999999999E-2</v>
      </c>
      <c r="BD62" s="560">
        <f t="shared" si="33"/>
        <v>0.45933276831683167</v>
      </c>
      <c r="BE62" s="551">
        <f t="shared" si="34"/>
        <v>2.5525425742574253E-2</v>
      </c>
      <c r="BF62" s="552">
        <f t="shared" si="35"/>
        <v>2.5525425742574253E-2</v>
      </c>
      <c r="BG62" s="560">
        <f t="shared" si="88"/>
        <v>0.45933276831683167</v>
      </c>
      <c r="BH62" s="551">
        <f t="shared" si="88"/>
        <v>2.5525425742574253E-2</v>
      </c>
      <c r="BI62" s="552">
        <f t="shared" si="88"/>
        <v>2.5525425742574253E-2</v>
      </c>
      <c r="BJ62" s="285"/>
      <c r="BK62" s="550" t="str">
        <f ca="1">AK62</f>
        <v>IRDFL</v>
      </c>
      <c r="BL62" s="546" t="s">
        <v>53</v>
      </c>
      <c r="BM62" s="547">
        <f>H119/1000</f>
        <v>6.4610999999999988E-2</v>
      </c>
      <c r="BN62" s="548">
        <f>BM62*$AN$23</f>
        <v>5.814989999999999E-2</v>
      </c>
      <c r="BO62" s="549">
        <f t="shared" si="53"/>
        <v>3.2305499999999996E-3</v>
      </c>
      <c r="BP62" s="549">
        <f t="shared" si="54"/>
        <v>3.2305499999999996E-3</v>
      </c>
      <c r="BQ62" s="560">
        <f t="shared" si="38"/>
        <v>5.8154257425742581E-2</v>
      </c>
      <c r="BR62" s="551">
        <f t="shared" si="39"/>
        <v>3.2316594059405941E-3</v>
      </c>
      <c r="BS62" s="552">
        <f t="shared" si="40"/>
        <v>3.2316594059405941E-3</v>
      </c>
      <c r="BT62" s="560">
        <f t="shared" si="89"/>
        <v>5.8154257425742581E-2</v>
      </c>
      <c r="BU62" s="551">
        <f t="shared" si="89"/>
        <v>3.2316594059405941E-3</v>
      </c>
      <c r="BV62" s="552">
        <f t="shared" si="89"/>
        <v>3.2316594059405941E-3</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22"/>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0</v>
      </c>
      <c r="K77" s="14">
        <f t="shared" si="93"/>
        <v>0</v>
      </c>
      <c r="L77" s="14">
        <f t="shared" si="93"/>
        <v>0</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0</v>
      </c>
      <c r="K83" s="18">
        <f t="shared" si="99"/>
        <v>0</v>
      </c>
      <c r="L83" s="18">
        <f t="shared" si="99"/>
        <v>0</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87469.2</v>
      </c>
      <c r="W87" s="117"/>
    </row>
    <row r="88" spans="3:24" ht="12.75" customHeight="1">
      <c r="O88" s="86"/>
      <c r="T88" s="122" t="str">
        <f>+'Energy matrix'!B16</f>
        <v>District Heating</v>
      </c>
      <c r="U88" s="122"/>
      <c r="V88" s="123">
        <f>+INDEX('Energy matrix'!C16:N16,1,$D$2)</f>
        <v>17725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219632.079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7676.2800000000007</v>
      </c>
      <c r="N100" s="14">
        <f t="shared" si="113"/>
        <v>0</v>
      </c>
      <c r="O100" s="86"/>
      <c r="R100" s="287"/>
      <c r="S100" s="287"/>
      <c r="T100" s="117" t="str">
        <f>'Energy matrix'!B27</f>
        <v>Diesel</v>
      </c>
      <c r="U100" s="117"/>
      <c r="V100" s="118">
        <f>+INDEX('Energy matrix'!C27:N27,1,$D$2)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69086.52</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258.69595834876571</v>
      </c>
      <c r="N102" s="14">
        <f t="shared" si="115"/>
        <v>27747</v>
      </c>
      <c r="O102" s="86"/>
      <c r="R102" s="287"/>
      <c r="S102" s="287"/>
      <c r="T102" s="117" t="str">
        <f>'Energy matrix'!B29</f>
        <v>LPG</v>
      </c>
      <c r="U102" s="117"/>
      <c r="V102" s="118">
        <f>+INDEX('Energy matrix'!C29:N29,1,$D$2)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f t="shared" si="116"/>
        <v>0</v>
      </c>
      <c r="K103" s="18">
        <f t="shared" si="116"/>
        <v>0</v>
      </c>
      <c r="L103" s="18">
        <f t="shared" si="116"/>
        <v>0</v>
      </c>
      <c r="M103" s="18">
        <f t="shared" si="116"/>
        <v>77021.495958348765</v>
      </c>
      <c r="N103" s="18">
        <f t="shared" si="116"/>
        <v>27747</v>
      </c>
      <c r="O103" s="86"/>
      <c r="R103" s="287"/>
      <c r="S103" s="287"/>
      <c r="T103" s="117" t="str">
        <f>'Energy matrix'!B31</f>
        <v>Natural gas</v>
      </c>
      <c r="U103" s="117"/>
      <c r="V103" s="118">
        <f>+INDEX('Energy matrix'!C31:N31,1,$D$2)</f>
        <v>86829.3</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76762.8</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208848.52500000002</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f t="shared" si="127"/>
        <v>21.536999999999999</v>
      </c>
      <c r="I117" s="14">
        <f t="shared" si="127"/>
        <v>78489.357000000004</v>
      </c>
      <c r="J117" s="14">
        <f t="shared" si="127"/>
        <v>0</v>
      </c>
      <c r="K117" s="14">
        <f t="shared" si="127"/>
        <v>0</v>
      </c>
      <c r="L117" s="14">
        <f t="shared" si="127"/>
        <v>0</v>
      </c>
      <c r="M117" s="14">
        <f t="shared" si="127"/>
        <v>0</v>
      </c>
      <c r="N117" s="14">
        <f t="shared" si="127"/>
        <v>0</v>
      </c>
      <c r="O117" s="86"/>
      <c r="T117" s="48" t="s">
        <v>209</v>
      </c>
      <c r="U117" s="48"/>
      <c r="V117" s="126" t="str">
        <f>+INDEX('Energy matrix'!C44:N44,1,$D$2)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f t="shared" si="129"/>
        <v>64.61099999999999</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7123.68</v>
      </c>
      <c r="N120" s="14">
        <f t="shared" si="130"/>
        <v>0</v>
      </c>
      <c r="O120" s="86"/>
      <c r="T120" s="117" t="str">
        <f>'Energy matrix'!B47</f>
        <v>Diesel</v>
      </c>
      <c r="U120" s="117"/>
      <c r="V120" s="118">
        <f>+INDEX('Energy matrix'!C47:N47,1,$D$2)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64113.120000000003</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240.0729552035537</v>
      </c>
      <c r="N122" s="14">
        <f t="shared" si="132"/>
        <v>26801</v>
      </c>
      <c r="O122" s="86"/>
      <c r="T122" s="117" t="str">
        <f>'Energy matrix'!B49</f>
        <v>LPG</v>
      </c>
      <c r="U122" s="117"/>
      <c r="V122" s="118">
        <f>+INDEX('Energy matrix'!C49:N49,1,$D$2)</f>
        <v>86.147999999999996</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f t="shared" si="133"/>
        <v>86.147999999999996</v>
      </c>
      <c r="I123" s="18">
        <f t="shared" si="133"/>
        <v>78489.357000000004</v>
      </c>
      <c r="J123" s="18">
        <f t="shared" si="133"/>
        <v>0</v>
      </c>
      <c r="K123" s="18">
        <f t="shared" si="133"/>
        <v>0</v>
      </c>
      <c r="L123" s="18">
        <f t="shared" si="133"/>
        <v>0</v>
      </c>
      <c r="M123" s="18">
        <f t="shared" si="133"/>
        <v>71476.872955203551</v>
      </c>
      <c r="N123" s="18">
        <f t="shared" si="133"/>
        <v>26801</v>
      </c>
      <c r="O123" s="86"/>
      <c r="T123" s="117" t="str">
        <f>'Energy matrix'!B51</f>
        <v>Natural gas</v>
      </c>
      <c r="U123" s="117"/>
      <c r="V123" s="118">
        <f>+INDEX('Energy matrix'!C51:N51,1,$D$2)</f>
        <v>78489.357000000004</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71236.800000000003</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26801</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188909.68700000001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18"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24"/>
      <c r="M151" s="22">
        <v>0</v>
      </c>
      <c r="N151" s="22"/>
      <c r="O151" s="22">
        <v>0</v>
      </c>
      <c r="P151" s="34"/>
      <c r="Q151" s="34"/>
      <c r="R151" s="25"/>
      <c r="S151" s="25"/>
      <c r="W151" s="285"/>
      <c r="X151" s="285"/>
      <c r="Z151" s="25"/>
      <c r="AA151" s="25"/>
    </row>
    <row r="152" spans="3:27">
      <c r="C152" s="15"/>
      <c r="D152" s="13" t="s">
        <v>536</v>
      </c>
      <c r="E152" s="22">
        <v>0</v>
      </c>
      <c r="F152" s="22">
        <v>0</v>
      </c>
      <c r="G152" s="22">
        <v>1</v>
      </c>
      <c r="H152" s="625">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257.447</v>
      </c>
      <c r="N26" s="322">
        <f>ROUNDUP(BO26/($Z26*$AA26)*N$21*X26,3)</f>
        <v>14.302999999999999</v>
      </c>
      <c r="O26" s="322">
        <f>ROUNDUP(BP26/($Z26*$AA26)*O$21*Y26,3)</f>
        <v>14.302999999999999</v>
      </c>
      <c r="P26" s="322">
        <f t="shared" ref="P26:P62" si="1">M26</f>
        <v>257.447</v>
      </c>
      <c r="Q26" s="322">
        <f t="shared" ref="Q26:Q62" si="2">N26</f>
        <v>14.302999999999999</v>
      </c>
      <c r="R26" s="322">
        <f t="shared" ref="R26:R62" si="3">O26</f>
        <v>14.302999999999999</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4.3291109315013143</v>
      </c>
      <c r="AJ26" s="285"/>
      <c r="AK26" s="544"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44"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44" t="str">
        <f ca="1">AK26</f>
        <v>IWDPH</v>
      </c>
      <c r="BL26" s="350" t="s">
        <v>97</v>
      </c>
      <c r="BM26" s="313">
        <f>I117/1000</f>
        <v>4.5569449999999998</v>
      </c>
      <c r="BN26" s="310">
        <f>BM26*$AN$23</f>
        <v>4.1012504999999999</v>
      </c>
      <c r="BO26" s="311">
        <f>BM26*$BB$23</f>
        <v>0.22784725</v>
      </c>
      <c r="BP26" s="311">
        <f>BM26*$BC$23</f>
        <v>0.22784725</v>
      </c>
      <c r="BQ26" s="313">
        <f>IFERROR(M26*$Z26*$AA26/M$21,0)</f>
        <v>4.0192319762376245</v>
      </c>
      <c r="BR26" s="310">
        <f>IFERROR(N26*$Z26*$AA26/N$21,0)</f>
        <v>0.22329673663366337</v>
      </c>
      <c r="BS26" s="357">
        <f>IFERROR(O26*$Z26*$AA26/O$21,0)</f>
        <v>0.22329673663366337</v>
      </c>
      <c r="BT26" s="313">
        <f>IFERROR(BQ26/W26,0)</f>
        <v>4.101257118609821</v>
      </c>
      <c r="BU26" s="310">
        <f>IFERROR(BR26/X26,0)</f>
        <v>0.22785381289149323</v>
      </c>
      <c r="BV26" s="357">
        <f>IFERROR(BS26/Y26,0)</f>
        <v>0.22785381289149323</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54">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73" t="s">
        <v>101</v>
      </c>
      <c r="AM32" s="574">
        <f>E77/1000</f>
        <v>0.92800400000000005</v>
      </c>
      <c r="AN32" s="575">
        <f t="shared" si="47"/>
        <v>0.83520360000000005</v>
      </c>
      <c r="AO32" s="576">
        <f>AM32*$AO$23</f>
        <v>4.6400200000000003E-2</v>
      </c>
      <c r="AP32" s="576">
        <f t="shared" si="49"/>
        <v>4.6400200000000003E-2</v>
      </c>
      <c r="AQ32" s="596">
        <f t="shared" si="28"/>
        <v>0.77757820579420589</v>
      </c>
      <c r="AR32" s="576">
        <f t="shared" si="29"/>
        <v>4.3208415584415592E-2</v>
      </c>
      <c r="AS32" s="577">
        <f t="shared" si="30"/>
        <v>4.3208415584415592E-2</v>
      </c>
      <c r="AT32" s="574">
        <f t="shared" si="50"/>
        <v>0.83520752502062934</v>
      </c>
      <c r="AU32" s="575">
        <f t="shared" si="50"/>
        <v>4.6410757877997415E-2</v>
      </c>
      <c r="AV32" s="580">
        <f t="shared" si="50"/>
        <v>4.6410757877997415E-2</v>
      </c>
      <c r="AW32" s="285"/>
      <c r="AX32" s="290"/>
      <c r="AY32" s="573" t="s">
        <v>101</v>
      </c>
      <c r="AZ32" s="574">
        <f>E97/1000</f>
        <v>4.0735E-2</v>
      </c>
      <c r="BA32" s="575">
        <f>AZ32*$AN$23</f>
        <v>3.66615E-2</v>
      </c>
      <c r="BB32" s="576">
        <f t="shared" ref="BB32:BB34" si="51">AZ32*$BB$23</f>
        <v>2.0367499999999999E-3</v>
      </c>
      <c r="BC32" s="576">
        <f t="shared" ref="BC32:BC34" si="52">AZ32*$BC$23</f>
        <v>2.0367499999999999E-3</v>
      </c>
      <c r="BD32" s="574">
        <f>IFERROR(J32*$Z32*AA32/J$21,0)</f>
        <v>3.4143184158415836E-2</v>
      </c>
      <c r="BE32" s="575">
        <f t="shared" si="34"/>
        <v>1.9046495049504951E-3</v>
      </c>
      <c r="BF32" s="580">
        <f t="shared" si="35"/>
        <v>1.9046495049504951E-3</v>
      </c>
      <c r="BG32" s="574">
        <f t="shared" si="15"/>
        <v>3.6673667194861266E-2</v>
      </c>
      <c r="BH32" s="575">
        <f t="shared" si="16"/>
        <v>2.0458104242217995E-3</v>
      </c>
      <c r="BI32" s="580">
        <f t="shared" si="17"/>
        <v>2.0458104242217995E-3</v>
      </c>
      <c r="BJ32" s="285"/>
      <c r="BK32" s="290"/>
      <c r="BL32" s="573" t="s">
        <v>101</v>
      </c>
      <c r="BM32" s="574">
        <f>E117/1000</f>
        <v>4.0343000000000004E-2</v>
      </c>
      <c r="BN32" s="575">
        <f>BM32*$AN$23</f>
        <v>3.6308700000000006E-2</v>
      </c>
      <c r="BO32" s="576">
        <f t="shared" ref="BO32:BO62" si="53">BM32*$BB$23</f>
        <v>2.0171500000000001E-3</v>
      </c>
      <c r="BP32" s="576">
        <f t="shared" ref="BP32:BP62" si="54">BM32*$BC$23</f>
        <v>2.0171500000000001E-3</v>
      </c>
      <c r="BQ32" s="574">
        <f t="shared" si="38"/>
        <v>3.3815334653465347E-2</v>
      </c>
      <c r="BR32" s="575">
        <f t="shared" si="39"/>
        <v>1.8890376237623763E-3</v>
      </c>
      <c r="BS32" s="580">
        <f t="shared" si="40"/>
        <v>1.8890376237623763E-3</v>
      </c>
      <c r="BT32" s="574">
        <f t="shared" si="41"/>
        <v>3.632151949888867E-2</v>
      </c>
      <c r="BU32" s="575">
        <f t="shared" si="42"/>
        <v>2.029041486318342E-3</v>
      </c>
      <c r="BV32" s="580">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0.60899999999999999</v>
      </c>
      <c r="N33" s="322">
        <f t="shared" si="25"/>
        <v>3.4000000000000002E-2</v>
      </c>
      <c r="O33" s="322">
        <f t="shared" si="26"/>
        <v>3.4000000000000002E-2</v>
      </c>
      <c r="P33" s="322">
        <f t="shared" si="1"/>
        <v>0.60899999999999999</v>
      </c>
      <c r="Q33" s="322">
        <f t="shared" si="2"/>
        <v>3.4000000000000002E-2</v>
      </c>
      <c r="R33" s="322">
        <f t="shared" si="3"/>
        <v>3.4000000000000002E-2</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1.0243305718326936E-2</v>
      </c>
      <c r="AJ33" s="285"/>
      <c r="AK33" s="290"/>
      <c r="AL33" s="573" t="s">
        <v>53</v>
      </c>
      <c r="AM33" s="574">
        <f>H77/1000</f>
        <v>1.1507749999999999E-2</v>
      </c>
      <c r="AN33" s="575">
        <f t="shared" si="47"/>
        <v>1.0356974999999999E-2</v>
      </c>
      <c r="AO33" s="576">
        <f t="shared" si="48"/>
        <v>5.7538749999999997E-4</v>
      </c>
      <c r="AP33" s="576">
        <f t="shared" si="49"/>
        <v>5.7538749999999997E-4</v>
      </c>
      <c r="AQ33" s="596">
        <f t="shared" si="28"/>
        <v>1.0160199800199802E-2</v>
      </c>
      <c r="AR33" s="576">
        <f t="shared" si="29"/>
        <v>5.6708091908091931E-4</v>
      </c>
      <c r="AS33" s="577">
        <f t="shared" si="30"/>
        <v>5.6708091908091931E-4</v>
      </c>
      <c r="AT33" s="574">
        <f t="shared" si="50"/>
        <v>1.0367550816530411E-2</v>
      </c>
      <c r="AU33" s="575">
        <f t="shared" si="50"/>
        <v>5.7865399906216258E-4</v>
      </c>
      <c r="AV33" s="580">
        <f t="shared" si="50"/>
        <v>5.7865399906216258E-4</v>
      </c>
      <c r="AW33" s="285"/>
      <c r="AX33" s="290"/>
      <c r="AY33" s="573" t="s">
        <v>53</v>
      </c>
      <c r="AZ33" s="574">
        <f>H97/1000</f>
        <v>1.1341499999999999E-2</v>
      </c>
      <c r="BA33" s="575">
        <f>AZ33*$AN$23</f>
        <v>1.0207349999999999E-2</v>
      </c>
      <c r="BB33" s="576">
        <f t="shared" si="51"/>
        <v>5.67075E-4</v>
      </c>
      <c r="BC33" s="576">
        <f t="shared" si="52"/>
        <v>5.67075E-4</v>
      </c>
      <c r="BD33" s="574">
        <f t="shared" si="33"/>
        <v>1.000721584158416E-2</v>
      </c>
      <c r="BE33" s="575">
        <f t="shared" si="34"/>
        <v>5.6202772277227735E-4</v>
      </c>
      <c r="BF33" s="580">
        <f t="shared" si="35"/>
        <v>5.6202772277227735E-4</v>
      </c>
      <c r="BG33" s="574">
        <f t="shared" si="15"/>
        <v>1.0211444736310367E-2</v>
      </c>
      <c r="BH33" s="575">
        <f t="shared" si="16"/>
        <v>5.734976762982422E-4</v>
      </c>
      <c r="BI33" s="580">
        <f t="shared" si="17"/>
        <v>5.734976762982422E-4</v>
      </c>
      <c r="BJ33" s="285"/>
      <c r="BK33" s="290"/>
      <c r="BL33" s="573" t="s">
        <v>53</v>
      </c>
      <c r="BM33" s="574">
        <f>H117/1000</f>
        <v>1.07685E-2</v>
      </c>
      <c r="BN33" s="575">
        <f>BM33*$AN$23</f>
        <v>9.6916500000000013E-3</v>
      </c>
      <c r="BO33" s="576">
        <f t="shared" si="53"/>
        <v>5.3842500000000004E-4</v>
      </c>
      <c r="BP33" s="576">
        <f t="shared" si="54"/>
        <v>5.3842500000000004E-4</v>
      </c>
      <c r="BQ33" s="574">
        <f t="shared" si="38"/>
        <v>9.5076356435643567E-3</v>
      </c>
      <c r="BR33" s="575">
        <f t="shared" si="39"/>
        <v>5.3080396039603965E-4</v>
      </c>
      <c r="BS33" s="580">
        <f t="shared" si="40"/>
        <v>5.3080396039603965E-4</v>
      </c>
      <c r="BT33" s="574">
        <f t="shared" si="41"/>
        <v>9.7016690240452619E-3</v>
      </c>
      <c r="BU33" s="575">
        <f t="shared" si="42"/>
        <v>5.4163669428167313E-4</v>
      </c>
      <c r="BV33" s="580">
        <f t="shared" si="43"/>
        <v>5.4163669428167313E-4</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IWDCO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IWDCO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IWDCO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IWDSH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IWDSH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IWDSH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136.94200000000001</v>
      </c>
      <c r="N56" s="321">
        <f t="shared" si="25"/>
        <v>0</v>
      </c>
      <c r="O56" s="321">
        <f t="shared" si="26"/>
        <v>0</v>
      </c>
      <c r="P56" s="321">
        <f t="shared" si="1"/>
        <v>136.94200000000001</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2.2270023267326731</v>
      </c>
      <c r="AJ56" s="285"/>
      <c r="AK56" s="356"/>
      <c r="AL56" s="573" t="s">
        <v>103</v>
      </c>
      <c r="AM56" s="574">
        <f>N82/1000</f>
        <v>4.1840000000000002</v>
      </c>
      <c r="AN56" s="627">
        <f>AM56</f>
        <v>4.1840000000000002</v>
      </c>
      <c r="AO56" s="628">
        <v>0</v>
      </c>
      <c r="AP56" s="628">
        <v>0</v>
      </c>
      <c r="AQ56" s="596">
        <f t="shared" si="28"/>
        <v>4.0166499020979032</v>
      </c>
      <c r="AR56" s="576">
        <f t="shared" si="29"/>
        <v>0</v>
      </c>
      <c r="AS56" s="577">
        <f t="shared" si="30"/>
        <v>0</v>
      </c>
      <c r="AT56" s="574">
        <f t="shared" si="85"/>
        <v>4.1840103146853158</v>
      </c>
      <c r="AU56" s="575">
        <f t="shared" si="85"/>
        <v>0</v>
      </c>
      <c r="AV56" s="580">
        <f t="shared" si="85"/>
        <v>0</v>
      </c>
      <c r="AW56" s="285"/>
      <c r="AX56" s="356"/>
      <c r="AY56" s="573" t="s">
        <v>103</v>
      </c>
      <c r="AZ56" s="574">
        <f>N102/1000</f>
        <v>2.8380000000000001</v>
      </c>
      <c r="BA56" s="627">
        <f>AZ56</f>
        <v>2.8380000000000001</v>
      </c>
      <c r="BB56" s="628">
        <v>0</v>
      </c>
      <c r="BC56" s="628">
        <v>0</v>
      </c>
      <c r="BD56" s="574">
        <f t="shared" si="33"/>
        <v>2.7244918336633663</v>
      </c>
      <c r="BE56" s="575">
        <f t="shared" si="34"/>
        <v>0</v>
      </c>
      <c r="BF56" s="580">
        <f t="shared" si="35"/>
        <v>0</v>
      </c>
      <c r="BG56" s="574">
        <f t="shared" si="62"/>
        <v>2.8380123267326733</v>
      </c>
      <c r="BH56" s="575">
        <f t="shared" si="63"/>
        <v>0</v>
      </c>
      <c r="BI56" s="580">
        <f t="shared" si="64"/>
        <v>0</v>
      </c>
      <c r="BJ56" s="285"/>
      <c r="BK56" s="356"/>
      <c r="BL56" s="573" t="s">
        <v>103</v>
      </c>
      <c r="BM56" s="574">
        <f>N122/1000</f>
        <v>2.2269999999999999</v>
      </c>
      <c r="BN56" s="627">
        <f>BM56</f>
        <v>2.2269999999999999</v>
      </c>
      <c r="BO56" s="628">
        <v>0</v>
      </c>
      <c r="BP56" s="628">
        <v>0</v>
      </c>
      <c r="BQ56" s="574">
        <f t="shared" si="38"/>
        <v>2.1379222336633665</v>
      </c>
      <c r="BR56" s="575">
        <f t="shared" si="39"/>
        <v>0</v>
      </c>
      <c r="BS56" s="580">
        <f t="shared" si="40"/>
        <v>0</v>
      </c>
      <c r="BT56" s="574">
        <f t="shared" si="65"/>
        <v>2.2270023267326735</v>
      </c>
      <c r="BU56" s="575">
        <f t="shared" si="66"/>
        <v>0</v>
      </c>
      <c r="BV56" s="580">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3.0339999999999998</v>
      </c>
      <c r="N58" s="324">
        <f t="shared" si="25"/>
        <v>0.16900000000000001</v>
      </c>
      <c r="O58" s="324">
        <f t="shared" si="26"/>
        <v>0.16900000000000001</v>
      </c>
      <c r="P58" s="324">
        <f t="shared" si="1"/>
        <v>3.0339999999999998</v>
      </c>
      <c r="Q58" s="324">
        <f t="shared" si="2"/>
        <v>0.16900000000000001</v>
      </c>
      <c r="R58" s="324">
        <f t="shared" si="3"/>
        <v>0.16900000000000001</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5.2636689942678484E-2</v>
      </c>
      <c r="AJ58" s="285"/>
      <c r="AK58" s="355"/>
      <c r="AL58" s="581" t="s">
        <v>61</v>
      </c>
      <c r="AM58" s="574">
        <f>M82/1000</f>
        <v>5.4716445723065853E-2</v>
      </c>
      <c r="AN58" s="575">
        <f t="shared" si="77"/>
        <v>4.9244801150759271E-2</v>
      </c>
      <c r="AO58" s="576">
        <f t="shared" si="78"/>
        <v>2.7358222861532926E-3</v>
      </c>
      <c r="AP58" s="576">
        <f t="shared" si="79"/>
        <v>2.7358222861532926E-3</v>
      </c>
      <c r="AQ58" s="596">
        <f t="shared" si="28"/>
        <v>4.6784175824175829E-2</v>
      </c>
      <c r="AR58" s="576">
        <f t="shared" si="29"/>
        <v>2.5991208791208793E-3</v>
      </c>
      <c r="AS58" s="577">
        <f t="shared" si="30"/>
        <v>2.5991208791208793E-3</v>
      </c>
      <c r="AT58" s="574">
        <f t="shared" ref="AT58:AV62" si="87">IFERROR(AQ58/W58,0)</f>
        <v>4.9246500867553507E-2</v>
      </c>
      <c r="AU58" s="575">
        <f t="shared" si="87"/>
        <v>2.7359167148640834E-3</v>
      </c>
      <c r="AV58" s="580">
        <f t="shared" si="87"/>
        <v>2.7359167148640834E-3</v>
      </c>
      <c r="AW58" s="285"/>
      <c r="AX58" s="355"/>
      <c r="AY58" s="581" t="s">
        <v>61</v>
      </c>
      <c r="AZ58" s="574">
        <f>M102/1000</f>
        <v>5.4498065230157836E-2</v>
      </c>
      <c r="BA58" s="575">
        <f>AZ58*$AN$23</f>
        <v>4.9048258707142051E-2</v>
      </c>
      <c r="BB58" s="576">
        <f t="shared" si="60"/>
        <v>2.724903261507892E-3</v>
      </c>
      <c r="BC58" s="576">
        <f t="shared" si="61"/>
        <v>2.724903261507892E-3</v>
      </c>
      <c r="BD58" s="574">
        <f t="shared" si="33"/>
        <v>4.6601465346534657E-2</v>
      </c>
      <c r="BE58" s="575">
        <f t="shared" si="34"/>
        <v>2.5915722772277229E-3</v>
      </c>
      <c r="BF58" s="580">
        <f t="shared" si="35"/>
        <v>2.5915722772277229E-3</v>
      </c>
      <c r="BG58" s="574">
        <f t="shared" ref="BG58:BI62" si="88">IFERROR(BD58/W58,0)</f>
        <v>4.9054174048983851E-2</v>
      </c>
      <c r="BH58" s="575">
        <f t="shared" si="88"/>
        <v>2.7279708181344453E-3</v>
      </c>
      <c r="BI58" s="580">
        <f t="shared" si="88"/>
        <v>2.7279708181344453E-3</v>
      </c>
      <c r="BJ58" s="285"/>
      <c r="BK58" s="355"/>
      <c r="BL58" s="581" t="s">
        <v>61</v>
      </c>
      <c r="BM58" s="574">
        <f>M122/1000</f>
        <v>5.5383719451395926E-2</v>
      </c>
      <c r="BN58" s="575">
        <f>BM58*$AN$23</f>
        <v>4.9845347506256334E-2</v>
      </c>
      <c r="BO58" s="576">
        <f t="shared" si="53"/>
        <v>2.7691859725697964E-3</v>
      </c>
      <c r="BP58" s="576">
        <f t="shared" si="54"/>
        <v>2.7691859725697964E-3</v>
      </c>
      <c r="BQ58" s="574">
        <f t="shared" si="38"/>
        <v>4.736644752475247E-2</v>
      </c>
      <c r="BR58" s="575">
        <f t="shared" si="39"/>
        <v>2.6384079207920795E-3</v>
      </c>
      <c r="BS58" s="580">
        <f t="shared" si="40"/>
        <v>2.6384079207920795E-3</v>
      </c>
      <c r="BT58" s="574">
        <f t="shared" ref="BT58:BV62" si="89">IFERROR(BQ58/W58,0)</f>
        <v>4.9859418447107867E-2</v>
      </c>
      <c r="BU58" s="575">
        <f t="shared" si="89"/>
        <v>2.7772714955706101E-3</v>
      </c>
      <c r="BV58" s="580">
        <f t="shared" si="89"/>
        <v>2.7772714955706101E-3</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94.740000000000009</v>
      </c>
      <c r="N59" s="323">
        <f t="shared" si="25"/>
        <v>5.2640000000000002</v>
      </c>
      <c r="O59" s="323">
        <f t="shared" si="26"/>
        <v>5.2640000000000002</v>
      </c>
      <c r="P59" s="323">
        <f t="shared" si="1"/>
        <v>94.740000000000009</v>
      </c>
      <c r="Q59" s="323">
        <f t="shared" si="2"/>
        <v>5.2640000000000002</v>
      </c>
      <c r="R59" s="323">
        <f t="shared" si="3"/>
        <v>5.2640000000000002</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1.5612505663366341</v>
      </c>
      <c r="AJ59" s="285"/>
      <c r="AK59" s="545" t="str">
        <f ca="1">F59</f>
        <v>IWDLA</v>
      </c>
      <c r="AL59" s="592" t="s">
        <v>61</v>
      </c>
      <c r="AM59" s="593">
        <f>M80/1000</f>
        <v>1.6236000000000002</v>
      </c>
      <c r="AN59" s="594">
        <f t="shared" si="77"/>
        <v>1.4612400000000001</v>
      </c>
      <c r="AO59" s="597">
        <f t="shared" si="78"/>
        <v>8.1180000000000016E-2</v>
      </c>
      <c r="AP59" s="597">
        <f t="shared" si="79"/>
        <v>8.1180000000000016E-2</v>
      </c>
      <c r="AQ59" s="598">
        <f t="shared" si="28"/>
        <v>1.4612415104895109</v>
      </c>
      <c r="AR59" s="597">
        <f t="shared" si="29"/>
        <v>8.1187084915084931E-2</v>
      </c>
      <c r="AS59" s="599">
        <f t="shared" si="30"/>
        <v>8.1187084915084931E-2</v>
      </c>
      <c r="AT59" s="593">
        <f t="shared" si="87"/>
        <v>1.4612415104895109</v>
      </c>
      <c r="AU59" s="594">
        <f t="shared" si="87"/>
        <v>8.1187084915084931E-2</v>
      </c>
      <c r="AV59" s="595">
        <f t="shared" si="87"/>
        <v>8.1187084915084931E-2</v>
      </c>
      <c r="AW59" s="285"/>
      <c r="AX59" s="545" t="str">
        <f t="shared" ca="1" si="12"/>
        <v>IWDLA</v>
      </c>
      <c r="AY59" s="592" t="s">
        <v>61</v>
      </c>
      <c r="AZ59" s="593">
        <f>M100/1000</f>
        <v>1.6171200000000001</v>
      </c>
      <c r="BA59" s="594">
        <f>AZ59*$AN$23</f>
        <v>1.455408</v>
      </c>
      <c r="BB59" s="597">
        <f t="shared" si="60"/>
        <v>8.0856000000000011E-2</v>
      </c>
      <c r="BC59" s="597">
        <f t="shared" si="61"/>
        <v>8.0856000000000011E-2</v>
      </c>
      <c r="BD59" s="593">
        <f t="shared" si="33"/>
        <v>1.4554176237623764</v>
      </c>
      <c r="BE59" s="594">
        <f t="shared" si="34"/>
        <v>8.0869544554455455E-2</v>
      </c>
      <c r="BF59" s="595">
        <f t="shared" si="35"/>
        <v>8.0869544554455455E-2</v>
      </c>
      <c r="BG59" s="593">
        <f t="shared" si="88"/>
        <v>1.4554176237623764</v>
      </c>
      <c r="BH59" s="594">
        <f t="shared" si="88"/>
        <v>8.0869544554455455E-2</v>
      </c>
      <c r="BI59" s="595">
        <f t="shared" si="88"/>
        <v>8.0869544554455455E-2</v>
      </c>
      <c r="BJ59" s="285"/>
      <c r="BK59" s="545" t="str">
        <f ca="1">AK59</f>
        <v>IWDLA</v>
      </c>
      <c r="BL59" s="592" t="s">
        <v>61</v>
      </c>
      <c r="BM59" s="593">
        <f>M120/1000</f>
        <v>1.6434000000000002</v>
      </c>
      <c r="BN59" s="594">
        <f>BM59*$AN$23</f>
        <v>1.4790600000000003</v>
      </c>
      <c r="BO59" s="597">
        <f t="shared" si="53"/>
        <v>8.2170000000000021E-2</v>
      </c>
      <c r="BP59" s="597">
        <f t="shared" si="54"/>
        <v>8.2170000000000021E-2</v>
      </c>
      <c r="BQ59" s="593">
        <f t="shared" si="38"/>
        <v>1.4790696237623764</v>
      </c>
      <c r="BR59" s="594">
        <f t="shared" si="39"/>
        <v>8.218094257425744E-2</v>
      </c>
      <c r="BS59" s="595">
        <f t="shared" si="40"/>
        <v>8.218094257425744E-2</v>
      </c>
      <c r="BT59" s="593">
        <f t="shared" si="89"/>
        <v>1.4790696237623764</v>
      </c>
      <c r="BU59" s="594">
        <f t="shared" si="89"/>
        <v>8.218094257425744E-2</v>
      </c>
      <c r="BV59" s="595">
        <f t="shared" si="89"/>
        <v>8.218094257425744E-2</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852.65499999999997</v>
      </c>
      <c r="N60" s="324">
        <f t="shared" si="25"/>
        <v>47.37</v>
      </c>
      <c r="O60" s="324">
        <f t="shared" si="26"/>
        <v>47.37</v>
      </c>
      <c r="P60" s="324">
        <f t="shared" si="1"/>
        <v>852.65499999999997</v>
      </c>
      <c r="Q60" s="324">
        <f t="shared" si="2"/>
        <v>47.37</v>
      </c>
      <c r="R60" s="324">
        <f t="shared" si="3"/>
        <v>47.37</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14.051083366336634</v>
      </c>
      <c r="AJ60" s="285"/>
      <c r="AK60" s="550" t="str">
        <f ca="1">F60</f>
        <v>IWDEM</v>
      </c>
      <c r="AL60" s="592" t="s">
        <v>61</v>
      </c>
      <c r="AM60" s="593">
        <f>M81/1000</f>
        <v>14.612399999999999</v>
      </c>
      <c r="AN60" s="594">
        <f t="shared" si="77"/>
        <v>13.151159999999999</v>
      </c>
      <c r="AO60" s="597">
        <f t="shared" si="78"/>
        <v>0.73062000000000005</v>
      </c>
      <c r="AP60" s="597">
        <f t="shared" si="79"/>
        <v>0.73062000000000005</v>
      </c>
      <c r="AQ60" s="598">
        <f t="shared" si="28"/>
        <v>13.151173594405597</v>
      </c>
      <c r="AR60" s="597">
        <f t="shared" si="29"/>
        <v>0.73062075524475534</v>
      </c>
      <c r="AS60" s="599">
        <f t="shared" si="30"/>
        <v>0.73062075524475534</v>
      </c>
      <c r="AT60" s="593">
        <f t="shared" si="87"/>
        <v>13.151173594405597</v>
      </c>
      <c r="AU60" s="594">
        <f t="shared" si="87"/>
        <v>0.73062075524475534</v>
      </c>
      <c r="AV60" s="595">
        <f t="shared" si="87"/>
        <v>0.73062075524475534</v>
      </c>
      <c r="AW60" s="285"/>
      <c r="AX60" s="550" t="str">
        <f t="shared" ca="1" si="12"/>
        <v>IWDEM</v>
      </c>
      <c r="AY60" s="592" t="s">
        <v>61</v>
      </c>
      <c r="AZ60" s="593">
        <f>M101/1000</f>
        <v>14.554080000000003</v>
      </c>
      <c r="BA60" s="594">
        <f>AZ60*$AN$23</f>
        <v>13.098672000000002</v>
      </c>
      <c r="BB60" s="597">
        <f t="shared" si="60"/>
        <v>0.72770400000000013</v>
      </c>
      <c r="BC60" s="597">
        <f t="shared" si="61"/>
        <v>0.72770400000000013</v>
      </c>
      <c r="BD60" s="593">
        <f t="shared" si="33"/>
        <v>13.098680554455447</v>
      </c>
      <c r="BE60" s="594">
        <f t="shared" si="34"/>
        <v>0.72771661782178221</v>
      </c>
      <c r="BF60" s="595">
        <f t="shared" si="35"/>
        <v>0.72771661782178221</v>
      </c>
      <c r="BG60" s="593">
        <f t="shared" si="88"/>
        <v>13.098680554455447</v>
      </c>
      <c r="BH60" s="594">
        <f t="shared" si="88"/>
        <v>0.72771661782178221</v>
      </c>
      <c r="BI60" s="595">
        <f t="shared" si="88"/>
        <v>0.72771661782178221</v>
      </c>
      <c r="BJ60" s="285"/>
      <c r="BK60" s="550" t="str">
        <f ca="1">AK60</f>
        <v>IWDEM</v>
      </c>
      <c r="BL60" s="592" t="s">
        <v>61</v>
      </c>
      <c r="BM60" s="593">
        <f>M121/1000</f>
        <v>14.7906</v>
      </c>
      <c r="BN60" s="594">
        <f>BM60*$AN$23</f>
        <v>13.311539999999999</v>
      </c>
      <c r="BO60" s="597">
        <f t="shared" si="53"/>
        <v>0.73953000000000002</v>
      </c>
      <c r="BP60" s="597">
        <f t="shared" si="54"/>
        <v>0.73953000000000002</v>
      </c>
      <c r="BQ60" s="593">
        <f t="shared" si="38"/>
        <v>13.311548554455447</v>
      </c>
      <c r="BR60" s="594">
        <f t="shared" si="39"/>
        <v>0.73953481188118808</v>
      </c>
      <c r="BS60" s="595">
        <f t="shared" si="40"/>
        <v>0.73953481188118808</v>
      </c>
      <c r="BT60" s="593">
        <f t="shared" si="89"/>
        <v>13.311548554455447</v>
      </c>
      <c r="BU60" s="594">
        <f t="shared" si="89"/>
        <v>0.73953481188118808</v>
      </c>
      <c r="BV60" s="595">
        <f t="shared" si="89"/>
        <v>0.73953481188118808</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50" t="str">
        <f ca="1">F61</f>
        <v>IWDTF</v>
      </c>
      <c r="AL61" s="592" t="s">
        <v>59</v>
      </c>
      <c r="AM61" s="593">
        <f>F79/1000</f>
        <v>1.7586949999999999</v>
      </c>
      <c r="AN61" s="594">
        <f t="shared" si="77"/>
        <v>1.5828255</v>
      </c>
      <c r="AO61" s="597">
        <f t="shared" si="78"/>
        <v>8.7934750000000006E-2</v>
      </c>
      <c r="AP61" s="597">
        <f t="shared" si="79"/>
        <v>8.7934750000000006E-2</v>
      </c>
      <c r="AQ61" s="598">
        <f t="shared" si="28"/>
        <v>1.5828331108891112</v>
      </c>
      <c r="AR61" s="597">
        <f t="shared" si="29"/>
        <v>8.7944799200799215E-2</v>
      </c>
      <c r="AS61" s="599">
        <f t="shared" si="30"/>
        <v>8.7944799200799215E-2</v>
      </c>
      <c r="AT61" s="593">
        <f t="shared" si="87"/>
        <v>1.5828331108891112</v>
      </c>
      <c r="AU61" s="594">
        <f t="shared" si="87"/>
        <v>8.7944799200799215E-2</v>
      </c>
      <c r="AV61" s="595">
        <f t="shared" si="87"/>
        <v>8.7944799200799215E-2</v>
      </c>
      <c r="AW61" s="285"/>
      <c r="AX61" s="550" t="str">
        <f t="shared" ca="1" si="12"/>
        <v>IWDTF</v>
      </c>
      <c r="AY61" s="592" t="s">
        <v>59</v>
      </c>
      <c r="AZ61" s="593">
        <f>F99/1000</f>
        <v>0.47095399999999998</v>
      </c>
      <c r="BA61" s="594">
        <f>AZ61*$AN$23</f>
        <v>0.42385859999999997</v>
      </c>
      <c r="BB61" s="597">
        <f t="shared" si="60"/>
        <v>2.3547700000000001E-2</v>
      </c>
      <c r="BC61" s="597">
        <f t="shared" si="61"/>
        <v>2.3547700000000001E-2</v>
      </c>
      <c r="BD61" s="593">
        <f t="shared" si="33"/>
        <v>0.42386257425742579</v>
      </c>
      <c r="BE61" s="594">
        <f t="shared" si="34"/>
        <v>2.3558328712871286E-2</v>
      </c>
      <c r="BF61" s="595">
        <f t="shared" si="35"/>
        <v>2.3558328712871286E-2</v>
      </c>
      <c r="BG61" s="593">
        <f t="shared" si="88"/>
        <v>0.42386257425742579</v>
      </c>
      <c r="BH61" s="594">
        <f t="shared" si="88"/>
        <v>2.3558328712871286E-2</v>
      </c>
      <c r="BI61" s="595">
        <f t="shared" si="88"/>
        <v>2.3558328712871286E-2</v>
      </c>
      <c r="BJ61" s="285"/>
      <c r="BK61" s="550" t="str">
        <f ca="1">AK61</f>
        <v>IWDTF</v>
      </c>
      <c r="BL61" s="592" t="s">
        <v>59</v>
      </c>
      <c r="BM61" s="593">
        <f>F119/1000</f>
        <v>0.55805100000000007</v>
      </c>
      <c r="BN61" s="594">
        <f>BM61*$AN$23</f>
        <v>0.50224590000000013</v>
      </c>
      <c r="BO61" s="597">
        <f t="shared" si="53"/>
        <v>2.7902550000000005E-2</v>
      </c>
      <c r="BP61" s="597">
        <f t="shared" si="54"/>
        <v>2.7902550000000005E-2</v>
      </c>
      <c r="BQ61" s="593">
        <f t="shared" si="38"/>
        <v>0.50224982970297027</v>
      </c>
      <c r="BR61" s="594">
        <f t="shared" si="39"/>
        <v>2.7914043564356436E-2</v>
      </c>
      <c r="BS61" s="595">
        <f t="shared" si="40"/>
        <v>2.7914043564356436E-2</v>
      </c>
      <c r="BT61" s="593">
        <f t="shared" si="89"/>
        <v>0.50224982970297027</v>
      </c>
      <c r="BU61" s="594">
        <f t="shared" si="89"/>
        <v>2.7914043564356436E-2</v>
      </c>
      <c r="BV61" s="595">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f t="shared" si="24"/>
        <v>1.863</v>
      </c>
      <c r="N62" s="323">
        <f t="shared" si="25"/>
        <v>0.104</v>
      </c>
      <c r="O62" s="323">
        <f t="shared" si="26"/>
        <v>0.104</v>
      </c>
      <c r="P62" s="323">
        <f t="shared" si="1"/>
        <v>1.863</v>
      </c>
      <c r="Q62" s="323">
        <f t="shared" si="2"/>
        <v>0.104</v>
      </c>
      <c r="R62" s="323">
        <f t="shared" si="3"/>
        <v>0.104</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3.0708570297029704E-2</v>
      </c>
      <c r="AJ62" s="285"/>
      <c r="AK62" s="550" t="str">
        <f ca="1">F62</f>
        <v>IWDFL</v>
      </c>
      <c r="AL62" s="546" t="s">
        <v>53</v>
      </c>
      <c r="AM62" s="547">
        <f>H79/1000</f>
        <v>3.4523249999999998E-2</v>
      </c>
      <c r="AN62" s="548">
        <f t="shared" si="77"/>
        <v>3.1070924999999999E-2</v>
      </c>
      <c r="AO62" s="549">
        <f t="shared" si="78"/>
        <v>1.7261625E-3</v>
      </c>
      <c r="AP62" s="549">
        <f t="shared" si="79"/>
        <v>1.7261625E-3</v>
      </c>
      <c r="AQ62" s="559">
        <f t="shared" si="28"/>
        <v>3.1079184815184818E-2</v>
      </c>
      <c r="AR62" s="549">
        <f t="shared" si="29"/>
        <v>1.732747252747253E-3</v>
      </c>
      <c r="AS62" s="555">
        <f t="shared" si="30"/>
        <v>1.732747252747253E-3</v>
      </c>
      <c r="AT62" s="560">
        <f t="shared" si="87"/>
        <v>3.1079184815184818E-2</v>
      </c>
      <c r="AU62" s="551">
        <f t="shared" si="87"/>
        <v>1.732747252747253E-3</v>
      </c>
      <c r="AV62" s="552">
        <f t="shared" si="87"/>
        <v>1.732747252747253E-3</v>
      </c>
      <c r="AW62" s="285"/>
      <c r="AX62" s="550" t="str">
        <f t="shared" ca="1" si="12"/>
        <v>IWDFL</v>
      </c>
      <c r="AY62" s="546" t="s">
        <v>53</v>
      </c>
      <c r="AZ62" s="547">
        <f>H99/1000</f>
        <v>3.4024500000000006E-2</v>
      </c>
      <c r="BA62" s="548">
        <f>AZ62*$AN$23</f>
        <v>3.0622050000000005E-2</v>
      </c>
      <c r="BB62" s="549">
        <f t="shared" si="60"/>
        <v>1.7012250000000004E-3</v>
      </c>
      <c r="BC62" s="549">
        <f t="shared" si="61"/>
        <v>1.7012250000000004E-3</v>
      </c>
      <c r="BD62" s="560">
        <f t="shared" si="33"/>
        <v>3.0630510891089112E-2</v>
      </c>
      <c r="BE62" s="551">
        <f t="shared" si="34"/>
        <v>1.7016950495049505E-3</v>
      </c>
      <c r="BF62" s="552">
        <f t="shared" si="35"/>
        <v>1.7016950495049505E-3</v>
      </c>
      <c r="BG62" s="560">
        <f t="shared" si="88"/>
        <v>3.0630510891089112E-2</v>
      </c>
      <c r="BH62" s="551">
        <f t="shared" si="88"/>
        <v>1.7016950495049505E-3</v>
      </c>
      <c r="BI62" s="552">
        <f t="shared" si="88"/>
        <v>1.7016950495049505E-3</v>
      </c>
      <c r="BJ62" s="285"/>
      <c r="BK62" s="550" t="str">
        <f ca="1">AK62</f>
        <v>IWDFL</v>
      </c>
      <c r="BL62" s="546" t="s">
        <v>53</v>
      </c>
      <c r="BM62" s="547">
        <f>H119/1000</f>
        <v>3.2305499999999994E-2</v>
      </c>
      <c r="BN62" s="548">
        <f>BM62*$AN$23</f>
        <v>2.9074949999999995E-2</v>
      </c>
      <c r="BO62" s="549">
        <f t="shared" si="53"/>
        <v>1.6152749999999998E-3</v>
      </c>
      <c r="BP62" s="549">
        <f t="shared" si="54"/>
        <v>1.6152749999999998E-3</v>
      </c>
      <c r="BQ62" s="560">
        <f t="shared" si="38"/>
        <v>2.9084934653465348E-2</v>
      </c>
      <c r="BR62" s="551">
        <f t="shared" si="39"/>
        <v>1.6236356435643563E-3</v>
      </c>
      <c r="BS62" s="552">
        <f t="shared" si="40"/>
        <v>1.6236356435643563E-3</v>
      </c>
      <c r="BT62" s="560">
        <f t="shared" si="89"/>
        <v>2.9084934653465348E-2</v>
      </c>
      <c r="BU62" s="551">
        <f t="shared" si="89"/>
        <v>1.6236356435643563E-3</v>
      </c>
      <c r="BV62" s="552">
        <f t="shared" si="89"/>
        <v>1.6236356435643563E-3</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23"/>
      <c r="AG66" s="522"/>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0</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0</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16236</v>
      </c>
      <c r="W87" s="117"/>
    </row>
    <row r="88" spans="3:24" ht="12.75" customHeight="1">
      <c r="O88" s="86"/>
      <c r="T88" s="122" t="str">
        <f>+'Energy matrix'!B16</f>
        <v>District Heating</v>
      </c>
      <c r="U88" s="122"/>
      <c r="V88" s="123">
        <f>+INDEX('Energy matrix'!C16:N16,1,$D$2)</f>
        <v>4184</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29511.909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1617.1200000000001</v>
      </c>
      <c r="N100" s="14">
        <f t="shared" si="113"/>
        <v>0</v>
      </c>
      <c r="O100" s="86"/>
      <c r="R100" s="287"/>
      <c r="S100" s="287"/>
      <c r="T100" s="117" t="str">
        <f>'Energy matrix'!B27</f>
        <v>Diesel</v>
      </c>
      <c r="U100" s="117"/>
      <c r="V100" s="118">
        <f>+INDEX('Energy matrix'!C27:N27,1,$D$2)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14554.080000000002</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54.498065230157835</v>
      </c>
      <c r="N102" s="14">
        <f t="shared" si="115"/>
        <v>2838</v>
      </c>
      <c r="O102" s="86"/>
      <c r="R102" s="287"/>
      <c r="S102" s="287"/>
      <c r="T102" s="117" t="str">
        <f>'Energy matrix'!B29</f>
        <v>LPG</v>
      </c>
      <c r="U102" s="117"/>
      <c r="V102" s="118">
        <f>+INDEX('Energy matrix'!C29:N29,1,$D$2)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f t="shared" si="116"/>
        <v>0</v>
      </c>
      <c r="K103" s="18">
        <f t="shared" si="116"/>
        <v>0</v>
      </c>
      <c r="L103" s="18">
        <f t="shared" si="116"/>
        <v>0</v>
      </c>
      <c r="M103" s="18">
        <f t="shared" si="116"/>
        <v>16225.698065230161</v>
      </c>
      <c r="N103" s="18">
        <f t="shared" si="116"/>
        <v>2838</v>
      </c>
      <c r="O103" s="86"/>
      <c r="R103" s="287"/>
      <c r="S103" s="287"/>
      <c r="T103" s="117" t="str">
        <f>'Energy matrix'!B31</f>
        <v>Natural gas</v>
      </c>
      <c r="U103" s="117"/>
      <c r="V103" s="118">
        <f>+INDEX('Energy matrix'!C31:N31,1,$D$2)</f>
        <v>5130</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16171.2</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24696.255000000001</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f t="shared" si="127"/>
        <v>10.7685</v>
      </c>
      <c r="I117" s="14">
        <f t="shared" si="127"/>
        <v>4556.9449999999997</v>
      </c>
      <c r="J117" s="14">
        <f t="shared" si="127"/>
        <v>0</v>
      </c>
      <c r="K117" s="14">
        <f t="shared" si="127"/>
        <v>0</v>
      </c>
      <c r="L117" s="14">
        <f t="shared" si="127"/>
        <v>0</v>
      </c>
      <c r="M117" s="14">
        <f t="shared" si="127"/>
        <v>0</v>
      </c>
      <c r="N117" s="14">
        <f t="shared" si="127"/>
        <v>0</v>
      </c>
      <c r="O117" s="86"/>
      <c r="T117" s="48" t="s">
        <v>209</v>
      </c>
      <c r="U117" s="48"/>
      <c r="V117" s="126" t="str">
        <f>+INDEX('Energy matrix'!C44:N44,1,$D$2)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32.305499999999995</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1643.4</v>
      </c>
      <c r="N120" s="14">
        <f t="shared" si="130"/>
        <v>0</v>
      </c>
      <c r="O120" s="86"/>
      <c r="T120" s="117" t="str">
        <f>'Energy matrix'!B47</f>
        <v>Diesel</v>
      </c>
      <c r="U120" s="117"/>
      <c r="V120" s="118">
        <f>+INDEX('Energy matrix'!C47:N47,1,$D$2)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14790.6</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55.383719451395926</v>
      </c>
      <c r="N122" s="14">
        <f t="shared" si="132"/>
        <v>2227</v>
      </c>
      <c r="O122" s="86"/>
      <c r="T122" s="117" t="str">
        <f>'Energy matrix'!B49</f>
        <v>LPG</v>
      </c>
      <c r="U122" s="117"/>
      <c r="V122" s="118">
        <f>+INDEX('Energy matrix'!C49:N49,1,$D$2)</f>
        <v>43.073999999999998</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f t="shared" si="133"/>
        <v>43.073999999999998</v>
      </c>
      <c r="I123" s="18">
        <f t="shared" si="133"/>
        <v>4556.9449999999997</v>
      </c>
      <c r="J123" s="18">
        <f t="shared" si="133"/>
        <v>0</v>
      </c>
      <c r="K123" s="18">
        <f t="shared" si="133"/>
        <v>0</v>
      </c>
      <c r="L123" s="18">
        <f t="shared" si="133"/>
        <v>0</v>
      </c>
      <c r="M123" s="18">
        <f t="shared" si="133"/>
        <v>16489.383719451394</v>
      </c>
      <c r="N123" s="18">
        <f t="shared" si="133"/>
        <v>2227</v>
      </c>
      <c r="O123" s="86"/>
      <c r="T123" s="117" t="str">
        <f>'Energy matrix'!B51</f>
        <v>Natural gas</v>
      </c>
      <c r="U123" s="117"/>
      <c r="V123" s="118">
        <f>+INDEX('Energy matrix'!C51:N51,1,$D$2)</f>
        <v>4556.9449999999997</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16434</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2227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23859.413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18"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24"/>
      <c r="M151" s="22">
        <v>0</v>
      </c>
      <c r="N151" s="22"/>
      <c r="O151" s="22">
        <v>0</v>
      </c>
      <c r="P151" s="34"/>
      <c r="Q151" s="34"/>
      <c r="R151" s="25"/>
      <c r="S151" s="25"/>
      <c r="W151" s="285"/>
      <c r="X151" s="285"/>
      <c r="Y151" s="25"/>
      <c r="Z151" s="25"/>
      <c r="AA151" s="25"/>
    </row>
    <row r="152" spans="3:27">
      <c r="C152" s="15"/>
      <c r="D152" s="13" t="s">
        <v>536</v>
      </c>
      <c r="E152" s="22">
        <v>0</v>
      </c>
      <c r="F152" s="22">
        <v>0</v>
      </c>
      <c r="G152" s="22">
        <v>1</v>
      </c>
      <c r="H152" s="625">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Z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39" cm="1">
        <f t="array" ref="AO23">INDEX(RegSplit!$B$4:$AN$6,MATCH(AO22,RegSplit!$A$4:$A$6,0),MATCH($D$6&amp;AK19,RegSplit!$B$2:$AN$2&amp;RegSplit!$B$3:$AN$3,0))</f>
        <v>0</v>
      </c>
      <c r="AP23" s="539"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39" cm="1">
        <f t="array" ref="BB23">INDEX(RegSplit!$B$4:$AN$6,MATCH(BB22,RegSplit!$A$4:$A$6,0),MATCH($D$6&amp;AX19,RegSplit!$B$2:$AN$2&amp;RegSplit!$B$3:$AN$3,0))</f>
        <v>0</v>
      </c>
      <c r="BC23" s="539"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39" cm="1">
        <f t="array" ref="BO23">INDEX(RegSplit!$B$4:$AN$6,MATCH(BO22,RegSplit!$A$4:$A$6,0),MATCH($D$6&amp;BK19,RegSplit!$B$2:$AN$2&amp;RegSplit!$B$3:$AN$3,0))</f>
        <v>0</v>
      </c>
      <c r="BP23" s="539"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2226.183</v>
      </c>
      <c r="N26" s="322">
        <f>ROUNDUP(BO26/($Z26*$AA26)*N$21*X26,3)</f>
        <v>0</v>
      </c>
      <c r="O26" s="322">
        <f>ROUNDUP(BP26/($Z26*$AA26)*O$21*Y26,3)</f>
        <v>0</v>
      </c>
      <c r="P26" s="322">
        <f t="shared" ref="P26:P62" si="1">M26</f>
        <v>2226.183</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35.464188264295814</v>
      </c>
      <c r="AJ26" s="236"/>
      <c r="AK26" s="544"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44"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44" t="str">
        <f ca="1">AK26</f>
        <v>IADPH</v>
      </c>
      <c r="BL26" s="350" t="s">
        <v>97</v>
      </c>
      <c r="BM26" s="313">
        <f>I117/1000</f>
        <v>35.464179999999999</v>
      </c>
      <c r="BN26" s="310">
        <f>BM26*$AN$23</f>
        <v>35.464179999999999</v>
      </c>
      <c r="BO26" s="311">
        <f>BM26*$BB$23</f>
        <v>0</v>
      </c>
      <c r="BP26" s="311">
        <f>BM26*$BC$23</f>
        <v>0</v>
      </c>
      <c r="BQ26" s="313">
        <f>IFERROR(M26*$Z26*$AA26/M$21,0)</f>
        <v>34.754904499009903</v>
      </c>
      <c r="BR26" s="310">
        <f>IFERROR(N26*$Z26*$AA26/N$21,0)</f>
        <v>0</v>
      </c>
      <c r="BS26" s="357">
        <f>IFERROR(O26*$Z26*$AA26/O$21,0)</f>
        <v>0</v>
      </c>
      <c r="BT26" s="313">
        <f>IFERROR(BQ26/W26,0)</f>
        <v>35.464188264295821</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54">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36"/>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36"/>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36"/>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73" t="s">
        <v>101</v>
      </c>
      <c r="AM32" s="574">
        <f>E77/1000</f>
        <v>0.96835199999999999</v>
      </c>
      <c r="AN32" s="575">
        <f t="shared" si="47"/>
        <v>0.96835199999999999</v>
      </c>
      <c r="AO32" s="576">
        <f>AM32*$AO$23</f>
        <v>0</v>
      </c>
      <c r="AP32" s="576">
        <f t="shared" si="49"/>
        <v>0</v>
      </c>
      <c r="AQ32" s="596">
        <f t="shared" si="28"/>
        <v>0.9015483956043957</v>
      </c>
      <c r="AR32" s="576">
        <f t="shared" si="29"/>
        <v>0</v>
      </c>
      <c r="AS32" s="577">
        <f t="shared" si="30"/>
        <v>0</v>
      </c>
      <c r="AT32" s="574">
        <f t="shared" si="50"/>
        <v>0.96836562363522638</v>
      </c>
      <c r="AU32" s="575">
        <f t="shared" si="50"/>
        <v>0</v>
      </c>
      <c r="AV32" s="580">
        <f t="shared" si="50"/>
        <v>0</v>
      </c>
      <c r="AW32" s="285"/>
      <c r="AX32" s="290"/>
      <c r="AY32" s="573" t="s">
        <v>101</v>
      </c>
      <c r="AZ32" s="574">
        <f>E97/1000</f>
        <v>1.2220499999999999</v>
      </c>
      <c r="BA32" s="575">
        <f>AZ32*$AN$23</f>
        <v>1.2220499999999999</v>
      </c>
      <c r="BB32" s="576">
        <f t="shared" ref="BB32:BB34" si="51">AZ32*$BB$23</f>
        <v>0</v>
      </c>
      <c r="BC32" s="576">
        <f t="shared" ref="BC32:BC34" si="52">AZ32*$BC$23</f>
        <v>0</v>
      </c>
      <c r="BD32" s="574">
        <f>IFERROR(J32*$Z32*AA32/J$21,0)</f>
        <v>1.1377314534653467</v>
      </c>
      <c r="BE32" s="575">
        <f t="shared" si="34"/>
        <v>0</v>
      </c>
      <c r="BF32" s="580">
        <f t="shared" si="35"/>
        <v>0</v>
      </c>
      <c r="BG32" s="574">
        <f t="shared" si="15"/>
        <v>1.2220531186523595</v>
      </c>
      <c r="BH32" s="575">
        <f t="shared" si="16"/>
        <v>0</v>
      </c>
      <c r="BI32" s="580">
        <f t="shared" si="17"/>
        <v>0</v>
      </c>
      <c r="BJ32" s="285"/>
      <c r="BK32" s="290"/>
      <c r="BL32" s="573" t="s">
        <v>101</v>
      </c>
      <c r="BM32" s="574">
        <f>E117/1000</f>
        <v>0.68583099999999997</v>
      </c>
      <c r="BN32" s="575">
        <f>BM32*$AN$23</f>
        <v>0.68583099999999997</v>
      </c>
      <c r="BO32" s="576">
        <f t="shared" ref="BO32:BO62" si="53">BM32*$BB$23</f>
        <v>0</v>
      </c>
      <c r="BP32" s="576">
        <f t="shared" ref="BP32:BP62" si="54">BM32*$BC$23</f>
        <v>0</v>
      </c>
      <c r="BQ32" s="574">
        <f t="shared" si="38"/>
        <v>0.63851032871287128</v>
      </c>
      <c r="BR32" s="575">
        <f t="shared" si="39"/>
        <v>0</v>
      </c>
      <c r="BS32" s="580">
        <f t="shared" si="40"/>
        <v>0</v>
      </c>
      <c r="BT32" s="574">
        <f t="shared" si="41"/>
        <v>0.68583279131350305</v>
      </c>
      <c r="BU32" s="575">
        <f t="shared" si="42"/>
        <v>0</v>
      </c>
      <c r="BV32" s="580">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v>
      </c>
      <c r="AH33" s="236">
        <f t="shared" si="9"/>
        <v>0</v>
      </c>
      <c r="AI33" s="236">
        <f t="shared" si="10"/>
        <v>0</v>
      </c>
      <c r="AJ33" s="236"/>
      <c r="AK33" s="290"/>
      <c r="AL33" s="573" t="s">
        <v>53</v>
      </c>
      <c r="AM33" s="574">
        <f>H77/1000</f>
        <v>0</v>
      </c>
      <c r="AN33" s="575">
        <f t="shared" si="47"/>
        <v>0</v>
      </c>
      <c r="AO33" s="576">
        <f t="shared" si="48"/>
        <v>0</v>
      </c>
      <c r="AP33" s="576">
        <f t="shared" si="49"/>
        <v>0</v>
      </c>
      <c r="AQ33" s="596">
        <f t="shared" si="28"/>
        <v>0</v>
      </c>
      <c r="AR33" s="576">
        <f t="shared" si="29"/>
        <v>0</v>
      </c>
      <c r="AS33" s="577">
        <f t="shared" si="30"/>
        <v>0</v>
      </c>
      <c r="AT33" s="574">
        <f t="shared" si="50"/>
        <v>0</v>
      </c>
      <c r="AU33" s="575">
        <f t="shared" si="50"/>
        <v>0</v>
      </c>
      <c r="AV33" s="580">
        <f t="shared" si="50"/>
        <v>0</v>
      </c>
      <c r="AW33" s="285"/>
      <c r="AX33" s="290"/>
      <c r="AY33" s="573" t="s">
        <v>53</v>
      </c>
      <c r="AZ33" s="574">
        <f>H97/1000</f>
        <v>0</v>
      </c>
      <c r="BA33" s="575">
        <f>AZ33*$AN$23</f>
        <v>0</v>
      </c>
      <c r="BB33" s="576">
        <f t="shared" si="51"/>
        <v>0</v>
      </c>
      <c r="BC33" s="576">
        <f t="shared" si="52"/>
        <v>0</v>
      </c>
      <c r="BD33" s="574">
        <f t="shared" si="33"/>
        <v>0</v>
      </c>
      <c r="BE33" s="575">
        <f t="shared" si="34"/>
        <v>0</v>
      </c>
      <c r="BF33" s="580">
        <f t="shared" si="35"/>
        <v>0</v>
      </c>
      <c r="BG33" s="574">
        <f t="shared" si="15"/>
        <v>0</v>
      </c>
      <c r="BH33" s="575">
        <f t="shared" si="16"/>
        <v>0</v>
      </c>
      <c r="BI33" s="580">
        <f t="shared" si="17"/>
        <v>0</v>
      </c>
      <c r="BJ33" s="285"/>
      <c r="BK33" s="290"/>
      <c r="BL33" s="573" t="s">
        <v>53</v>
      </c>
      <c r="BM33" s="574">
        <f>H117/1000</f>
        <v>0</v>
      </c>
      <c r="BN33" s="575">
        <f>BM33*$AN$23</f>
        <v>0</v>
      </c>
      <c r="BO33" s="576">
        <f t="shared" si="53"/>
        <v>0</v>
      </c>
      <c r="BP33" s="576">
        <f t="shared" si="54"/>
        <v>0</v>
      </c>
      <c r="BQ33" s="574">
        <f t="shared" si="38"/>
        <v>0</v>
      </c>
      <c r="BR33" s="575">
        <f t="shared" si="39"/>
        <v>0</v>
      </c>
      <c r="BS33" s="580">
        <f t="shared" si="40"/>
        <v>0</v>
      </c>
      <c r="BT33" s="574">
        <f t="shared" si="41"/>
        <v>0</v>
      </c>
      <c r="BU33" s="575">
        <f t="shared" si="42"/>
        <v>0</v>
      </c>
      <c r="BV33" s="580">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36"/>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1966.279</v>
      </c>
      <c r="N37" s="324">
        <f t="shared" si="25"/>
        <v>0</v>
      </c>
      <c r="O37" s="324">
        <f t="shared" si="26"/>
        <v>0</v>
      </c>
      <c r="P37" s="324">
        <f t="shared" si="1"/>
        <v>1966.279</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32.972410451872257</v>
      </c>
      <c r="AJ37" s="236"/>
      <c r="AK37" s="352"/>
      <c r="AL37" s="581" t="s">
        <v>61</v>
      </c>
      <c r="AM37" s="582">
        <f>M77/1000</f>
        <v>29.473200000000002</v>
      </c>
      <c r="AN37" s="575">
        <f t="shared" si="47"/>
        <v>29.473200000000002</v>
      </c>
      <c r="AO37" s="576">
        <f t="shared" ref="AO37" si="58">AM37*$AO$23</f>
        <v>0</v>
      </c>
      <c r="AP37" s="576">
        <f t="shared" si="49"/>
        <v>0</v>
      </c>
      <c r="AQ37" s="596">
        <f t="shared" si="28"/>
        <v>27.439549210789213</v>
      </c>
      <c r="AR37" s="576">
        <f t="shared" si="29"/>
        <v>0</v>
      </c>
      <c r="AS37" s="577">
        <f t="shared" si="30"/>
        <v>0</v>
      </c>
      <c r="AT37" s="582">
        <f t="shared" ref="AT37:AV41" si="59">IFERROR(AQ37/W37,0)</f>
        <v>29.473200011588844</v>
      </c>
      <c r="AU37" s="583">
        <f t="shared" si="59"/>
        <v>0</v>
      </c>
      <c r="AV37" s="584">
        <f t="shared" si="59"/>
        <v>0</v>
      </c>
      <c r="AW37" s="285"/>
      <c r="AX37" s="352"/>
      <c r="AY37" s="581" t="s">
        <v>61</v>
      </c>
      <c r="AZ37" s="582">
        <f>M97/1000</f>
        <v>34.281359999999999</v>
      </c>
      <c r="BA37" s="575">
        <f>AZ37*$AN$23</f>
        <v>34.281359999999999</v>
      </c>
      <c r="BB37" s="576">
        <f t="shared" ref="BB37:BB62" si="60">AZ37*$BB$23</f>
        <v>0</v>
      </c>
      <c r="BC37" s="576">
        <f t="shared" ref="BC37:BC62" si="61">AZ37*$BC$23</f>
        <v>0</v>
      </c>
      <c r="BD37" s="582">
        <f t="shared" si="33"/>
        <v>31.915946352475249</v>
      </c>
      <c r="BE37" s="583">
        <f t="shared" si="34"/>
        <v>0</v>
      </c>
      <c r="BF37" s="584">
        <f>IFERROR(L37*$Z37*AA37/L$21,0)</f>
        <v>0</v>
      </c>
      <c r="BG37" s="582">
        <f t="shared" ref="BG37:BG56" si="62">IFERROR(BD37/W37,0)</f>
        <v>34.281360206740331</v>
      </c>
      <c r="BH37" s="583">
        <f t="shared" ref="BH37:BH56" si="63">IFERROR(BE37/X37,0)</f>
        <v>0</v>
      </c>
      <c r="BI37" s="584">
        <f t="shared" ref="BI37:BI56" si="64">IFERROR(BF37/Y37,0)</f>
        <v>0</v>
      </c>
      <c r="BJ37" s="285"/>
      <c r="BK37" s="352"/>
      <c r="BL37" s="581" t="s">
        <v>61</v>
      </c>
      <c r="BM37" s="582">
        <f>M117/1000</f>
        <v>32.9724</v>
      </c>
      <c r="BN37" s="575">
        <f>BM37*$AN$23</f>
        <v>32.9724</v>
      </c>
      <c r="BO37" s="576">
        <f t="shared" si="53"/>
        <v>0</v>
      </c>
      <c r="BP37" s="576">
        <f t="shared" si="54"/>
        <v>0</v>
      </c>
      <c r="BQ37" s="582">
        <f t="shared" si="38"/>
        <v>30.697314130693073</v>
      </c>
      <c r="BR37" s="583">
        <f t="shared" si="39"/>
        <v>0</v>
      </c>
      <c r="BS37" s="584">
        <f t="shared" si="40"/>
        <v>0</v>
      </c>
      <c r="BT37" s="582">
        <f t="shared" ref="BT37:BT56" si="65">IFERROR(BQ37/W37,0)</f>
        <v>32.972410451872264</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44" t="str">
        <f ca="1">F38</f>
        <v>IADCO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IADCO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IADCO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36"/>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44" t="str">
        <f ca="1">F47</f>
        <v>IADSH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IADSH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IADSH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36"/>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36"/>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69.548000000000002</v>
      </c>
      <c r="N56" s="321">
        <f t="shared" si="25"/>
        <v>0</v>
      </c>
      <c r="O56" s="321">
        <f t="shared" si="26"/>
        <v>0</v>
      </c>
      <c r="P56" s="321">
        <f t="shared" si="1"/>
        <v>69.548000000000002</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1.1310157425742575</v>
      </c>
      <c r="AJ56" s="236"/>
      <c r="AK56" s="356"/>
      <c r="AL56" s="573" t="s">
        <v>103</v>
      </c>
      <c r="AM56" s="574">
        <f>N82/1000</f>
        <v>2.5710000000000002</v>
      </c>
      <c r="AN56" s="627">
        <f>AM56</f>
        <v>2.5710000000000002</v>
      </c>
      <c r="AO56" s="628">
        <v>0</v>
      </c>
      <c r="AP56" s="628">
        <v>0</v>
      </c>
      <c r="AQ56" s="596">
        <f t="shared" si="28"/>
        <v>2.4681724435564441</v>
      </c>
      <c r="AR56" s="576">
        <f t="shared" si="29"/>
        <v>0</v>
      </c>
      <c r="AS56" s="577">
        <f t="shared" si="30"/>
        <v>0</v>
      </c>
      <c r="AT56" s="574">
        <f t="shared" si="85"/>
        <v>2.5710129620379627</v>
      </c>
      <c r="AU56" s="575">
        <f t="shared" si="85"/>
        <v>0</v>
      </c>
      <c r="AV56" s="580">
        <f t="shared" si="85"/>
        <v>0</v>
      </c>
      <c r="AW56" s="285"/>
      <c r="AX56" s="356"/>
      <c r="AY56" s="573" t="s">
        <v>103</v>
      </c>
      <c r="AZ56" s="574">
        <f>N102/1000</f>
        <v>1.109</v>
      </c>
      <c r="BA56" s="627">
        <f>AZ56</f>
        <v>1.109</v>
      </c>
      <c r="BB56" s="628">
        <v>0</v>
      </c>
      <c r="BC56" s="628">
        <v>0</v>
      </c>
      <c r="BD56" s="574">
        <f t="shared" si="33"/>
        <v>1.0646522376237626</v>
      </c>
      <c r="BE56" s="575">
        <f t="shared" si="34"/>
        <v>0</v>
      </c>
      <c r="BF56" s="580">
        <f t="shared" si="35"/>
        <v>0</v>
      </c>
      <c r="BG56" s="574">
        <f t="shared" si="62"/>
        <v>1.1090127475247527</v>
      </c>
      <c r="BH56" s="575">
        <f t="shared" si="63"/>
        <v>0</v>
      </c>
      <c r="BI56" s="580">
        <f t="shared" si="64"/>
        <v>0</v>
      </c>
      <c r="BJ56" s="285"/>
      <c r="BK56" s="356"/>
      <c r="BL56" s="573" t="s">
        <v>103</v>
      </c>
      <c r="BM56" s="574">
        <f>N122/1000</f>
        <v>1.131</v>
      </c>
      <c r="BN56" s="627">
        <f>BM56</f>
        <v>1.131</v>
      </c>
      <c r="BO56" s="628">
        <v>0</v>
      </c>
      <c r="BP56" s="628">
        <v>0</v>
      </c>
      <c r="BQ56" s="574">
        <f t="shared" si="38"/>
        <v>1.0857751128712871</v>
      </c>
      <c r="BR56" s="575">
        <f t="shared" si="39"/>
        <v>0</v>
      </c>
      <c r="BS56" s="580">
        <f t="shared" si="40"/>
        <v>0</v>
      </c>
      <c r="BT56" s="574">
        <f t="shared" si="65"/>
        <v>1.1310157425742575</v>
      </c>
      <c r="BU56" s="575">
        <f t="shared" si="66"/>
        <v>0</v>
      </c>
      <c r="BV56" s="580">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50.160999999999994</v>
      </c>
      <c r="N58" s="324">
        <f t="shared" si="25"/>
        <v>0</v>
      </c>
      <c r="O58" s="324">
        <f t="shared" si="26"/>
        <v>0</v>
      </c>
      <c r="P58" s="324">
        <f t="shared" si="1"/>
        <v>50.160999999999994</v>
      </c>
      <c r="Q58" s="324">
        <f t="shared" si="2"/>
        <v>0</v>
      </c>
      <c r="R58" s="324">
        <f t="shared" si="3"/>
        <v>0</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0.82432376029181853</v>
      </c>
      <c r="AJ58" s="236"/>
      <c r="AK58" s="355"/>
      <c r="AL58" s="581" t="s">
        <v>61</v>
      </c>
      <c r="AM58" s="574">
        <f>M82/1000</f>
        <v>0.73682999999999987</v>
      </c>
      <c r="AN58" s="575">
        <f t="shared" si="77"/>
        <v>0.73682999999999987</v>
      </c>
      <c r="AO58" s="576">
        <f t="shared" si="78"/>
        <v>0</v>
      </c>
      <c r="AP58" s="576">
        <f t="shared" si="79"/>
        <v>0</v>
      </c>
      <c r="AQ58" s="596">
        <f t="shared" si="28"/>
        <v>0.69999838561438565</v>
      </c>
      <c r="AR58" s="576">
        <f t="shared" si="29"/>
        <v>0</v>
      </c>
      <c r="AS58" s="577">
        <f t="shared" si="30"/>
        <v>0</v>
      </c>
      <c r="AT58" s="574">
        <f t="shared" ref="AT58:AV62" si="87">IFERROR(AQ58/W58,0)</f>
        <v>0.73684040590987965</v>
      </c>
      <c r="AU58" s="575">
        <f t="shared" si="87"/>
        <v>0</v>
      </c>
      <c r="AV58" s="580">
        <f t="shared" si="87"/>
        <v>0</v>
      </c>
      <c r="AW58" s="285"/>
      <c r="AX58" s="355"/>
      <c r="AY58" s="581" t="s">
        <v>61</v>
      </c>
      <c r="AZ58" s="574">
        <f>M102/1000</f>
        <v>0.85703399999999996</v>
      </c>
      <c r="BA58" s="575">
        <f>AZ58*$AN$23</f>
        <v>0.85703399999999996</v>
      </c>
      <c r="BB58" s="576">
        <f t="shared" si="60"/>
        <v>0</v>
      </c>
      <c r="BC58" s="576">
        <f t="shared" si="61"/>
        <v>0</v>
      </c>
      <c r="BD58" s="574">
        <f t="shared" si="33"/>
        <v>0.81419082772277229</v>
      </c>
      <c r="BE58" s="575">
        <f t="shared" si="34"/>
        <v>0</v>
      </c>
      <c r="BF58" s="580">
        <f t="shared" si="35"/>
        <v>0</v>
      </c>
      <c r="BG58" s="574">
        <f t="shared" ref="BG58:BI62" si="88">IFERROR(BD58/W58,0)</f>
        <v>0.85704297655028672</v>
      </c>
      <c r="BH58" s="575">
        <f t="shared" si="88"/>
        <v>0</v>
      </c>
      <c r="BI58" s="580">
        <f t="shared" si="88"/>
        <v>0</v>
      </c>
      <c r="BJ58" s="285"/>
      <c r="BK58" s="355"/>
      <c r="BL58" s="581" t="s">
        <v>61</v>
      </c>
      <c r="BM58" s="574">
        <f>M122/1000</f>
        <v>0.82430999999999999</v>
      </c>
      <c r="BN58" s="575">
        <f>BM58*$AN$23</f>
        <v>0.82430999999999999</v>
      </c>
      <c r="BO58" s="576">
        <f t="shared" si="53"/>
        <v>0</v>
      </c>
      <c r="BP58" s="576">
        <f t="shared" si="54"/>
        <v>0</v>
      </c>
      <c r="BQ58" s="574">
        <f t="shared" si="38"/>
        <v>0.7831075722772276</v>
      </c>
      <c r="BR58" s="575">
        <f t="shared" si="39"/>
        <v>0</v>
      </c>
      <c r="BS58" s="580">
        <f t="shared" si="40"/>
        <v>0</v>
      </c>
      <c r="BT58" s="574">
        <f t="shared" ref="BT58:BV62" si="89">IFERROR(BQ58/W58,0)</f>
        <v>0.82432376029181853</v>
      </c>
      <c r="BU58" s="575">
        <f t="shared" si="89"/>
        <v>0</v>
      </c>
      <c r="BV58" s="580">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228.80100000000002</v>
      </c>
      <c r="N59" s="323">
        <f t="shared" si="25"/>
        <v>0</v>
      </c>
      <c r="O59" s="323">
        <f t="shared" si="26"/>
        <v>0</v>
      </c>
      <c r="P59" s="323">
        <f t="shared" si="1"/>
        <v>228.80100000000002</v>
      </c>
      <c r="Q59" s="323">
        <f t="shared" si="2"/>
        <v>0</v>
      </c>
      <c r="R59" s="323">
        <f t="shared" si="3"/>
        <v>0</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3.5720140277227728</v>
      </c>
      <c r="AJ59" s="236"/>
      <c r="AK59" s="545" t="str">
        <f ca="1">F59</f>
        <v>IADLA</v>
      </c>
      <c r="AL59" s="592" t="s">
        <v>61</v>
      </c>
      <c r="AM59" s="593">
        <f>M80/1000</f>
        <v>3.1929300000000005</v>
      </c>
      <c r="AN59" s="594">
        <f t="shared" si="77"/>
        <v>3.1929300000000005</v>
      </c>
      <c r="AO59" s="597">
        <f t="shared" si="78"/>
        <v>0</v>
      </c>
      <c r="AP59" s="597">
        <f t="shared" si="79"/>
        <v>0</v>
      </c>
      <c r="AQ59" s="598">
        <f t="shared" si="28"/>
        <v>3.1929333626373633</v>
      </c>
      <c r="AR59" s="597">
        <f t="shared" si="29"/>
        <v>0</v>
      </c>
      <c r="AS59" s="599">
        <f t="shared" si="30"/>
        <v>0</v>
      </c>
      <c r="AT59" s="593">
        <f t="shared" si="87"/>
        <v>3.1929333626373633</v>
      </c>
      <c r="AU59" s="594">
        <f t="shared" si="87"/>
        <v>0</v>
      </c>
      <c r="AV59" s="595">
        <f t="shared" si="87"/>
        <v>0</v>
      </c>
      <c r="AW59" s="285"/>
      <c r="AX59" s="545" t="str">
        <f t="shared" ca="1" si="12"/>
        <v>IADLA</v>
      </c>
      <c r="AY59" s="592" t="s">
        <v>61</v>
      </c>
      <c r="AZ59" s="593">
        <f>M100/1000</f>
        <v>3.7138139999999997</v>
      </c>
      <c r="BA59" s="594">
        <f>AZ59*$AN$23</f>
        <v>3.7138139999999997</v>
      </c>
      <c r="BB59" s="597">
        <f t="shared" si="60"/>
        <v>0</v>
      </c>
      <c r="BC59" s="597">
        <f t="shared" si="61"/>
        <v>0</v>
      </c>
      <c r="BD59" s="593">
        <f t="shared" si="33"/>
        <v>3.7138167445544559</v>
      </c>
      <c r="BE59" s="594">
        <f t="shared" si="34"/>
        <v>0</v>
      </c>
      <c r="BF59" s="595">
        <f t="shared" si="35"/>
        <v>0</v>
      </c>
      <c r="BG59" s="593">
        <f t="shared" si="88"/>
        <v>3.7138167445544559</v>
      </c>
      <c r="BH59" s="594">
        <f t="shared" si="88"/>
        <v>0</v>
      </c>
      <c r="BI59" s="595">
        <f t="shared" si="88"/>
        <v>0</v>
      </c>
      <c r="BJ59" s="285"/>
      <c r="BK59" s="545" t="str">
        <f ca="1">AK59</f>
        <v>IADLA</v>
      </c>
      <c r="BL59" s="592" t="s">
        <v>61</v>
      </c>
      <c r="BM59" s="593">
        <f>M120/1000</f>
        <v>3.5720100000000001</v>
      </c>
      <c r="BN59" s="594">
        <f>BM59*$AN$23</f>
        <v>3.5720100000000001</v>
      </c>
      <c r="BO59" s="597">
        <f t="shared" si="53"/>
        <v>0</v>
      </c>
      <c r="BP59" s="597">
        <f t="shared" si="54"/>
        <v>0</v>
      </c>
      <c r="BQ59" s="593">
        <f t="shared" si="38"/>
        <v>3.5720140277227728</v>
      </c>
      <c r="BR59" s="594">
        <f t="shared" si="39"/>
        <v>0</v>
      </c>
      <c r="BS59" s="595">
        <f t="shared" si="40"/>
        <v>0</v>
      </c>
      <c r="BT59" s="593">
        <f t="shared" si="89"/>
        <v>3.5720140277227728</v>
      </c>
      <c r="BU59" s="594">
        <f t="shared" si="89"/>
        <v>0</v>
      </c>
      <c r="BV59" s="595">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1126.404</v>
      </c>
      <c r="N60" s="324">
        <f t="shared" si="25"/>
        <v>0</v>
      </c>
      <c r="O60" s="324">
        <f t="shared" si="26"/>
        <v>0</v>
      </c>
      <c r="P60" s="324">
        <f t="shared" si="1"/>
        <v>1126.404</v>
      </c>
      <c r="Q60" s="324">
        <f t="shared" si="2"/>
        <v>0</v>
      </c>
      <c r="R60" s="324">
        <f t="shared" si="3"/>
        <v>0</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17.585285417821783</v>
      </c>
      <c r="AJ60" s="236"/>
      <c r="AK60" s="550" t="str">
        <f ca="1">F60</f>
        <v>IADEM</v>
      </c>
      <c r="AL60" s="592" t="s">
        <v>61</v>
      </c>
      <c r="AM60" s="593">
        <f>M81/1000</f>
        <v>15.719040000000001</v>
      </c>
      <c r="AN60" s="594">
        <f t="shared" si="77"/>
        <v>15.719040000000001</v>
      </c>
      <c r="AO60" s="597">
        <f t="shared" si="78"/>
        <v>0</v>
      </c>
      <c r="AP60" s="597">
        <f t="shared" si="79"/>
        <v>0</v>
      </c>
      <c r="AQ60" s="598">
        <f t="shared" si="28"/>
        <v>15.719042013986016</v>
      </c>
      <c r="AR60" s="597">
        <f t="shared" si="29"/>
        <v>0</v>
      </c>
      <c r="AS60" s="599">
        <f t="shared" si="30"/>
        <v>0</v>
      </c>
      <c r="AT60" s="593">
        <f t="shared" si="87"/>
        <v>15.719042013986016</v>
      </c>
      <c r="AU60" s="594">
        <f t="shared" si="87"/>
        <v>0</v>
      </c>
      <c r="AV60" s="595">
        <f t="shared" si="87"/>
        <v>0</v>
      </c>
      <c r="AW60" s="285"/>
      <c r="AX60" s="550" t="str">
        <f t="shared" ca="1" si="12"/>
        <v>IADEM</v>
      </c>
      <c r="AY60" s="592" t="s">
        <v>61</v>
      </c>
      <c r="AZ60" s="593">
        <f>M101/1000</f>
        <v>18.283391999999999</v>
      </c>
      <c r="BA60" s="594">
        <f>AZ60*$AN$23</f>
        <v>18.283391999999999</v>
      </c>
      <c r="BB60" s="597">
        <f t="shared" si="60"/>
        <v>0</v>
      </c>
      <c r="BC60" s="597">
        <f t="shared" si="61"/>
        <v>0</v>
      </c>
      <c r="BD60" s="593">
        <f t="shared" si="33"/>
        <v>18.283401908910889</v>
      </c>
      <c r="BE60" s="594">
        <f t="shared" si="34"/>
        <v>0</v>
      </c>
      <c r="BF60" s="595">
        <f t="shared" si="35"/>
        <v>0</v>
      </c>
      <c r="BG60" s="593">
        <f t="shared" si="88"/>
        <v>18.283401908910889</v>
      </c>
      <c r="BH60" s="594">
        <f t="shared" si="88"/>
        <v>0</v>
      </c>
      <c r="BI60" s="595">
        <f t="shared" si="88"/>
        <v>0</v>
      </c>
      <c r="BJ60" s="285"/>
      <c r="BK60" s="550" t="str">
        <f ca="1">AK60</f>
        <v>IADEM</v>
      </c>
      <c r="BL60" s="592" t="s">
        <v>61</v>
      </c>
      <c r="BM60" s="593">
        <f>M121/1000</f>
        <v>17.585279999999997</v>
      </c>
      <c r="BN60" s="594">
        <f>BM60*$AN$23</f>
        <v>17.585279999999997</v>
      </c>
      <c r="BO60" s="597">
        <f t="shared" si="53"/>
        <v>0</v>
      </c>
      <c r="BP60" s="597">
        <f t="shared" si="54"/>
        <v>0</v>
      </c>
      <c r="BQ60" s="593">
        <f t="shared" si="38"/>
        <v>17.585285417821783</v>
      </c>
      <c r="BR60" s="594">
        <f t="shared" si="39"/>
        <v>0</v>
      </c>
      <c r="BS60" s="595">
        <f t="shared" si="40"/>
        <v>0</v>
      </c>
      <c r="BT60" s="593">
        <f t="shared" si="89"/>
        <v>17.585285417821783</v>
      </c>
      <c r="BU60" s="594">
        <f t="shared" si="89"/>
        <v>0</v>
      </c>
      <c r="BV60" s="595">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50" t="str">
        <f ca="1">F61</f>
        <v>IADTF</v>
      </c>
      <c r="AL61" s="592" t="s">
        <v>59</v>
      </c>
      <c r="AM61" s="593">
        <f>F79/1000</f>
        <v>1.3726400000000001</v>
      </c>
      <c r="AN61" s="594">
        <f t="shared" si="77"/>
        <v>1.3726400000000001</v>
      </c>
      <c r="AO61" s="597">
        <f t="shared" si="78"/>
        <v>0</v>
      </c>
      <c r="AP61" s="597">
        <f t="shared" si="79"/>
        <v>0</v>
      </c>
      <c r="AQ61" s="598">
        <f t="shared" si="28"/>
        <v>1.3726508691308694</v>
      </c>
      <c r="AR61" s="597">
        <f t="shared" si="29"/>
        <v>0</v>
      </c>
      <c r="AS61" s="599">
        <f t="shared" si="30"/>
        <v>0</v>
      </c>
      <c r="AT61" s="593">
        <f t="shared" si="87"/>
        <v>1.3726508691308694</v>
      </c>
      <c r="AU61" s="594">
        <f t="shared" si="87"/>
        <v>0</v>
      </c>
      <c r="AV61" s="595">
        <f t="shared" si="87"/>
        <v>0</v>
      </c>
      <c r="AW61" s="285"/>
      <c r="AX61" s="550" t="str">
        <f t="shared" ca="1" si="12"/>
        <v>IADTF</v>
      </c>
      <c r="AY61" s="592" t="s">
        <v>59</v>
      </c>
      <c r="AZ61" s="593">
        <f>F99/1000</f>
        <v>0.64221000000000006</v>
      </c>
      <c r="BA61" s="594">
        <f>AZ61*$AN$23</f>
        <v>0.64221000000000006</v>
      </c>
      <c r="BB61" s="597">
        <f t="shared" si="60"/>
        <v>0</v>
      </c>
      <c r="BC61" s="597">
        <f t="shared" si="61"/>
        <v>0</v>
      </c>
      <c r="BD61" s="593">
        <f t="shared" si="33"/>
        <v>0.64221034455445536</v>
      </c>
      <c r="BE61" s="594">
        <f t="shared" si="34"/>
        <v>0</v>
      </c>
      <c r="BF61" s="595">
        <f t="shared" si="35"/>
        <v>0</v>
      </c>
      <c r="BG61" s="593">
        <f t="shared" si="88"/>
        <v>0.64221034455445536</v>
      </c>
      <c r="BH61" s="594">
        <f t="shared" si="88"/>
        <v>0</v>
      </c>
      <c r="BI61" s="595">
        <f t="shared" si="88"/>
        <v>0</v>
      </c>
      <c r="BJ61" s="285"/>
      <c r="BK61" s="550" t="str">
        <f ca="1">AK61</f>
        <v>IADTF</v>
      </c>
      <c r="BL61" s="592" t="s">
        <v>59</v>
      </c>
      <c r="BM61" s="593">
        <f>F119/1000</f>
        <v>0.47219699999999998</v>
      </c>
      <c r="BN61" s="594">
        <f>BM61*$AN$23</f>
        <v>0.47219699999999998</v>
      </c>
      <c r="BO61" s="597">
        <f t="shared" si="53"/>
        <v>0</v>
      </c>
      <c r="BP61" s="597">
        <f t="shared" si="54"/>
        <v>0</v>
      </c>
      <c r="BQ61" s="593">
        <f t="shared" si="38"/>
        <v>0.47221257029702973</v>
      </c>
      <c r="BR61" s="594">
        <f t="shared" si="39"/>
        <v>0</v>
      </c>
      <c r="BS61" s="595">
        <f t="shared" si="40"/>
        <v>0</v>
      </c>
      <c r="BT61" s="593">
        <f t="shared" si="89"/>
        <v>0.47221257029702973</v>
      </c>
      <c r="BU61" s="594">
        <f t="shared" si="89"/>
        <v>0</v>
      </c>
      <c r="BV61" s="595">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f t="shared" si="24"/>
        <v>5.5190000000000001</v>
      </c>
      <c r="N62" s="323">
        <f t="shared" si="25"/>
        <v>0</v>
      </c>
      <c r="O62" s="323">
        <f t="shared" si="26"/>
        <v>0</v>
      </c>
      <c r="P62" s="323">
        <f t="shared" si="1"/>
        <v>5.5190000000000001</v>
      </c>
      <c r="Q62" s="323">
        <f t="shared" si="2"/>
        <v>0</v>
      </c>
      <c r="R62" s="323">
        <f t="shared" si="3"/>
        <v>0</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0.18412802397602401</v>
      </c>
      <c r="AH62" s="236">
        <f t="shared" si="83"/>
        <v>9.0736253465346542E-2</v>
      </c>
      <c r="AI62" s="236">
        <f t="shared" si="84"/>
        <v>8.616197227722773E-2</v>
      </c>
      <c r="AJ62" s="236"/>
      <c r="AK62" s="550" t="str">
        <f ca="1">F62</f>
        <v>IADFL</v>
      </c>
      <c r="AL62" s="546" t="s">
        <v>53</v>
      </c>
      <c r="AM62" s="547">
        <f>H79/1000</f>
        <v>0.18412399999999998</v>
      </c>
      <c r="AN62" s="548">
        <f t="shared" si="77"/>
        <v>0.18412399999999998</v>
      </c>
      <c r="AO62" s="549">
        <f t="shared" si="78"/>
        <v>0</v>
      </c>
      <c r="AP62" s="549">
        <f t="shared" si="79"/>
        <v>0</v>
      </c>
      <c r="AQ62" s="559">
        <f t="shared" si="28"/>
        <v>0.18412802397602401</v>
      </c>
      <c r="AR62" s="549">
        <f t="shared" si="29"/>
        <v>0</v>
      </c>
      <c r="AS62" s="555">
        <f t="shared" si="30"/>
        <v>0</v>
      </c>
      <c r="AT62" s="560">
        <f t="shared" si="87"/>
        <v>0.18412802397602401</v>
      </c>
      <c r="AU62" s="551">
        <f t="shared" si="87"/>
        <v>0</v>
      </c>
      <c r="AV62" s="552">
        <f t="shared" si="87"/>
        <v>0</v>
      </c>
      <c r="AW62" s="285"/>
      <c r="AX62" s="550" t="str">
        <f t="shared" ca="1" si="12"/>
        <v>IADFL</v>
      </c>
      <c r="AY62" s="546" t="s">
        <v>53</v>
      </c>
      <c r="AZ62" s="547">
        <f>H99/1000</f>
        <v>9.0731999999999993E-2</v>
      </c>
      <c r="BA62" s="548">
        <f>AZ62*$AN$23</f>
        <v>9.0731999999999993E-2</v>
      </c>
      <c r="BB62" s="549">
        <f t="shared" si="60"/>
        <v>0</v>
      </c>
      <c r="BC62" s="549">
        <f t="shared" si="61"/>
        <v>0</v>
      </c>
      <c r="BD62" s="560">
        <f t="shared" si="33"/>
        <v>9.0736253465346542E-2</v>
      </c>
      <c r="BE62" s="551">
        <f t="shared" si="34"/>
        <v>0</v>
      </c>
      <c r="BF62" s="552">
        <f t="shared" si="35"/>
        <v>0</v>
      </c>
      <c r="BG62" s="560">
        <f t="shared" si="88"/>
        <v>9.0736253465346542E-2</v>
      </c>
      <c r="BH62" s="551">
        <f t="shared" si="88"/>
        <v>0</v>
      </c>
      <c r="BI62" s="552">
        <f t="shared" si="88"/>
        <v>0</v>
      </c>
      <c r="BJ62" s="285"/>
      <c r="BK62" s="550" t="str">
        <f ca="1">AK62</f>
        <v>IADFL</v>
      </c>
      <c r="BL62" s="546" t="s">
        <v>53</v>
      </c>
      <c r="BM62" s="547">
        <f>H119/1000</f>
        <v>8.6148000000000002E-2</v>
      </c>
      <c r="BN62" s="548">
        <f>BM62*$AN$23</f>
        <v>8.6148000000000002E-2</v>
      </c>
      <c r="BO62" s="549">
        <f t="shared" si="53"/>
        <v>0</v>
      </c>
      <c r="BP62" s="549">
        <f t="shared" si="54"/>
        <v>0</v>
      </c>
      <c r="BQ62" s="560">
        <f t="shared" si="38"/>
        <v>8.616197227722773E-2</v>
      </c>
      <c r="BR62" s="551">
        <f t="shared" si="39"/>
        <v>0</v>
      </c>
      <c r="BS62" s="552">
        <f t="shared" si="40"/>
        <v>0</v>
      </c>
      <c r="BT62" s="560">
        <f t="shared" si="89"/>
        <v>8.616197227722773E-2</v>
      </c>
      <c r="BU62" s="551">
        <f t="shared" si="89"/>
        <v>0</v>
      </c>
      <c r="BV62" s="552">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24"/>
      <c r="AG66" s="524"/>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0</v>
      </c>
      <c r="K77" s="14">
        <f t="shared" si="93"/>
        <v>0</v>
      </c>
      <c r="L77" s="14">
        <f t="shared" si="93"/>
        <v>0</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0</v>
      </c>
      <c r="K83" s="18">
        <f t="shared" si="99"/>
        <v>0</v>
      </c>
      <c r="L83" s="18">
        <f t="shared" si="99"/>
        <v>0</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49122</v>
      </c>
      <c r="W87" s="117"/>
    </row>
    <row r="88" spans="3:24" ht="12.75" customHeight="1">
      <c r="O88" s="86"/>
      <c r="T88" s="122" t="str">
        <f>+'Energy matrix'!B16</f>
        <v>District Heating</v>
      </c>
      <c r="U88" s="122"/>
      <c r="V88" s="123">
        <f>+INDEX('Energy matrix'!C16:N16,1,$D$2)</f>
        <v>2571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87452.460999999996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f t="shared" si="110"/>
        <v>0</v>
      </c>
      <c r="K97" s="14">
        <f t="shared" si="110"/>
        <v>0</v>
      </c>
      <c r="L97" s="14">
        <f t="shared" si="110"/>
        <v>0</v>
      </c>
      <c r="M97" s="14">
        <f t="shared" si="110"/>
        <v>34281.360000000001</v>
      </c>
      <c r="N97" s="14">
        <f t="shared" si="110"/>
        <v>0</v>
      </c>
      <c r="O97" s="86"/>
      <c r="R97" s="287"/>
      <c r="S97" s="287"/>
      <c r="T97" s="48" t="s">
        <v>209</v>
      </c>
      <c r="U97" s="48"/>
      <c r="V97" s="126" t="str">
        <f>+INDEX('Energy matrix'!C24:N24,1,$D$2)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3713.8139999999999</v>
      </c>
      <c r="N100" s="14">
        <f t="shared" si="113"/>
        <v>0</v>
      </c>
      <c r="O100" s="86"/>
      <c r="R100" s="287"/>
      <c r="S100" s="287"/>
      <c r="T100" s="117" t="str">
        <f>'Energy matrix'!B27</f>
        <v>Diesel</v>
      </c>
      <c r="U100" s="117"/>
      <c r="V100" s="118">
        <f>+INDEX('Energy matrix'!C27:N27,1,$D$2)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18283.392</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857.03399999999999</v>
      </c>
      <c r="N102" s="14">
        <f t="shared" si="115"/>
        <v>1109</v>
      </c>
      <c r="O102" s="86"/>
      <c r="R102" s="287"/>
      <c r="S102" s="287"/>
      <c r="T102" s="117" t="str">
        <f>'Energy matrix'!B29</f>
        <v>LPG</v>
      </c>
      <c r="U102" s="117"/>
      <c r="V102" s="118">
        <f>+INDEX('Energy matrix'!C29:N29,1,$D$2)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f t="shared" si="116"/>
        <v>0</v>
      </c>
      <c r="K103" s="18">
        <f t="shared" si="116"/>
        <v>0</v>
      </c>
      <c r="L103" s="18">
        <f t="shared" si="116"/>
        <v>0</v>
      </c>
      <c r="M103" s="18">
        <f t="shared" si="116"/>
        <v>57135.6</v>
      </c>
      <c r="N103" s="18">
        <f t="shared" si="116"/>
        <v>1109</v>
      </c>
      <c r="O103" s="86"/>
      <c r="R103" s="287"/>
      <c r="S103" s="287"/>
      <c r="T103" s="117" t="str">
        <f>'Energy matrix'!B31</f>
        <v>Natural gas</v>
      </c>
      <c r="U103" s="117"/>
      <c r="V103" s="118">
        <f>+INDEX('Energy matrix'!C31:N31,1,$D$2)</f>
        <v>33843.599999999999</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57135.6</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95386.25</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f t="shared" si="127"/>
        <v>0</v>
      </c>
      <c r="I117" s="14">
        <f t="shared" si="127"/>
        <v>35464.18</v>
      </c>
      <c r="J117" s="14">
        <f t="shared" si="127"/>
        <v>0</v>
      </c>
      <c r="K117" s="14">
        <f t="shared" si="127"/>
        <v>0</v>
      </c>
      <c r="L117" s="14">
        <f t="shared" si="127"/>
        <v>0</v>
      </c>
      <c r="M117" s="14">
        <f t="shared" si="127"/>
        <v>32972.400000000001</v>
      </c>
      <c r="N117" s="14">
        <f t="shared" si="127"/>
        <v>0</v>
      </c>
      <c r="O117" s="86"/>
      <c r="T117" s="48" t="s">
        <v>209</v>
      </c>
      <c r="U117" s="48"/>
      <c r="V117" s="126" t="str">
        <f>+INDEX('Energy matrix'!C44:N44,1,$D$2)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f t="shared" si="129"/>
        <v>86.147999999999996</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3572.01</v>
      </c>
      <c r="N120" s="14">
        <f t="shared" si="130"/>
        <v>0</v>
      </c>
      <c r="O120" s="86"/>
      <c r="T120" s="117" t="str">
        <f>'Energy matrix'!B47</f>
        <v>Diesel</v>
      </c>
      <c r="U120" s="117"/>
      <c r="V120" s="118">
        <f>+INDEX('Energy matrix'!C47:N47,1,$D$2)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17585.28</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824.31</v>
      </c>
      <c r="N122" s="14">
        <f t="shared" si="132"/>
        <v>1131</v>
      </c>
      <c r="O122" s="86"/>
      <c r="T122" s="117" t="str">
        <f>'Energy matrix'!B49</f>
        <v>LPG</v>
      </c>
      <c r="U122" s="117"/>
      <c r="V122" s="118">
        <f>+INDEX('Energy matrix'!C49:N49,1,$D$2)</f>
        <v>86.147999999999996</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f t="shared" si="133"/>
        <v>86.147999999999996</v>
      </c>
      <c r="I123" s="18">
        <f t="shared" si="133"/>
        <v>35464.18</v>
      </c>
      <c r="J123" s="18">
        <f t="shared" si="133"/>
        <v>0</v>
      </c>
      <c r="K123" s="18">
        <f t="shared" si="133"/>
        <v>0</v>
      </c>
      <c r="L123" s="18">
        <f t="shared" si="133"/>
        <v>0</v>
      </c>
      <c r="M123" s="18">
        <f t="shared" si="133"/>
        <v>54954</v>
      </c>
      <c r="N123" s="18">
        <f t="shared" si="133"/>
        <v>1131</v>
      </c>
      <c r="O123" s="86"/>
      <c r="T123" s="117" t="str">
        <f>'Energy matrix'!B51</f>
        <v>Natural gas</v>
      </c>
      <c r="U123" s="117"/>
      <c r="V123" s="118">
        <f>+INDEX('Energy matrix'!C51:N51,1,$D$2)</f>
        <v>35464.18</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54954</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1131</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93890.953999999998</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534</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535</v>
      </c>
      <c r="E151" s="22"/>
      <c r="F151" s="22"/>
      <c r="G151" s="22"/>
      <c r="H151" s="22">
        <v>0</v>
      </c>
      <c r="I151" s="22"/>
      <c r="J151" s="22"/>
      <c r="K151" s="22">
        <v>0</v>
      </c>
      <c r="L151" s="624"/>
      <c r="M151" s="22">
        <v>0</v>
      </c>
      <c r="N151" s="22">
        <v>0</v>
      </c>
      <c r="O151" s="22">
        <v>0</v>
      </c>
      <c r="P151" s="34"/>
      <c r="Q151" s="34"/>
      <c r="R151" s="25"/>
      <c r="S151" s="25"/>
      <c r="X151" s="285"/>
      <c r="Y151" s="285"/>
      <c r="AA151" s="25"/>
      <c r="AB151" s="25"/>
    </row>
    <row r="152" spans="3:28">
      <c r="C152" s="15"/>
      <c r="D152" s="13" t="s">
        <v>536</v>
      </c>
      <c r="E152" s="22">
        <v>0</v>
      </c>
      <c r="F152" s="22">
        <v>0</v>
      </c>
      <c r="G152" s="22">
        <v>1</v>
      </c>
      <c r="H152" s="625">
        <v>1</v>
      </c>
      <c r="I152" s="22">
        <v>1</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8" t="s">
        <v>62</v>
      </c>
      <c r="H19" s="529"/>
      <c r="I19" s="529"/>
      <c r="J19" s="529"/>
      <c r="K19" s="529"/>
      <c r="L19" s="529"/>
      <c r="M19" s="529"/>
      <c r="N19" s="530"/>
      <c r="O19" s="530"/>
      <c r="P19" s="288"/>
      <c r="Q19" s="285"/>
      <c r="R19" s="285"/>
      <c r="S19" s="398"/>
      <c r="T19" s="285"/>
      <c r="U19" s="285"/>
      <c r="V19" s="285"/>
      <c r="W19" s="285"/>
      <c r="X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31">
        <v>2010</v>
      </c>
      <c r="H20" s="532"/>
      <c r="I20" s="535"/>
      <c r="J20" s="531">
        <v>2015</v>
      </c>
      <c r="K20" s="532"/>
      <c r="L20" s="535"/>
      <c r="M20" s="531">
        <v>2019</v>
      </c>
      <c r="N20" s="532"/>
      <c r="O20" s="532"/>
      <c r="P20" s="296"/>
      <c r="Q20" s="297"/>
      <c r="R20" s="297"/>
      <c r="S20" s="296"/>
      <c r="T20" s="295"/>
      <c r="U20" s="295"/>
      <c r="V20" s="285"/>
      <c r="W20" s="285"/>
      <c r="X20" s="298"/>
      <c r="Y20" s="298"/>
      <c r="Z20" s="298"/>
      <c r="AA20" s="298"/>
      <c r="AB20" s="349"/>
      <c r="AC20" s="287"/>
      <c r="AD20" s="287"/>
      <c r="AE20" s="287"/>
      <c r="AF20" s="287"/>
      <c r="AG20" s="287"/>
      <c r="AH20" s="285"/>
      <c r="AI20" s="285"/>
      <c r="AJ20" s="285"/>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1861.223</v>
      </c>
      <c r="N26" s="322">
        <f>ROUNDUP(BO26/($Z26*$AA26)*N$21*X26,3)</f>
        <v>103.402</v>
      </c>
      <c r="O26" s="322">
        <f>ROUNDUP(BP26/($Z26*$AA26)*O$21*Y26,3)</f>
        <v>103.402</v>
      </c>
      <c r="P26" s="322">
        <f t="shared" ref="P26:P62" si="1">M26</f>
        <v>1861.223</v>
      </c>
      <c r="Q26" s="322">
        <f t="shared" ref="Q26:Q62" si="2">N26</f>
        <v>103.402</v>
      </c>
      <c r="R26" s="322">
        <f t="shared" ref="R26:R62" si="3">O26</f>
        <v>103.402</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31.297440897150942</v>
      </c>
      <c r="AJ26" s="285"/>
      <c r="AK26" s="544"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44"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44" t="str">
        <f ca="1">AK26</f>
        <v>ITDPH</v>
      </c>
      <c r="BL26" s="350" t="s">
        <v>97</v>
      </c>
      <c r="BM26" s="313">
        <f>I117/1000</f>
        <v>32.9446449</v>
      </c>
      <c r="BN26" s="310">
        <f>BM26*$AN$23</f>
        <v>29.650180410000001</v>
      </c>
      <c r="BO26" s="311">
        <f>BM26*$BB$23</f>
        <v>1.6472322450000001</v>
      </c>
      <c r="BP26" s="311">
        <f>BM26*$BC$23</f>
        <v>1.6472322450000001</v>
      </c>
      <c r="BQ26" s="313">
        <f>IFERROR(M26*$Z26*$AA26/M$21,0)</f>
        <v>29.05719234059406</v>
      </c>
      <c r="BR26" s="310">
        <f>IFERROR(N26*$Z26*$AA26/N$21,0)</f>
        <v>1.6142997386138613</v>
      </c>
      <c r="BS26" s="357">
        <f>IFERROR(O26*$Z26*$AA26/O$21,0)</f>
        <v>1.6142997386138613</v>
      </c>
      <c r="BT26" s="313">
        <f>IFERROR(BQ26/W26,0)</f>
        <v>29.650196265912307</v>
      </c>
      <c r="BU26" s="310">
        <f>IFERROR(BR26/X26,0)</f>
        <v>1.647244631238634</v>
      </c>
      <c r="BV26" s="357">
        <f>IFERROR(BS26/Y26,0)</f>
        <v>1.647244631238634</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54">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73" t="s">
        <v>101</v>
      </c>
      <c r="AM32" s="574">
        <f>E77/1000</f>
        <v>0</v>
      </c>
      <c r="AN32" s="575">
        <f t="shared" si="47"/>
        <v>0</v>
      </c>
      <c r="AO32" s="576">
        <f>AM32*$AO$23</f>
        <v>0</v>
      </c>
      <c r="AP32" s="576">
        <f t="shared" si="49"/>
        <v>0</v>
      </c>
      <c r="AQ32" s="596">
        <f t="shared" si="28"/>
        <v>0</v>
      </c>
      <c r="AR32" s="576">
        <f t="shared" si="29"/>
        <v>0</v>
      </c>
      <c r="AS32" s="577">
        <f t="shared" si="30"/>
        <v>0</v>
      </c>
      <c r="AT32" s="574">
        <f t="shared" si="50"/>
        <v>0</v>
      </c>
      <c r="AU32" s="575">
        <f t="shared" si="50"/>
        <v>0</v>
      </c>
      <c r="AV32" s="580">
        <f t="shared" si="50"/>
        <v>0</v>
      </c>
      <c r="AW32" s="285"/>
      <c r="AX32" s="290"/>
      <c r="AY32" s="573" t="s">
        <v>101</v>
      </c>
      <c r="AZ32" s="574">
        <f>E97/1000</f>
        <v>0</v>
      </c>
      <c r="BA32" s="575">
        <f>AZ32*$AN$23</f>
        <v>0</v>
      </c>
      <c r="BB32" s="576">
        <f t="shared" ref="BB32:BB34" si="51">AZ32*$BB$23</f>
        <v>0</v>
      </c>
      <c r="BC32" s="576">
        <f t="shared" ref="BC32:BC34" si="52">AZ32*$BC$23</f>
        <v>0</v>
      </c>
      <c r="BD32" s="574">
        <f>IFERROR(J32*$Z32*AA32/J$21,0)</f>
        <v>0</v>
      </c>
      <c r="BE32" s="575">
        <f t="shared" si="34"/>
        <v>0</v>
      </c>
      <c r="BF32" s="580">
        <f t="shared" si="35"/>
        <v>0</v>
      </c>
      <c r="BG32" s="574">
        <f t="shared" si="15"/>
        <v>0</v>
      </c>
      <c r="BH32" s="575">
        <f t="shared" si="16"/>
        <v>0</v>
      </c>
      <c r="BI32" s="580">
        <f t="shared" si="17"/>
        <v>0</v>
      </c>
      <c r="BJ32" s="285"/>
      <c r="BK32" s="290"/>
      <c r="BL32" s="573" t="s">
        <v>101</v>
      </c>
      <c r="BM32" s="574">
        <f>E117/1000</f>
        <v>0</v>
      </c>
      <c r="BN32" s="575">
        <f>BM32*$AN$23</f>
        <v>0</v>
      </c>
      <c r="BO32" s="576">
        <f t="shared" ref="BO32:BO62" si="53">BM32*$BB$23</f>
        <v>0</v>
      </c>
      <c r="BP32" s="576">
        <f t="shared" ref="BP32:BP62" si="54">BM32*$BC$23</f>
        <v>0</v>
      </c>
      <c r="BQ32" s="574">
        <f t="shared" si="38"/>
        <v>0</v>
      </c>
      <c r="BR32" s="575">
        <f t="shared" si="39"/>
        <v>0</v>
      </c>
      <c r="BS32" s="580">
        <f t="shared" si="40"/>
        <v>0</v>
      </c>
      <c r="BT32" s="574">
        <f t="shared" si="41"/>
        <v>0</v>
      </c>
      <c r="BU32" s="575">
        <f t="shared" si="42"/>
        <v>0</v>
      </c>
      <c r="BV32" s="580">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f t="shared" si="24"/>
        <v>3.0419999999999998</v>
      </c>
      <c r="N33" s="322">
        <f t="shared" si="25"/>
        <v>0.16900000000000001</v>
      </c>
      <c r="O33" s="322">
        <f t="shared" si="26"/>
        <v>0.16900000000000001</v>
      </c>
      <c r="P33" s="322">
        <f t="shared" si="1"/>
        <v>3.0419999999999998</v>
      </c>
      <c r="Q33" s="322">
        <f t="shared" si="2"/>
        <v>0.16900000000000001</v>
      </c>
      <c r="R33" s="322">
        <f t="shared" si="3"/>
        <v>0.16900000000000001</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f t="shared" si="10"/>
        <v>5.1152806627601535E-2</v>
      </c>
      <c r="AJ33" s="285"/>
      <c r="AK33" s="290"/>
      <c r="AL33" s="573" t="s">
        <v>53</v>
      </c>
      <c r="AM33" s="574">
        <f>H77/1000</f>
        <v>5.753875E-2</v>
      </c>
      <c r="AN33" s="575">
        <f t="shared" si="47"/>
        <v>5.1784875000000001E-2</v>
      </c>
      <c r="AO33" s="576">
        <f t="shared" si="48"/>
        <v>2.8769375000000002E-3</v>
      </c>
      <c r="AP33" s="576">
        <f t="shared" si="49"/>
        <v>2.8769375000000002E-3</v>
      </c>
      <c r="AQ33" s="596">
        <f t="shared" si="28"/>
        <v>5.0753742257742269E-2</v>
      </c>
      <c r="AR33" s="576">
        <f t="shared" si="29"/>
        <v>2.8196523476523481E-3</v>
      </c>
      <c r="AS33" s="577">
        <f t="shared" si="30"/>
        <v>2.8196523476523481E-3</v>
      </c>
      <c r="AT33" s="574">
        <f t="shared" si="50"/>
        <v>5.1789532916063544E-2</v>
      </c>
      <c r="AU33" s="575">
        <f t="shared" si="50"/>
        <v>2.877196273114641E-3</v>
      </c>
      <c r="AV33" s="580">
        <f t="shared" si="50"/>
        <v>2.877196273114641E-3</v>
      </c>
      <c r="AW33" s="285"/>
      <c r="AX33" s="290"/>
      <c r="AY33" s="573" t="s">
        <v>53</v>
      </c>
      <c r="AZ33" s="574">
        <f>H97/1000</f>
        <v>3.4024500000000006E-2</v>
      </c>
      <c r="BA33" s="575">
        <f>AZ33*$AN$23</f>
        <v>3.0622050000000005E-2</v>
      </c>
      <c r="BB33" s="576">
        <f t="shared" si="51"/>
        <v>1.7012250000000004E-3</v>
      </c>
      <c r="BC33" s="576">
        <f t="shared" si="52"/>
        <v>1.7012250000000004E-3</v>
      </c>
      <c r="BD33" s="574">
        <f t="shared" si="33"/>
        <v>3.0021647524752473E-2</v>
      </c>
      <c r="BE33" s="575">
        <f t="shared" si="34"/>
        <v>1.6704712871287129E-3</v>
      </c>
      <c r="BF33" s="580">
        <f t="shared" si="35"/>
        <v>1.6704712871287129E-3</v>
      </c>
      <c r="BG33" s="574">
        <f t="shared" si="15"/>
        <v>3.0634334208931094E-2</v>
      </c>
      <c r="BH33" s="575">
        <f t="shared" si="16"/>
        <v>1.7045625378864417E-3</v>
      </c>
      <c r="BI33" s="580">
        <f t="shared" si="17"/>
        <v>1.7045625378864417E-3</v>
      </c>
      <c r="BJ33" s="285"/>
      <c r="BK33" s="290"/>
      <c r="BL33" s="573" t="s">
        <v>53</v>
      </c>
      <c r="BM33" s="574">
        <f>H117/1000</f>
        <v>5.3842500000000001E-2</v>
      </c>
      <c r="BN33" s="575">
        <f>BM33*$AN$23</f>
        <v>4.8458250000000001E-2</v>
      </c>
      <c r="BO33" s="576">
        <f t="shared" si="53"/>
        <v>2.6921250000000001E-3</v>
      </c>
      <c r="BP33" s="576">
        <f t="shared" si="54"/>
        <v>2.6921250000000001E-3</v>
      </c>
      <c r="BQ33" s="574">
        <f t="shared" si="38"/>
        <v>4.7491342574257425E-2</v>
      </c>
      <c r="BR33" s="575">
        <f t="shared" si="39"/>
        <v>2.6384079207920795E-3</v>
      </c>
      <c r="BS33" s="580">
        <f t="shared" si="40"/>
        <v>2.6384079207920795E-3</v>
      </c>
      <c r="BT33" s="574">
        <f t="shared" si="41"/>
        <v>4.8460553647201456E-2</v>
      </c>
      <c r="BU33" s="575">
        <f t="shared" si="42"/>
        <v>2.692252980400081E-3</v>
      </c>
      <c r="BV33" s="580">
        <f t="shared" si="43"/>
        <v>2.692252980400081E-3</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295.23599999999999</v>
      </c>
      <c r="N37" s="324">
        <f t="shared" si="25"/>
        <v>16.402000000000001</v>
      </c>
      <c r="O37" s="324">
        <f t="shared" si="26"/>
        <v>16.402000000000001</v>
      </c>
      <c r="P37" s="324">
        <f t="shared" si="1"/>
        <v>295.23599999999999</v>
      </c>
      <c r="Q37" s="324">
        <f t="shared" si="2"/>
        <v>16.402000000000001</v>
      </c>
      <c r="R37" s="324">
        <f t="shared" si="3"/>
        <v>16.402000000000001</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5.2258382703576478</v>
      </c>
      <c r="AJ37" s="285"/>
      <c r="AK37" s="352"/>
      <c r="AL37" s="581" t="s">
        <v>61</v>
      </c>
      <c r="AM37" s="582">
        <f>M77/1000</f>
        <v>5.7795119999999995</v>
      </c>
      <c r="AN37" s="575">
        <f t="shared" si="47"/>
        <v>5.2015607999999993</v>
      </c>
      <c r="AO37" s="576">
        <f t="shared" ref="AO37" si="58">AM37*$AO$23</f>
        <v>0.2889756</v>
      </c>
      <c r="AP37" s="576">
        <f t="shared" si="49"/>
        <v>0.2889756</v>
      </c>
      <c r="AQ37" s="596">
        <f t="shared" si="28"/>
        <v>4.8426662697302696</v>
      </c>
      <c r="AR37" s="576">
        <f t="shared" si="29"/>
        <v>0.26904839160839167</v>
      </c>
      <c r="AS37" s="577">
        <f t="shared" si="30"/>
        <v>0.26904839160839167</v>
      </c>
      <c r="AT37" s="582">
        <f t="shared" ref="AT37:AV41" si="59">IFERROR(AQ37/W37,0)</f>
        <v>5.2015749406340168</v>
      </c>
      <c r="AU37" s="583">
        <f t="shared" si="59"/>
        <v>0.28898860537958293</v>
      </c>
      <c r="AV37" s="584">
        <f t="shared" si="59"/>
        <v>0.28898860537958293</v>
      </c>
      <c r="AW37" s="285"/>
      <c r="AX37" s="352"/>
      <c r="AY37" s="581" t="s">
        <v>61</v>
      </c>
      <c r="AZ37" s="582">
        <f>M97/1000</f>
        <v>5.9988599999999996</v>
      </c>
      <c r="BA37" s="575">
        <f>AZ37*$AN$23</f>
        <v>5.3989739999999999</v>
      </c>
      <c r="BB37" s="576">
        <f t="shared" ref="BB37:BB62" si="60">AZ37*$BB$23</f>
        <v>0.29994300000000002</v>
      </c>
      <c r="BC37" s="576">
        <f t="shared" ref="BC37:BC62" si="61">AZ37*$BC$23</f>
        <v>0.29994300000000002</v>
      </c>
      <c r="BD37" s="582">
        <f t="shared" si="33"/>
        <v>5.0264481029702974</v>
      </c>
      <c r="BE37" s="583">
        <f t="shared" si="34"/>
        <v>0.27924971881188121</v>
      </c>
      <c r="BF37" s="584">
        <f>IFERROR(L37*$Z37*AA37/L$21,0)</f>
        <v>0.27924971881188121</v>
      </c>
      <c r="BG37" s="582">
        <f t="shared" ref="BG37:BG56" si="62">IFERROR(BD37/W37,0)</f>
        <v>5.3989775542108465</v>
      </c>
      <c r="BH37" s="583">
        <f t="shared" ref="BH37:BH56" si="63">IFERROR(BE37/X37,0)</f>
        <v>0.29994599227914204</v>
      </c>
      <c r="BI37" s="584">
        <f t="shared" ref="BI37:BI56" si="64">IFERROR(BF37/Y37,0)</f>
        <v>0.29994599227914204</v>
      </c>
      <c r="BJ37" s="285"/>
      <c r="BK37" s="352"/>
      <c r="BL37" s="581" t="s">
        <v>61</v>
      </c>
      <c r="BM37" s="582">
        <f>M117/1000</f>
        <v>5.5008720000000002</v>
      </c>
      <c r="BN37" s="575">
        <f>BM37*$AN$23</f>
        <v>4.9507848000000001</v>
      </c>
      <c r="BO37" s="576">
        <f t="shared" si="53"/>
        <v>0.2750436</v>
      </c>
      <c r="BP37" s="576">
        <f t="shared" si="54"/>
        <v>0.2750436</v>
      </c>
      <c r="BQ37" s="582">
        <f t="shared" si="38"/>
        <v>4.6091893544554452</v>
      </c>
      <c r="BR37" s="583">
        <f t="shared" si="39"/>
        <v>0.25606607524752478</v>
      </c>
      <c r="BS37" s="584">
        <f t="shared" si="40"/>
        <v>0.25606607524752478</v>
      </c>
      <c r="BT37" s="582">
        <f t="shared" ref="BT37:BT56" si="65">IFERROR(BQ37/W37,0)</f>
        <v>4.9507941508651401</v>
      </c>
      <c r="BU37" s="583">
        <f t="shared" ref="BU37:BU56" si="66">IFERROR(BR37/X37,0)</f>
        <v>0.27504411949250784</v>
      </c>
      <c r="BV37" s="584">
        <f t="shared" ref="BV37:BV56" si="67">IFERROR(BS37/Y37,0)</f>
        <v>0.27504411949250784</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ITDCO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ITDCO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ITDCO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321.47899999999998</v>
      </c>
      <c r="N46" s="324">
        <f t="shared" si="25"/>
        <v>17.860000000000003</v>
      </c>
      <c r="O46" s="324">
        <f t="shared" si="26"/>
        <v>17.860000000000003</v>
      </c>
      <c r="P46" s="324">
        <f t="shared" si="1"/>
        <v>321.47899999999998</v>
      </c>
      <c r="Q46" s="324">
        <f t="shared" si="2"/>
        <v>17.860000000000003</v>
      </c>
      <c r="R46" s="324">
        <f t="shared" si="3"/>
        <v>17.860000000000003</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5.8064843053278778</v>
      </c>
      <c r="AJ46" s="285"/>
      <c r="AK46" s="355"/>
      <c r="AL46" s="581" t="s">
        <v>61</v>
      </c>
      <c r="AM46" s="582">
        <f>M78/1000</f>
        <v>6.4216800000000003</v>
      </c>
      <c r="AN46" s="590">
        <f t="shared" si="73"/>
        <v>5.7795120000000004</v>
      </c>
      <c r="AO46" s="590">
        <f>AM46*(1-$AN$23)</f>
        <v>0.64216799999999985</v>
      </c>
      <c r="AP46" s="590"/>
      <c r="AQ46" s="600">
        <f t="shared" si="28"/>
        <v>5.2731121918081927</v>
      </c>
      <c r="AR46" s="590">
        <f t="shared" si="29"/>
        <v>0.58590485514485524</v>
      </c>
      <c r="AS46" s="591">
        <f t="shared" si="30"/>
        <v>0</v>
      </c>
      <c r="AT46" s="582">
        <f t="shared" si="74"/>
        <v>5.7795131324757154</v>
      </c>
      <c r="AU46" s="583">
        <f t="shared" si="74"/>
        <v>0.64217196249901931</v>
      </c>
      <c r="AV46" s="584">
        <f t="shared" si="74"/>
        <v>0</v>
      </c>
      <c r="AW46" s="285"/>
      <c r="AX46" s="355"/>
      <c r="AY46" s="581" t="s">
        <v>61</v>
      </c>
      <c r="AZ46" s="582">
        <f>M98/1000</f>
        <v>6.6654000000000009</v>
      </c>
      <c r="BA46" s="590">
        <f t="shared" si="75"/>
        <v>5.9988600000000005</v>
      </c>
      <c r="BB46" s="590">
        <f t="shared" si="60"/>
        <v>0.33327000000000007</v>
      </c>
      <c r="BC46" s="590">
        <f t="shared" si="61"/>
        <v>0.33327000000000007</v>
      </c>
      <c r="BD46" s="582">
        <f t="shared" si="33"/>
        <v>5.4732445306930702</v>
      </c>
      <c r="BE46" s="583">
        <f t="shared" si="34"/>
        <v>0.30407260990099011</v>
      </c>
      <c r="BF46" s="584">
        <f t="shared" si="35"/>
        <v>0.30407260990099011</v>
      </c>
      <c r="BG46" s="582">
        <f t="shared" si="62"/>
        <v>5.9988650898672375</v>
      </c>
      <c r="BH46" s="583">
        <f t="shared" si="63"/>
        <v>0.33327408525065227</v>
      </c>
      <c r="BI46" s="584">
        <f t="shared" si="64"/>
        <v>0.33327408525065227</v>
      </c>
      <c r="BJ46" s="285"/>
      <c r="BK46" s="355"/>
      <c r="BL46" s="581" t="s">
        <v>61</v>
      </c>
      <c r="BM46" s="582">
        <f>M118/1000</f>
        <v>6.1120800000000006</v>
      </c>
      <c r="BN46" s="590">
        <f t="shared" si="76"/>
        <v>5.5008720000000011</v>
      </c>
      <c r="BO46" s="590">
        <f t="shared" si="53"/>
        <v>0.30560400000000004</v>
      </c>
      <c r="BP46" s="590">
        <f t="shared" si="54"/>
        <v>0.30560400000000004</v>
      </c>
      <c r="BQ46" s="582">
        <f t="shared" si="38"/>
        <v>5.0188919524752471</v>
      </c>
      <c r="BR46" s="583">
        <f t="shared" si="39"/>
        <v>0.27882819801980202</v>
      </c>
      <c r="BS46" s="584">
        <f t="shared" si="40"/>
        <v>0.27882819801980202</v>
      </c>
      <c r="BT46" s="582">
        <f t="shared" si="65"/>
        <v>5.5008789676179299</v>
      </c>
      <c r="BU46" s="583">
        <f t="shared" si="66"/>
        <v>0.30560533770994763</v>
      </c>
      <c r="BV46" s="584">
        <f t="shared" si="67"/>
        <v>0.30560533770994763</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211.023</v>
      </c>
      <c r="N47" s="322">
        <f t="shared" si="25"/>
        <v>11.724</v>
      </c>
      <c r="O47" s="322">
        <f t="shared" si="26"/>
        <v>11.724</v>
      </c>
      <c r="P47" s="322">
        <f t="shared" si="1"/>
        <v>211.023</v>
      </c>
      <c r="Q47" s="322">
        <f t="shared" si="2"/>
        <v>11.724</v>
      </c>
      <c r="R47" s="322">
        <f t="shared" si="3"/>
        <v>11.724</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3.4774996990099014</v>
      </c>
      <c r="AJ47" s="285"/>
      <c r="AK47" s="544" t="str">
        <f ca="1">F47</f>
        <v>ITDSH</v>
      </c>
      <c r="AL47" s="585" t="s">
        <v>97</v>
      </c>
      <c r="AM47" s="586">
        <f>I82/1000</f>
        <v>3.8022741999999998</v>
      </c>
      <c r="AN47" s="588">
        <f t="shared" si="73"/>
        <v>3.4220467800000001</v>
      </c>
      <c r="AO47" s="576">
        <f>AM47*$AO$23</f>
        <v>0.19011370999999999</v>
      </c>
      <c r="AP47" s="576">
        <f>AM47*$AP$23</f>
        <v>0.19011370999999999</v>
      </c>
      <c r="AQ47" s="596">
        <f t="shared" si="28"/>
        <v>3.4220498061938072</v>
      </c>
      <c r="AR47" s="576">
        <f t="shared" si="29"/>
        <v>0.19011387812187816</v>
      </c>
      <c r="AS47" s="577">
        <f t="shared" si="30"/>
        <v>0.19011387812187816</v>
      </c>
      <c r="AT47" s="586">
        <f t="shared" si="74"/>
        <v>3.4220498061938072</v>
      </c>
      <c r="AU47" s="588">
        <f t="shared" si="74"/>
        <v>0.19011387812187816</v>
      </c>
      <c r="AV47" s="589">
        <f t="shared" si="74"/>
        <v>0.19011387812187816</v>
      </c>
      <c r="AW47" s="285"/>
      <c r="AX47" s="544" t="str">
        <f t="shared" ca="1" si="12"/>
        <v>ITDSH</v>
      </c>
      <c r="AY47" s="585" t="s">
        <v>97</v>
      </c>
      <c r="AZ47" s="586">
        <f>I102/1000</f>
        <v>3.6487800000000008</v>
      </c>
      <c r="BA47" s="588">
        <f t="shared" si="75"/>
        <v>3.2839020000000008</v>
      </c>
      <c r="BB47" s="576">
        <f t="shared" si="60"/>
        <v>0.18243900000000005</v>
      </c>
      <c r="BC47" s="576">
        <f t="shared" si="61"/>
        <v>0.18243900000000005</v>
      </c>
      <c r="BD47" s="586">
        <f t="shared" si="33"/>
        <v>3.2839123722772281</v>
      </c>
      <c r="BE47" s="588">
        <f t="shared" si="34"/>
        <v>0.18244044356435643</v>
      </c>
      <c r="BF47" s="589">
        <f t="shared" si="35"/>
        <v>0.18244044356435643</v>
      </c>
      <c r="BG47" s="586">
        <f t="shared" si="62"/>
        <v>3.2839123722772281</v>
      </c>
      <c r="BH47" s="588">
        <f t="shared" si="63"/>
        <v>0.18244044356435643</v>
      </c>
      <c r="BI47" s="589">
        <f t="shared" si="64"/>
        <v>0.18244044356435643</v>
      </c>
      <c r="BJ47" s="285"/>
      <c r="BK47" s="544" t="str">
        <f ca="1">AK47</f>
        <v>ITDSH</v>
      </c>
      <c r="BL47" s="585" t="s">
        <v>97</v>
      </c>
      <c r="BM47" s="586">
        <f>I122/1000</f>
        <v>3.6605161000000002</v>
      </c>
      <c r="BN47" s="588">
        <f t="shared" si="76"/>
        <v>3.2944644900000002</v>
      </c>
      <c r="BO47" s="576">
        <f t="shared" si="53"/>
        <v>0.18302580500000001</v>
      </c>
      <c r="BP47" s="576">
        <f t="shared" si="54"/>
        <v>0.18302580500000001</v>
      </c>
      <c r="BQ47" s="586">
        <f t="shared" si="38"/>
        <v>3.2944660039603963</v>
      </c>
      <c r="BR47" s="588">
        <f t="shared" si="39"/>
        <v>0.18303369504950495</v>
      </c>
      <c r="BS47" s="589">
        <f t="shared" si="40"/>
        <v>0.18303369504950495</v>
      </c>
      <c r="BT47" s="586">
        <f t="shared" si="65"/>
        <v>3.2944660039603963</v>
      </c>
      <c r="BU47" s="588">
        <f t="shared" si="66"/>
        <v>0.18303369504950495</v>
      </c>
      <c r="BV47" s="589">
        <f t="shared" si="67"/>
        <v>0.18303369504950495</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13.12</v>
      </c>
      <c r="N56" s="321">
        <f t="shared" si="25"/>
        <v>0</v>
      </c>
      <c r="O56" s="321">
        <f t="shared" si="26"/>
        <v>0</v>
      </c>
      <c r="P56" s="321">
        <f t="shared" si="1"/>
        <v>13.12</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0.21336237623762377</v>
      </c>
      <c r="AJ56" s="285"/>
      <c r="AK56" s="356"/>
      <c r="AL56" s="573" t="s">
        <v>103</v>
      </c>
      <c r="AM56" s="574">
        <f>N82/1000</f>
        <v>0.28040959222286788</v>
      </c>
      <c r="AN56" s="627">
        <f>AM56</f>
        <v>0.28040959222286788</v>
      </c>
      <c r="AO56" s="628">
        <v>0</v>
      </c>
      <c r="AP56" s="628">
        <v>0</v>
      </c>
      <c r="AQ56" s="596">
        <f t="shared" si="28"/>
        <v>0.26920591408591416</v>
      </c>
      <c r="AR56" s="576">
        <f t="shared" si="29"/>
        <v>0</v>
      </c>
      <c r="AS56" s="577">
        <f t="shared" si="30"/>
        <v>0</v>
      </c>
      <c r="AT56" s="574">
        <f t="shared" si="85"/>
        <v>0.28042282717282724</v>
      </c>
      <c r="AU56" s="575">
        <f t="shared" si="85"/>
        <v>0</v>
      </c>
      <c r="AV56" s="580">
        <f t="shared" si="85"/>
        <v>0</v>
      </c>
      <c r="AW56" s="285"/>
      <c r="AX56" s="356"/>
      <c r="AY56" s="573" t="s">
        <v>103</v>
      </c>
      <c r="AZ56" s="574">
        <f>N102/1000</f>
        <v>0.23647517848248381</v>
      </c>
      <c r="BA56" s="627">
        <f>AZ56</f>
        <v>0.23647517848248381</v>
      </c>
      <c r="BB56" s="628">
        <v>0</v>
      </c>
      <c r="BC56" s="628">
        <v>0</v>
      </c>
      <c r="BD56" s="574">
        <f t="shared" si="33"/>
        <v>0.22702797623762377</v>
      </c>
      <c r="BE56" s="575">
        <f t="shared" si="34"/>
        <v>0</v>
      </c>
      <c r="BF56" s="580">
        <f t="shared" si="35"/>
        <v>0</v>
      </c>
      <c r="BG56" s="574">
        <f t="shared" si="62"/>
        <v>0.23648747524752478</v>
      </c>
      <c r="BH56" s="575">
        <f t="shared" si="63"/>
        <v>0</v>
      </c>
      <c r="BI56" s="580">
        <f t="shared" si="64"/>
        <v>0</v>
      </c>
      <c r="BJ56" s="285"/>
      <c r="BK56" s="356"/>
      <c r="BL56" s="573" t="s">
        <v>103</v>
      </c>
      <c r="BM56" s="574">
        <f>N122/1000</f>
        <v>0.21335550701477668</v>
      </c>
      <c r="BN56" s="627">
        <f>BM56</f>
        <v>0.21335550701477668</v>
      </c>
      <c r="BO56" s="628">
        <v>0</v>
      </c>
      <c r="BP56" s="628">
        <v>0</v>
      </c>
      <c r="BQ56" s="574">
        <f t="shared" si="38"/>
        <v>0.20482788118811882</v>
      </c>
      <c r="BR56" s="575">
        <f t="shared" si="39"/>
        <v>0</v>
      </c>
      <c r="BS56" s="580">
        <f t="shared" si="40"/>
        <v>0</v>
      </c>
      <c r="BT56" s="574">
        <f t="shared" si="65"/>
        <v>0.21336237623762377</v>
      </c>
      <c r="BU56" s="575">
        <f t="shared" si="66"/>
        <v>0</v>
      </c>
      <c r="BV56" s="580">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33.473999999999997</v>
      </c>
      <c r="N58" s="324">
        <f t="shared" si="25"/>
        <v>1.8599999999999999</v>
      </c>
      <c r="O58" s="324">
        <f t="shared" si="26"/>
        <v>1.8599999999999999</v>
      </c>
      <c r="P58" s="324">
        <f t="shared" si="1"/>
        <v>33.473999999999997</v>
      </c>
      <c r="Q58" s="324">
        <f t="shared" si="2"/>
        <v>1.8599999999999999</v>
      </c>
      <c r="R58" s="324">
        <f t="shared" si="3"/>
        <v>1.8599999999999999</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0.58066337884314745</v>
      </c>
      <c r="AJ58" s="285"/>
      <c r="AK58" s="355"/>
      <c r="AL58" s="581" t="s">
        <v>61</v>
      </c>
      <c r="AM58" s="574">
        <f>M82/1000</f>
        <v>0.64216799999999996</v>
      </c>
      <c r="AN58" s="575">
        <f t="shared" si="77"/>
        <v>0.5779512</v>
      </c>
      <c r="AO58" s="576">
        <f t="shared" si="78"/>
        <v>3.2108400000000002E-2</v>
      </c>
      <c r="AP58" s="576">
        <f t="shared" si="79"/>
        <v>3.2108400000000002E-2</v>
      </c>
      <c r="AQ58" s="596">
        <f t="shared" si="28"/>
        <v>0.54906034765234757</v>
      </c>
      <c r="AR58" s="576">
        <f t="shared" si="29"/>
        <v>3.0512103896103898E-2</v>
      </c>
      <c r="AS58" s="577">
        <f t="shared" si="30"/>
        <v>3.0512103896103898E-2</v>
      </c>
      <c r="AT58" s="574">
        <f t="shared" ref="AT58:AV62" si="87">IFERROR(AQ58/W58,0)</f>
        <v>0.57795826068668166</v>
      </c>
      <c r="AU58" s="575">
        <f t="shared" si="87"/>
        <v>3.2118004101162001E-2</v>
      </c>
      <c r="AV58" s="580">
        <f t="shared" si="87"/>
        <v>3.2118004101162001E-2</v>
      </c>
      <c r="AW58" s="285"/>
      <c r="AX58" s="355"/>
      <c r="AY58" s="581" t="s">
        <v>61</v>
      </c>
      <c r="AZ58" s="574">
        <f>M102/1000</f>
        <v>0.66653999999999991</v>
      </c>
      <c r="BA58" s="575">
        <f>AZ58*$AN$23</f>
        <v>0.59988599999999992</v>
      </c>
      <c r="BB58" s="576">
        <f t="shared" si="60"/>
        <v>3.3326999999999996E-2</v>
      </c>
      <c r="BC58" s="576">
        <f t="shared" si="61"/>
        <v>3.3326999999999996E-2</v>
      </c>
      <c r="BD58" s="574">
        <f t="shared" si="33"/>
        <v>0.56989611089108916</v>
      </c>
      <c r="BE58" s="575">
        <f t="shared" si="34"/>
        <v>3.1660895049504957E-2</v>
      </c>
      <c r="BF58" s="580">
        <f t="shared" si="35"/>
        <v>3.1660895049504957E-2</v>
      </c>
      <c r="BG58" s="574">
        <f t="shared" ref="BG58:BI62" si="88">IFERROR(BD58/W58,0)</f>
        <v>0.59989064304325179</v>
      </c>
      <c r="BH58" s="575">
        <f t="shared" si="88"/>
        <v>3.3327257946847322E-2</v>
      </c>
      <c r="BI58" s="580">
        <f t="shared" si="88"/>
        <v>3.3327257946847322E-2</v>
      </c>
      <c r="BJ58" s="285"/>
      <c r="BK58" s="355"/>
      <c r="BL58" s="581" t="s">
        <v>61</v>
      </c>
      <c r="BM58" s="574">
        <f>M122/1000</f>
        <v>0.61120800000000008</v>
      </c>
      <c r="BN58" s="575">
        <f>BM58*$AN$23</f>
        <v>0.55008720000000011</v>
      </c>
      <c r="BO58" s="576">
        <f t="shared" si="53"/>
        <v>3.0560400000000005E-2</v>
      </c>
      <c r="BP58" s="576">
        <f t="shared" si="54"/>
        <v>3.0560400000000005E-2</v>
      </c>
      <c r="BQ58" s="574">
        <f t="shared" si="38"/>
        <v>0.52259211089108915</v>
      </c>
      <c r="BR58" s="575">
        <f t="shared" si="39"/>
        <v>2.9038099009900991E-2</v>
      </c>
      <c r="BS58" s="580">
        <f t="shared" si="40"/>
        <v>2.9038099009900991E-2</v>
      </c>
      <c r="BT58" s="574">
        <f t="shared" ref="BT58:BV62" si="89">IFERROR(BQ58/W58,0)</f>
        <v>0.55009695883272547</v>
      </c>
      <c r="BU58" s="575">
        <f t="shared" si="89"/>
        <v>3.0566420010422098E-2</v>
      </c>
      <c r="BV58" s="580">
        <f t="shared" si="89"/>
        <v>3.0566420010422098E-2</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352.35199999999998</v>
      </c>
      <c r="N59" s="323">
        <f t="shared" si="25"/>
        <v>19.576000000000001</v>
      </c>
      <c r="O59" s="323">
        <f t="shared" si="26"/>
        <v>19.576000000000001</v>
      </c>
      <c r="P59" s="323">
        <f t="shared" si="1"/>
        <v>352.35199999999998</v>
      </c>
      <c r="Q59" s="323">
        <f t="shared" si="2"/>
        <v>19.576000000000001</v>
      </c>
      <c r="R59" s="323">
        <f t="shared" si="3"/>
        <v>19.576000000000001</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5.8064957465346527</v>
      </c>
      <c r="AJ59" s="285"/>
      <c r="AK59" s="545" t="str">
        <f ca="1">F59</f>
        <v>ITDLA</v>
      </c>
      <c r="AL59" s="592" t="s">
        <v>61</v>
      </c>
      <c r="AM59" s="593">
        <f>M80/1000</f>
        <v>6.4216800000000003</v>
      </c>
      <c r="AN59" s="594">
        <f t="shared" si="77"/>
        <v>5.7795120000000004</v>
      </c>
      <c r="AO59" s="597">
        <f t="shared" si="78"/>
        <v>0.32108400000000004</v>
      </c>
      <c r="AP59" s="597">
        <f t="shared" si="79"/>
        <v>0.32108400000000004</v>
      </c>
      <c r="AQ59" s="598">
        <f t="shared" si="28"/>
        <v>5.7795154525474528</v>
      </c>
      <c r="AR59" s="597">
        <f t="shared" si="29"/>
        <v>0.3210938181818182</v>
      </c>
      <c r="AS59" s="599">
        <f t="shared" si="30"/>
        <v>0.3210938181818182</v>
      </c>
      <c r="AT59" s="593">
        <f t="shared" si="87"/>
        <v>5.7795154525474528</v>
      </c>
      <c r="AU59" s="594">
        <f t="shared" si="87"/>
        <v>0.3210938181818182</v>
      </c>
      <c r="AV59" s="595">
        <f t="shared" si="87"/>
        <v>0.3210938181818182</v>
      </c>
      <c r="AW59" s="285"/>
      <c r="AX59" s="545" t="str">
        <f t="shared" ca="1" si="12"/>
        <v>ITDLA</v>
      </c>
      <c r="AY59" s="592" t="s">
        <v>61</v>
      </c>
      <c r="AZ59" s="593">
        <f>M100/1000</f>
        <v>6.6654000000000009</v>
      </c>
      <c r="BA59" s="594">
        <f>AZ59*$AN$23</f>
        <v>5.9988600000000005</v>
      </c>
      <c r="BB59" s="597">
        <f t="shared" si="60"/>
        <v>0.33327000000000007</v>
      </c>
      <c r="BC59" s="597">
        <f t="shared" si="61"/>
        <v>0.33327000000000007</v>
      </c>
      <c r="BD59" s="593">
        <f t="shared" si="33"/>
        <v>5.9988653465346538</v>
      </c>
      <c r="BE59" s="594">
        <f t="shared" si="34"/>
        <v>0.33328243960396048</v>
      </c>
      <c r="BF59" s="595">
        <f t="shared" si="35"/>
        <v>0.33328243960396048</v>
      </c>
      <c r="BG59" s="593">
        <f t="shared" si="88"/>
        <v>5.9988653465346538</v>
      </c>
      <c r="BH59" s="594">
        <f t="shared" si="88"/>
        <v>0.33328243960396048</v>
      </c>
      <c r="BI59" s="595">
        <f t="shared" si="88"/>
        <v>0.33328243960396048</v>
      </c>
      <c r="BJ59" s="285"/>
      <c r="BK59" s="545" t="str">
        <f ca="1">AK59</f>
        <v>ITDLA</v>
      </c>
      <c r="BL59" s="592" t="s">
        <v>61</v>
      </c>
      <c r="BM59" s="593">
        <f>M120/1000</f>
        <v>6.1120800000000006</v>
      </c>
      <c r="BN59" s="594">
        <f>BM59*$AN$23</f>
        <v>5.5008720000000011</v>
      </c>
      <c r="BO59" s="597">
        <f t="shared" si="53"/>
        <v>0.30560400000000004</v>
      </c>
      <c r="BP59" s="597">
        <f t="shared" si="54"/>
        <v>0.30560400000000004</v>
      </c>
      <c r="BQ59" s="593">
        <f t="shared" si="38"/>
        <v>5.5008775603960389</v>
      </c>
      <c r="BR59" s="594">
        <f t="shared" si="39"/>
        <v>0.30561818613861391</v>
      </c>
      <c r="BS59" s="595">
        <f t="shared" si="40"/>
        <v>0.30561818613861391</v>
      </c>
      <c r="BT59" s="593">
        <f t="shared" si="89"/>
        <v>5.5008775603960389</v>
      </c>
      <c r="BU59" s="594">
        <f t="shared" si="89"/>
        <v>0.30561818613861391</v>
      </c>
      <c r="BV59" s="595">
        <f t="shared" si="89"/>
        <v>0.30561818613861391</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1726.5239999999999</v>
      </c>
      <c r="N60" s="324">
        <f t="shared" si="25"/>
        <v>95.918000000000006</v>
      </c>
      <c r="O60" s="324">
        <f t="shared" si="26"/>
        <v>95.918000000000006</v>
      </c>
      <c r="P60" s="324">
        <f t="shared" si="1"/>
        <v>1726.5239999999999</v>
      </c>
      <c r="Q60" s="324">
        <f t="shared" si="2"/>
        <v>95.918000000000006</v>
      </c>
      <c r="R60" s="324">
        <f t="shared" si="3"/>
        <v>95.918000000000006</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29.8929302937063</v>
      </c>
      <c r="AH60" s="236">
        <f t="shared" si="83"/>
        <v>31.02745858217822</v>
      </c>
      <c r="AI60" s="236">
        <f t="shared" si="84"/>
        <v>28.451747976237623</v>
      </c>
      <c r="AJ60" s="285"/>
      <c r="AK60" s="550" t="str">
        <f ca="1">F60</f>
        <v>ITDEM</v>
      </c>
      <c r="AL60" s="592" t="s">
        <v>61</v>
      </c>
      <c r="AM60" s="593">
        <f>M81/1000</f>
        <v>31.466232000000002</v>
      </c>
      <c r="AN60" s="594">
        <f t="shared" si="77"/>
        <v>28.319608800000001</v>
      </c>
      <c r="AO60" s="597">
        <f t="shared" si="78"/>
        <v>1.5733116000000003</v>
      </c>
      <c r="AP60" s="597">
        <f t="shared" si="79"/>
        <v>1.5733116000000003</v>
      </c>
      <c r="AQ60" s="598">
        <f t="shared" si="28"/>
        <v>28.319611540459544</v>
      </c>
      <c r="AR60" s="597">
        <f t="shared" si="29"/>
        <v>1.5733187532467536</v>
      </c>
      <c r="AS60" s="599">
        <f t="shared" si="30"/>
        <v>1.5733187532467536</v>
      </c>
      <c r="AT60" s="593">
        <f t="shared" si="87"/>
        <v>28.319611540459544</v>
      </c>
      <c r="AU60" s="594">
        <f t="shared" si="87"/>
        <v>1.5733187532467536</v>
      </c>
      <c r="AV60" s="595">
        <f t="shared" si="87"/>
        <v>1.5733187532467536</v>
      </c>
      <c r="AW60" s="285"/>
      <c r="AX60" s="550" t="str">
        <f t="shared" ca="1" si="12"/>
        <v>ITDEM</v>
      </c>
      <c r="AY60" s="592" t="s">
        <v>61</v>
      </c>
      <c r="AZ60" s="593">
        <f>M101/1000</f>
        <v>32.66046</v>
      </c>
      <c r="BA60" s="594">
        <f>AZ60*$AN$23</f>
        <v>29.394414000000001</v>
      </c>
      <c r="BB60" s="597">
        <f t="shared" si="60"/>
        <v>1.6330230000000001</v>
      </c>
      <c r="BC60" s="597">
        <f t="shared" si="61"/>
        <v>1.6330230000000001</v>
      </c>
      <c r="BD60" s="593">
        <f t="shared" si="33"/>
        <v>29.394424586138616</v>
      </c>
      <c r="BE60" s="594">
        <f t="shared" si="34"/>
        <v>1.6330339960396041</v>
      </c>
      <c r="BF60" s="595">
        <f t="shared" si="35"/>
        <v>1.6330339960396041</v>
      </c>
      <c r="BG60" s="593">
        <f t="shared" si="88"/>
        <v>29.394424586138616</v>
      </c>
      <c r="BH60" s="594">
        <f t="shared" si="88"/>
        <v>1.6330339960396041</v>
      </c>
      <c r="BI60" s="595">
        <f t="shared" si="88"/>
        <v>1.6330339960396041</v>
      </c>
      <c r="BJ60" s="285"/>
      <c r="BK60" s="550" t="str">
        <f ca="1">AK60</f>
        <v>ITDEM</v>
      </c>
      <c r="BL60" s="592" t="s">
        <v>61</v>
      </c>
      <c r="BM60" s="593">
        <f>M121/1000</f>
        <v>29.949192</v>
      </c>
      <c r="BN60" s="594">
        <f>BM60*$AN$23</f>
        <v>26.954272800000002</v>
      </c>
      <c r="BO60" s="597">
        <f t="shared" si="53"/>
        <v>1.4974596</v>
      </c>
      <c r="BP60" s="597">
        <f t="shared" si="54"/>
        <v>1.4974596</v>
      </c>
      <c r="BQ60" s="593">
        <f t="shared" si="38"/>
        <v>26.954287556435641</v>
      </c>
      <c r="BR60" s="594">
        <f t="shared" si="39"/>
        <v>1.4974604198019803</v>
      </c>
      <c r="BS60" s="595">
        <f t="shared" si="40"/>
        <v>1.4974604198019803</v>
      </c>
      <c r="BT60" s="593">
        <f t="shared" si="89"/>
        <v>26.954287556435641</v>
      </c>
      <c r="BU60" s="594">
        <f t="shared" si="89"/>
        <v>1.4974604198019803</v>
      </c>
      <c r="BV60" s="595">
        <f t="shared" si="89"/>
        <v>1.4974604198019803</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50" t="str">
        <f ca="1">F61</f>
        <v>ITDTF</v>
      </c>
      <c r="AL61" s="592" t="s">
        <v>59</v>
      </c>
      <c r="AM61" s="593">
        <f>F79/1000</f>
        <v>3.7747600000000001</v>
      </c>
      <c r="AN61" s="594">
        <f t="shared" si="77"/>
        <v>3.397284</v>
      </c>
      <c r="AO61" s="597">
        <f t="shared" si="78"/>
        <v>0.18873800000000002</v>
      </c>
      <c r="AP61" s="597">
        <f t="shared" si="79"/>
        <v>0.18873800000000002</v>
      </c>
      <c r="AQ61" s="598">
        <f t="shared" si="28"/>
        <v>3.3972872727272736</v>
      </c>
      <c r="AR61" s="597">
        <f t="shared" si="29"/>
        <v>0.18874343256743259</v>
      </c>
      <c r="AS61" s="599">
        <f t="shared" si="30"/>
        <v>0.18874343256743259</v>
      </c>
      <c r="AT61" s="593">
        <f t="shared" si="87"/>
        <v>3.3972872727272736</v>
      </c>
      <c r="AU61" s="594">
        <f t="shared" si="87"/>
        <v>0.18874343256743259</v>
      </c>
      <c r="AV61" s="595">
        <f t="shared" si="87"/>
        <v>0.18874343256743259</v>
      </c>
      <c r="AW61" s="285"/>
      <c r="AX61" s="550" t="str">
        <f t="shared" ca="1" si="12"/>
        <v>ITDTF</v>
      </c>
      <c r="AY61" s="592" t="s">
        <v>59</v>
      </c>
      <c r="AZ61" s="593">
        <f>F99/1000</f>
        <v>1.626932</v>
      </c>
      <c r="BA61" s="594">
        <f>AZ61*$AN$23</f>
        <v>1.4642388000000002</v>
      </c>
      <c r="BB61" s="597">
        <f t="shared" si="60"/>
        <v>8.1346600000000005E-2</v>
      </c>
      <c r="BC61" s="597">
        <f t="shared" si="61"/>
        <v>8.1346600000000005E-2</v>
      </c>
      <c r="BD61" s="593">
        <f t="shared" si="33"/>
        <v>1.4642539485148516</v>
      </c>
      <c r="BE61" s="594">
        <f t="shared" si="34"/>
        <v>8.1353512871287129E-2</v>
      </c>
      <c r="BF61" s="595">
        <f t="shared" si="35"/>
        <v>8.1353512871287129E-2</v>
      </c>
      <c r="BG61" s="593">
        <f t="shared" si="88"/>
        <v>1.4642539485148516</v>
      </c>
      <c r="BH61" s="594">
        <f t="shared" si="88"/>
        <v>8.1353512871287129E-2</v>
      </c>
      <c r="BI61" s="595">
        <f t="shared" si="88"/>
        <v>8.1353512871287129E-2</v>
      </c>
      <c r="BJ61" s="285"/>
      <c r="BK61" s="550" t="str">
        <f ca="1">AK61</f>
        <v>ITDTF</v>
      </c>
      <c r="BL61" s="592" t="s">
        <v>59</v>
      </c>
      <c r="BM61" s="593">
        <f>F119/1000</f>
        <v>1.373664</v>
      </c>
      <c r="BN61" s="594">
        <f>BM61*$AN$23</f>
        <v>1.2362976000000001</v>
      </c>
      <c r="BO61" s="597">
        <f t="shared" si="53"/>
        <v>6.86832E-2</v>
      </c>
      <c r="BP61" s="597">
        <f t="shared" si="54"/>
        <v>6.86832E-2</v>
      </c>
      <c r="BQ61" s="593">
        <f t="shared" si="38"/>
        <v>1.2363048712871287</v>
      </c>
      <c r="BR61" s="594">
        <f t="shared" si="39"/>
        <v>6.8692277227722781E-2</v>
      </c>
      <c r="BS61" s="595">
        <f t="shared" si="40"/>
        <v>6.8692277227722781E-2</v>
      </c>
      <c r="BT61" s="593">
        <f t="shared" si="89"/>
        <v>1.2363048712871287</v>
      </c>
      <c r="BU61" s="594">
        <f t="shared" si="89"/>
        <v>6.8692277227722781E-2</v>
      </c>
      <c r="BV61" s="595">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f t="shared" si="24"/>
        <v>9.3119999999999994</v>
      </c>
      <c r="N62" s="323">
        <f t="shared" si="25"/>
        <v>0.51800000000000002</v>
      </c>
      <c r="O62" s="323">
        <f t="shared" si="26"/>
        <v>0.51800000000000002</v>
      </c>
      <c r="P62" s="323">
        <f t="shared" si="1"/>
        <v>9.3119999999999994</v>
      </c>
      <c r="Q62" s="323">
        <f t="shared" si="2"/>
        <v>0.51800000000000002</v>
      </c>
      <c r="R62" s="323">
        <f t="shared" si="3"/>
        <v>0.51800000000000002</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0.16399665134865135</v>
      </c>
      <c r="AH62" s="236">
        <f t="shared" si="83"/>
        <v>9.6981005940594084E-2</v>
      </c>
      <c r="AI62" s="236">
        <f t="shared" si="84"/>
        <v>0.15346479207920791</v>
      </c>
      <c r="AJ62" s="285"/>
      <c r="AK62" s="550" t="str">
        <f ca="1">F62</f>
        <v>ITDFL</v>
      </c>
      <c r="AL62" s="546" t="s">
        <v>53</v>
      </c>
      <c r="AM62" s="547">
        <f>H79/1000</f>
        <v>0.17261625</v>
      </c>
      <c r="AN62" s="548">
        <f t="shared" si="77"/>
        <v>0.155354625</v>
      </c>
      <c r="AO62" s="549">
        <f t="shared" si="78"/>
        <v>8.6308124999999996E-3</v>
      </c>
      <c r="AP62" s="549">
        <f t="shared" si="79"/>
        <v>8.6308124999999996E-3</v>
      </c>
      <c r="AQ62" s="559">
        <f t="shared" si="28"/>
        <v>0.1553644195804196</v>
      </c>
      <c r="AR62" s="549">
        <f t="shared" si="29"/>
        <v>8.6322317682317705E-3</v>
      </c>
      <c r="AS62" s="555">
        <f t="shared" si="30"/>
        <v>8.6322317682317705E-3</v>
      </c>
      <c r="AT62" s="560">
        <f t="shared" si="87"/>
        <v>0.1553644195804196</v>
      </c>
      <c r="AU62" s="551">
        <f t="shared" si="87"/>
        <v>8.6322317682317705E-3</v>
      </c>
      <c r="AV62" s="552">
        <f t="shared" si="87"/>
        <v>8.6322317682317705E-3</v>
      </c>
      <c r="AW62" s="285"/>
      <c r="AX62" s="550" t="str">
        <f t="shared" ca="1" si="12"/>
        <v>ITDFL</v>
      </c>
      <c r="AY62" s="546" t="s">
        <v>53</v>
      </c>
      <c r="AZ62" s="547">
        <f>H99/1000</f>
        <v>0.10207350000000001</v>
      </c>
      <c r="BA62" s="548">
        <f>AZ62*$AN$23</f>
        <v>9.1866150000000008E-2</v>
      </c>
      <c r="BB62" s="549">
        <f t="shared" si="60"/>
        <v>5.1036750000000011E-3</v>
      </c>
      <c r="BC62" s="549">
        <f t="shared" si="61"/>
        <v>5.1036750000000011E-3</v>
      </c>
      <c r="BD62" s="560">
        <f t="shared" si="33"/>
        <v>9.1875920792079221E-2</v>
      </c>
      <c r="BE62" s="551">
        <f t="shared" si="34"/>
        <v>5.105085148514852E-3</v>
      </c>
      <c r="BF62" s="552">
        <f t="shared" si="35"/>
        <v>5.105085148514852E-3</v>
      </c>
      <c r="BG62" s="560">
        <f t="shared" si="88"/>
        <v>9.1875920792079221E-2</v>
      </c>
      <c r="BH62" s="551">
        <f t="shared" si="88"/>
        <v>5.105085148514852E-3</v>
      </c>
      <c r="BI62" s="552">
        <f t="shared" si="88"/>
        <v>5.105085148514852E-3</v>
      </c>
      <c r="BJ62" s="285"/>
      <c r="BK62" s="550" t="str">
        <f ca="1">AK62</f>
        <v>ITDFL</v>
      </c>
      <c r="BL62" s="546" t="s">
        <v>53</v>
      </c>
      <c r="BM62" s="547">
        <f>H119/1000</f>
        <v>0.16152749999999999</v>
      </c>
      <c r="BN62" s="548">
        <f>BM62*$AN$23</f>
        <v>0.14537475</v>
      </c>
      <c r="BO62" s="549">
        <f t="shared" si="53"/>
        <v>8.0763750000000002E-3</v>
      </c>
      <c r="BP62" s="549">
        <f t="shared" si="54"/>
        <v>8.0763750000000002E-3</v>
      </c>
      <c r="BQ62" s="560">
        <f t="shared" si="38"/>
        <v>0.14537783762376238</v>
      </c>
      <c r="BR62" s="551">
        <f t="shared" si="39"/>
        <v>8.0869544554455445E-3</v>
      </c>
      <c r="BS62" s="552">
        <f t="shared" si="40"/>
        <v>8.0869544554455445E-3</v>
      </c>
      <c r="BT62" s="560">
        <f t="shared" si="89"/>
        <v>0.14537783762376238</v>
      </c>
      <c r="BU62" s="551">
        <f t="shared" si="89"/>
        <v>8.0869544554455445E-3</v>
      </c>
      <c r="BV62" s="552">
        <f t="shared" si="89"/>
        <v>8.0869544554455445E-3</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23"/>
      <c r="AG66" s="525"/>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0</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0</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64216.800000000003</v>
      </c>
      <c r="W87" s="117"/>
    </row>
    <row r="88" spans="3:24" ht="12.75" customHeight="1">
      <c r="O88" s="86"/>
      <c r="T88" s="122" t="str">
        <f>+'Energy matrix'!B16</f>
        <v>District Heating</v>
      </c>
      <c r="U88" s="122"/>
      <c r="V88" s="123">
        <f>+INDEX('Energy matrix'!C16:N16,1,$D$2)</f>
        <v>15937</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122869.057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f t="shared" si="110"/>
        <v>0</v>
      </c>
      <c r="K97" s="14">
        <f t="shared" si="110"/>
        <v>0</v>
      </c>
      <c r="L97" s="14">
        <f t="shared" si="110"/>
        <v>0</v>
      </c>
      <c r="M97" s="14">
        <f t="shared" si="110"/>
        <v>5998.86</v>
      </c>
      <c r="N97" s="14">
        <f t="shared" si="110"/>
        <v>0</v>
      </c>
      <c r="O97" s="86"/>
      <c r="R97" s="287"/>
      <c r="S97" s="287"/>
      <c r="T97" s="48" t="s">
        <v>209</v>
      </c>
      <c r="U97" s="48"/>
      <c r="V97" s="126" t="str">
        <f>+INDEX('Energy matrix'!C24:N24,1,$D$2)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6665.4000000000005</v>
      </c>
      <c r="N98" s="14">
        <f t="shared" si="111"/>
        <v>0</v>
      </c>
      <c r="O98" s="86"/>
      <c r="R98" s="287"/>
      <c r="S98" s="287"/>
      <c r="T98" s="117" t="str">
        <f>'Energy matrix'!B25</f>
        <v>Coal</v>
      </c>
      <c r="U98" s="117"/>
      <c r="V98" s="118">
        <f>+INDEX('Energy matrix'!C25:N25,1,$D$2)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6665.4000000000005</v>
      </c>
      <c r="N100" s="14">
        <f t="shared" si="113"/>
        <v>6434.1075875809393</v>
      </c>
      <c r="O100" s="86"/>
      <c r="R100" s="287"/>
      <c r="S100" s="287"/>
      <c r="T100" s="117" t="str">
        <f>'Energy matrix'!B27</f>
        <v>Diesel</v>
      </c>
      <c r="U100" s="117"/>
      <c r="V100" s="118">
        <f>+INDEX('Energy matrix'!C27:N27,1,$D$2)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32660.46</v>
      </c>
      <c r="N101" s="14">
        <f t="shared" si="114"/>
        <v>6769.4172339365759</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f t="shared" si="115"/>
        <v>0</v>
      </c>
      <c r="K102" s="14">
        <f t="shared" si="115"/>
        <v>0</v>
      </c>
      <c r="L102" s="14">
        <f t="shared" si="115"/>
        <v>0</v>
      </c>
      <c r="M102" s="14">
        <f t="shared" si="115"/>
        <v>666.54</v>
      </c>
      <c r="N102" s="14">
        <f t="shared" si="115"/>
        <v>236.47517848248381</v>
      </c>
      <c r="O102" s="86"/>
      <c r="R102" s="287"/>
      <c r="S102" s="287"/>
      <c r="T102" s="117" t="str">
        <f>'Energy matrix'!B29</f>
        <v>LPG</v>
      </c>
      <c r="U102" s="117"/>
      <c r="V102" s="118">
        <f>+INDEX('Energy matrix'!C29:N29,1,$D$2)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f t="shared" si="116"/>
        <v>0</v>
      </c>
      <c r="K103" s="18">
        <f t="shared" si="116"/>
        <v>0</v>
      </c>
      <c r="L103" s="18">
        <f t="shared" si="116"/>
        <v>0</v>
      </c>
      <c r="M103" s="18">
        <f t="shared" si="116"/>
        <v>52656.659999999996</v>
      </c>
      <c r="N103" s="18">
        <f t="shared" si="116"/>
        <v>13440</v>
      </c>
      <c r="O103" s="86"/>
      <c r="R103" s="287"/>
      <c r="S103" s="287"/>
      <c r="T103" s="117" t="str">
        <f>'Energy matrix'!B31</f>
        <v>Natural gas</v>
      </c>
      <c r="U103" s="117"/>
      <c r="V103" s="118">
        <f>+INDEX('Energy matrix'!C31:N31,1,$D$2)</f>
        <v>36487.800000000003</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66654</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118471.64600000001</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f t="shared" si="127"/>
        <v>53.842500000000001</v>
      </c>
      <c r="I117" s="14">
        <f t="shared" si="127"/>
        <v>32944.644899999999</v>
      </c>
      <c r="J117" s="14">
        <f t="shared" si="127"/>
        <v>0</v>
      </c>
      <c r="K117" s="14">
        <f t="shared" si="127"/>
        <v>0</v>
      </c>
      <c r="L117" s="14">
        <f t="shared" si="127"/>
        <v>0</v>
      </c>
      <c r="M117" s="14">
        <f t="shared" si="127"/>
        <v>5500.8720000000003</v>
      </c>
      <c r="N117" s="14">
        <f t="shared" si="127"/>
        <v>0</v>
      </c>
      <c r="O117" s="86"/>
      <c r="T117" s="48" t="s">
        <v>209</v>
      </c>
      <c r="U117" s="48"/>
      <c r="V117" s="126" t="str">
        <f>+INDEX('Energy matrix'!C44:N44,1,$D$2)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6112.0800000000008</v>
      </c>
      <c r="N118" s="14">
        <f t="shared" si="128"/>
        <v>0</v>
      </c>
      <c r="O118" s="86"/>
      <c r="T118" s="117" t="str">
        <f>'Energy matrix'!B45</f>
        <v>Coal</v>
      </c>
      <c r="U118" s="117"/>
      <c r="V118" s="118">
        <f>+INDEX('Energy matrix'!C45:N45,1,$D$2)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f t="shared" si="129"/>
        <v>161.5275</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6112.0800000000008</v>
      </c>
      <c r="N120" s="14">
        <f t="shared" si="130"/>
        <v>5805.0586761165532</v>
      </c>
      <c r="O120" s="86"/>
      <c r="T120" s="117" t="str">
        <f>'Energy matrix'!B47</f>
        <v>Diesel</v>
      </c>
      <c r="U120" s="117"/>
      <c r="V120" s="118">
        <f>+INDEX('Energy matrix'!C47:N47,1,$D$2)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29949.191999999999</v>
      </c>
      <c r="N121" s="14">
        <f t="shared" si="131"/>
        <v>6107.58581686867</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3660.5161000000003</v>
      </c>
      <c r="J122" s="14">
        <f t="shared" si="132"/>
        <v>0</v>
      </c>
      <c r="K122" s="14">
        <f t="shared" si="132"/>
        <v>0</v>
      </c>
      <c r="L122" s="14">
        <f t="shared" si="132"/>
        <v>0</v>
      </c>
      <c r="M122" s="14">
        <f t="shared" si="132"/>
        <v>611.20800000000008</v>
      </c>
      <c r="N122" s="14">
        <f t="shared" si="132"/>
        <v>213.35550701477669</v>
      </c>
      <c r="O122" s="86"/>
      <c r="T122" s="117" t="str">
        <f>'Energy matrix'!B49</f>
        <v>LPG</v>
      </c>
      <c r="U122" s="117"/>
      <c r="V122" s="118">
        <f>+INDEX('Energy matrix'!C49:N49,1,$D$2)</f>
        <v>215.37</v>
      </c>
      <c r="W122" s="117"/>
    </row>
    <row r="123" spans="3:31" ht="12.75" customHeight="1">
      <c r="C123" s="17" t="s">
        <v>57</v>
      </c>
      <c r="D123" s="18">
        <f t="shared" ref="D123:N123" si="133">SUM(D117:D122)</f>
        <v>7161.88</v>
      </c>
      <c r="E123" s="18">
        <f t="shared" si="133"/>
        <v>0</v>
      </c>
      <c r="F123" s="18">
        <f t="shared" si="133"/>
        <v>1373.664</v>
      </c>
      <c r="G123" s="18">
        <f t="shared" si="133"/>
        <v>0</v>
      </c>
      <c r="H123" s="18">
        <f t="shared" si="133"/>
        <v>215.37</v>
      </c>
      <c r="I123" s="18">
        <f t="shared" si="133"/>
        <v>36605.161</v>
      </c>
      <c r="J123" s="18">
        <f t="shared" si="133"/>
        <v>0</v>
      </c>
      <c r="K123" s="18">
        <f t="shared" si="133"/>
        <v>0</v>
      </c>
      <c r="L123" s="18">
        <f t="shared" si="133"/>
        <v>0</v>
      </c>
      <c r="M123" s="18">
        <f t="shared" si="133"/>
        <v>48285.432000000001</v>
      </c>
      <c r="N123" s="18">
        <f t="shared" si="133"/>
        <v>12125.999999999998</v>
      </c>
      <c r="O123" s="86"/>
      <c r="T123" s="117" t="str">
        <f>'Energy matrix'!B51</f>
        <v>Natural gas</v>
      </c>
      <c r="U123" s="117"/>
      <c r="V123" s="118">
        <f>+INDEX('Energy matrix'!C51:N51,1,$D$2)</f>
        <v>36605.161</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61120.800000000003</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12126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118602.875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18"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534</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535</v>
      </c>
      <c r="E151" s="22"/>
      <c r="F151" s="22"/>
      <c r="G151" s="22"/>
      <c r="H151" s="22">
        <v>0</v>
      </c>
      <c r="I151" s="22"/>
      <c r="J151" s="22"/>
      <c r="K151" s="22">
        <v>0</v>
      </c>
      <c r="L151" s="624"/>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25">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539</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Z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3752.9730000000004</v>
      </c>
      <c r="N26" s="322">
        <f>ROUNDUP(BO26/($Z26*$AA26)*N$21*X26,3)</f>
        <v>208.499</v>
      </c>
      <c r="O26" s="322">
        <f>ROUNDUP(BP26/($Z26*$AA26)*O$21*Y26,3)</f>
        <v>208.499</v>
      </c>
      <c r="P26" s="322">
        <f t="shared" ref="P26:P62" si="1">M26</f>
        <v>3752.9730000000004</v>
      </c>
      <c r="Q26" s="322">
        <f t="shared" ref="Q26:Q62" si="2">N26</f>
        <v>208.499</v>
      </c>
      <c r="R26" s="322">
        <f t="shared" ref="R26:R62" si="3">O26</f>
        <v>208.499</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63.108194075570836</v>
      </c>
      <c r="AJ26" s="285"/>
      <c r="AK26" s="544"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44"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44" t="str">
        <f ca="1">AK26</f>
        <v>IMDPH</v>
      </c>
      <c r="BL26" s="350" t="s">
        <v>97</v>
      </c>
      <c r="BM26" s="313">
        <f>I117/1000</f>
        <v>66.429660600000005</v>
      </c>
      <c r="BN26" s="310">
        <f>BM26*$AN$23</f>
        <v>59.786694540000006</v>
      </c>
      <c r="BO26" s="311">
        <f>BM26*$BB$23</f>
        <v>3.3214830300000004</v>
      </c>
      <c r="BP26" s="311">
        <f>BM26*$BC$23</f>
        <v>3.3214830300000004</v>
      </c>
      <c r="BQ26" s="313">
        <f>IFERROR(M26*$Z26*$AA26/M$21,0)</f>
        <v>58.590968578217833</v>
      </c>
      <c r="BR26" s="310">
        <f>IFERROR(N26*$Z26*$AA26/N$21,0)</f>
        <v>3.2550616158415844</v>
      </c>
      <c r="BS26" s="357">
        <f>IFERROR(O26*$Z26*$AA26/O$21,0)</f>
        <v>3.2550616158415844</v>
      </c>
      <c r="BT26" s="313">
        <f>IFERROR(BQ26/W26,0)</f>
        <v>59.786702630834526</v>
      </c>
      <c r="BU26" s="310">
        <f>IFERROR(BR26/X26,0)</f>
        <v>3.3214914447363109</v>
      </c>
      <c r="BV26" s="357">
        <f>IFERROR(BS26/Y26,0)</f>
        <v>3.3214914447363109</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54">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73" t="s">
        <v>101</v>
      </c>
      <c r="AM32" s="574">
        <f>E77/1000</f>
        <v>0.121044</v>
      </c>
      <c r="AN32" s="575">
        <f t="shared" si="47"/>
        <v>0.1089396</v>
      </c>
      <c r="AO32" s="576">
        <f>AM32*$AO$23</f>
        <v>6.0522000000000006E-3</v>
      </c>
      <c r="AP32" s="576">
        <f t="shared" si="49"/>
        <v>6.0522000000000006E-3</v>
      </c>
      <c r="AQ32" s="596">
        <f t="shared" si="28"/>
        <v>0.1014287232767233</v>
      </c>
      <c r="AR32" s="576">
        <f t="shared" si="29"/>
        <v>5.6393046953046961E-3</v>
      </c>
      <c r="AS32" s="577">
        <f t="shared" si="30"/>
        <v>5.6393046953046961E-3</v>
      </c>
      <c r="AT32" s="574">
        <f t="shared" si="50"/>
        <v>0.10894599707489076</v>
      </c>
      <c r="AU32" s="575">
        <f t="shared" si="50"/>
        <v>6.0572553118202971E-3</v>
      </c>
      <c r="AV32" s="580">
        <f t="shared" si="50"/>
        <v>6.0572553118202971E-3</v>
      </c>
      <c r="AW32" s="285"/>
      <c r="AX32" s="290"/>
      <c r="AY32" s="573" t="s">
        <v>101</v>
      </c>
      <c r="AZ32" s="574">
        <f>E97/1000</f>
        <v>4.0735E-2</v>
      </c>
      <c r="BA32" s="575">
        <f>AZ32*$AN$23</f>
        <v>3.66615E-2</v>
      </c>
      <c r="BB32" s="576">
        <f t="shared" ref="BB32:BB34" si="51">AZ32*$BB$23</f>
        <v>2.0367499999999999E-3</v>
      </c>
      <c r="BC32" s="576">
        <f t="shared" ref="BC32:BC34" si="52">AZ32*$BC$23</f>
        <v>2.0367499999999999E-3</v>
      </c>
      <c r="BD32" s="574">
        <f>IFERROR(J32*$Z32*AA32/J$21,0)</f>
        <v>3.4143184158415836E-2</v>
      </c>
      <c r="BE32" s="575">
        <f t="shared" si="34"/>
        <v>1.9046495049504951E-3</v>
      </c>
      <c r="BF32" s="580">
        <f t="shared" si="35"/>
        <v>1.9046495049504951E-3</v>
      </c>
      <c r="BG32" s="574">
        <f t="shared" si="15"/>
        <v>3.6673667194861266E-2</v>
      </c>
      <c r="BH32" s="575">
        <f t="shared" si="16"/>
        <v>2.0458104242217995E-3</v>
      </c>
      <c r="BI32" s="580">
        <f t="shared" si="17"/>
        <v>2.0458104242217995E-3</v>
      </c>
      <c r="BJ32" s="285"/>
      <c r="BK32" s="290"/>
      <c r="BL32" s="573" t="s">
        <v>101</v>
      </c>
      <c r="BM32" s="574">
        <f>E117/1000</f>
        <v>4.0343000000000004E-2</v>
      </c>
      <c r="BN32" s="575">
        <f>BM32*$AN$23</f>
        <v>3.6308700000000006E-2</v>
      </c>
      <c r="BO32" s="576">
        <f t="shared" ref="BO32:BO62" si="53">BM32*$BB$23</f>
        <v>2.0171500000000001E-3</v>
      </c>
      <c r="BP32" s="576">
        <f t="shared" ref="BP32:BP62" si="54">BM32*$BC$23</f>
        <v>2.0171500000000001E-3</v>
      </c>
      <c r="BQ32" s="574">
        <f t="shared" si="38"/>
        <v>3.3815334653465347E-2</v>
      </c>
      <c r="BR32" s="575">
        <f t="shared" si="39"/>
        <v>1.8890376237623763E-3</v>
      </c>
      <c r="BS32" s="580">
        <f t="shared" si="40"/>
        <v>1.8890376237623763E-3</v>
      </c>
      <c r="BT32" s="574">
        <f t="shared" si="41"/>
        <v>3.632151949888867E-2</v>
      </c>
      <c r="BU32" s="575">
        <f t="shared" si="42"/>
        <v>2.029041486318342E-3</v>
      </c>
      <c r="BV32" s="580">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f t="shared" si="24"/>
        <v>13.385</v>
      </c>
      <c r="N33" s="322">
        <f t="shared" si="25"/>
        <v>0.74399999999999999</v>
      </c>
      <c r="O33" s="322">
        <f t="shared" si="26"/>
        <v>0.74399999999999999</v>
      </c>
      <c r="P33" s="322">
        <f t="shared" si="1"/>
        <v>13.385</v>
      </c>
      <c r="Q33" s="322">
        <f t="shared" si="2"/>
        <v>0.74399999999999999</v>
      </c>
      <c r="R33" s="322">
        <f t="shared" si="3"/>
        <v>0.74399999999999999</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f t="shared" si="10"/>
        <v>0.22508190745605175</v>
      </c>
      <c r="AJ33" s="285"/>
      <c r="AK33" s="290"/>
      <c r="AL33" s="573" t="s">
        <v>53</v>
      </c>
      <c r="AM33" s="574">
        <f>H77/1000</f>
        <v>0.60991075000000006</v>
      </c>
      <c r="AN33" s="575">
        <f t="shared" si="47"/>
        <v>0.54891967500000005</v>
      </c>
      <c r="AO33" s="576">
        <f t="shared" si="48"/>
        <v>3.0495537500000003E-2</v>
      </c>
      <c r="AP33" s="576">
        <f t="shared" si="49"/>
        <v>3.0495537500000003E-2</v>
      </c>
      <c r="AQ33" s="596">
        <f t="shared" si="28"/>
        <v>0.53795501298701309</v>
      </c>
      <c r="AR33" s="576">
        <f t="shared" si="29"/>
        <v>2.9897766233766238E-2</v>
      </c>
      <c r="AS33" s="577">
        <f t="shared" si="30"/>
        <v>2.9897766233766238E-2</v>
      </c>
      <c r="AT33" s="574">
        <f t="shared" si="50"/>
        <v>0.54893368672144194</v>
      </c>
      <c r="AU33" s="575">
        <f t="shared" si="50"/>
        <v>3.0507924728332896E-2</v>
      </c>
      <c r="AV33" s="580">
        <f t="shared" si="50"/>
        <v>3.0507924728332896E-2</v>
      </c>
      <c r="AW33" s="285"/>
      <c r="AX33" s="290"/>
      <c r="AY33" s="573" t="s">
        <v>53</v>
      </c>
      <c r="AZ33" s="574">
        <f>H97/1000</f>
        <v>0.37426949999999998</v>
      </c>
      <c r="BA33" s="575">
        <f>AZ33*$AN$23</f>
        <v>0.33684254999999996</v>
      </c>
      <c r="BB33" s="576">
        <f t="shared" si="51"/>
        <v>1.8713475E-2</v>
      </c>
      <c r="BC33" s="576">
        <f t="shared" si="52"/>
        <v>1.8713475E-2</v>
      </c>
      <c r="BD33" s="574">
        <f t="shared" si="33"/>
        <v>0.3301132277227723</v>
      </c>
      <c r="BE33" s="575">
        <f t="shared" si="34"/>
        <v>1.8343960396039603E-2</v>
      </c>
      <c r="BF33" s="580">
        <f t="shared" si="35"/>
        <v>1.8343960396039603E-2</v>
      </c>
      <c r="BG33" s="574">
        <f t="shared" si="15"/>
        <v>0.33685023237017581</v>
      </c>
      <c r="BH33" s="575">
        <f t="shared" si="16"/>
        <v>1.871832693473429E-2</v>
      </c>
      <c r="BI33" s="580">
        <f t="shared" si="17"/>
        <v>1.871832693473429E-2</v>
      </c>
      <c r="BJ33" s="285"/>
      <c r="BK33" s="290"/>
      <c r="BL33" s="573" t="s">
        <v>53</v>
      </c>
      <c r="BM33" s="574">
        <f>H117/1000</f>
        <v>0.23690700000000001</v>
      </c>
      <c r="BN33" s="575">
        <f>BM33*$AN$23</f>
        <v>0.2132163</v>
      </c>
      <c r="BO33" s="576">
        <f t="shared" si="53"/>
        <v>1.1845350000000001E-2</v>
      </c>
      <c r="BP33" s="576">
        <f t="shared" si="54"/>
        <v>1.1845350000000001E-2</v>
      </c>
      <c r="BQ33" s="574">
        <f t="shared" si="38"/>
        <v>0.20896502970297029</v>
      </c>
      <c r="BR33" s="575">
        <f t="shared" si="39"/>
        <v>1.1615239603960397E-2</v>
      </c>
      <c r="BS33" s="580">
        <f t="shared" si="40"/>
        <v>1.1615239603960397E-2</v>
      </c>
      <c r="BT33" s="574">
        <f t="shared" si="41"/>
        <v>0.21322962214588806</v>
      </c>
      <c r="BU33" s="575">
        <f t="shared" si="42"/>
        <v>1.185228531016367E-2</v>
      </c>
      <c r="BV33" s="580">
        <f t="shared" si="43"/>
        <v>1.185228531016367E-2</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IMDCO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IMDCO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IMDCO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425.50799999999998</v>
      </c>
      <c r="N47" s="322">
        <f t="shared" si="25"/>
        <v>23.64</v>
      </c>
      <c r="O47" s="322">
        <f t="shared" si="26"/>
        <v>23.64</v>
      </c>
      <c r="P47" s="322">
        <f t="shared" si="1"/>
        <v>425.50799999999998</v>
      </c>
      <c r="Q47" s="322">
        <f t="shared" si="2"/>
        <v>23.64</v>
      </c>
      <c r="R47" s="322">
        <f t="shared" si="3"/>
        <v>23.64</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7.0120452118811887</v>
      </c>
      <c r="AJ47" s="285"/>
      <c r="AK47" s="544" t="str">
        <f ca="1">F47</f>
        <v>IMDSH</v>
      </c>
      <c r="AL47" s="585" t="s">
        <v>97</v>
      </c>
      <c r="AM47" s="586">
        <f>I82/1000</f>
        <v>7.4901571000000002</v>
      </c>
      <c r="AN47" s="588">
        <f t="shared" si="73"/>
        <v>6.7411413900000001</v>
      </c>
      <c r="AO47" s="576">
        <f>AM47*$AO$23</f>
        <v>0.37450785500000006</v>
      </c>
      <c r="AP47" s="576">
        <f>AM47*$AP$23</f>
        <v>0.37450785500000006</v>
      </c>
      <c r="AQ47" s="596">
        <f t="shared" si="28"/>
        <v>6.7411429210789215</v>
      </c>
      <c r="AR47" s="576">
        <f t="shared" si="29"/>
        <v>0.37450969030969039</v>
      </c>
      <c r="AS47" s="577">
        <f t="shared" si="30"/>
        <v>0.37450969030969039</v>
      </c>
      <c r="AT47" s="586">
        <f t="shared" si="74"/>
        <v>6.7411429210789215</v>
      </c>
      <c r="AU47" s="588">
        <f t="shared" si="74"/>
        <v>0.37450969030969039</v>
      </c>
      <c r="AV47" s="589">
        <f t="shared" si="74"/>
        <v>0.37450969030969039</v>
      </c>
      <c r="AW47" s="285"/>
      <c r="AX47" s="544" t="str">
        <f t="shared" ca="1" si="12"/>
        <v>IMDSH</v>
      </c>
      <c r="AY47" s="585" t="s">
        <v>97</v>
      </c>
      <c r="AZ47" s="586">
        <f>I102/1000</f>
        <v>7.1144100000000003</v>
      </c>
      <c r="BA47" s="588">
        <f t="shared" si="75"/>
        <v>6.4029690000000006</v>
      </c>
      <c r="BB47" s="576">
        <f t="shared" si="60"/>
        <v>0.35572050000000005</v>
      </c>
      <c r="BC47" s="576">
        <f t="shared" si="61"/>
        <v>0.35572050000000005</v>
      </c>
      <c r="BD47" s="586">
        <f t="shared" si="33"/>
        <v>6.4029788910891092</v>
      </c>
      <c r="BE47" s="588">
        <f t="shared" si="34"/>
        <v>0.35573232475247524</v>
      </c>
      <c r="BF47" s="589">
        <f t="shared" si="35"/>
        <v>0.35573232475247524</v>
      </c>
      <c r="BG47" s="586">
        <f t="shared" si="62"/>
        <v>6.4029788910891092</v>
      </c>
      <c r="BH47" s="588">
        <f t="shared" si="63"/>
        <v>0.35573232475247524</v>
      </c>
      <c r="BI47" s="589">
        <f t="shared" si="64"/>
        <v>0.35573232475247524</v>
      </c>
      <c r="BJ47" s="285"/>
      <c r="BK47" s="544" t="str">
        <f ca="1">AK47</f>
        <v>IMDSH</v>
      </c>
      <c r="BL47" s="585" t="s">
        <v>97</v>
      </c>
      <c r="BM47" s="586">
        <f>I122/1000</f>
        <v>7.3810734</v>
      </c>
      <c r="BN47" s="588">
        <f t="shared" si="76"/>
        <v>6.64296606</v>
      </c>
      <c r="BO47" s="576">
        <f t="shared" si="53"/>
        <v>0.36905367</v>
      </c>
      <c r="BP47" s="576">
        <f t="shared" si="54"/>
        <v>0.36905367</v>
      </c>
      <c r="BQ47" s="586">
        <f t="shared" si="38"/>
        <v>6.6429803405940602</v>
      </c>
      <c r="BR47" s="588">
        <f t="shared" si="39"/>
        <v>0.36906487128712873</v>
      </c>
      <c r="BS47" s="589">
        <f t="shared" si="40"/>
        <v>0.36906487128712873</v>
      </c>
      <c r="BT47" s="586">
        <f t="shared" si="65"/>
        <v>6.6429803405940602</v>
      </c>
      <c r="BU47" s="588">
        <f t="shared" si="66"/>
        <v>0.36906487128712873</v>
      </c>
      <c r="BV47" s="589">
        <f t="shared" si="67"/>
        <v>0.36906487128712873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625.86199999999997</v>
      </c>
      <c r="N56" s="321">
        <f t="shared" si="25"/>
        <v>0</v>
      </c>
      <c r="O56" s="321">
        <f t="shared" si="26"/>
        <v>0</v>
      </c>
      <c r="P56" s="321">
        <f t="shared" si="1"/>
        <v>625.86199999999997</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10.178003316831681</v>
      </c>
      <c r="AJ56" s="285"/>
      <c r="AK56" s="356"/>
      <c r="AL56" s="573" t="s">
        <v>103</v>
      </c>
      <c r="AM56" s="574">
        <f>N82/1000</f>
        <v>13.135999999999999</v>
      </c>
      <c r="AN56" s="627">
        <f>AM56</f>
        <v>13.135999999999999</v>
      </c>
      <c r="AO56" s="628">
        <v>0</v>
      </c>
      <c r="AP56" s="628">
        <v>0</v>
      </c>
      <c r="AQ56" s="596">
        <f t="shared" si="28"/>
        <v>12.610572203796206</v>
      </c>
      <c r="AR56" s="576">
        <f t="shared" si="29"/>
        <v>0</v>
      </c>
      <c r="AS56" s="577">
        <f t="shared" si="30"/>
        <v>0</v>
      </c>
      <c r="AT56" s="574">
        <f t="shared" si="85"/>
        <v>13.136012712287716</v>
      </c>
      <c r="AU56" s="575">
        <f t="shared" si="85"/>
        <v>0</v>
      </c>
      <c r="AV56" s="580">
        <f t="shared" si="85"/>
        <v>0</v>
      </c>
      <c r="AW56" s="285"/>
      <c r="AX56" s="356"/>
      <c r="AY56" s="573" t="s">
        <v>103</v>
      </c>
      <c r="AZ56" s="574">
        <f>N102/1000</f>
        <v>9.9290000000000003</v>
      </c>
      <c r="BA56" s="627">
        <f>AZ56</f>
        <v>9.9290000000000003</v>
      </c>
      <c r="BB56" s="628">
        <v>0</v>
      </c>
      <c r="BC56" s="628">
        <v>0</v>
      </c>
      <c r="BD56" s="574">
        <f t="shared" si="33"/>
        <v>9.5318496712871283</v>
      </c>
      <c r="BE56" s="575">
        <f t="shared" si="34"/>
        <v>0</v>
      </c>
      <c r="BF56" s="580">
        <f t="shared" si="35"/>
        <v>0</v>
      </c>
      <c r="BG56" s="574">
        <f t="shared" si="62"/>
        <v>9.929010074257425</v>
      </c>
      <c r="BH56" s="575">
        <f t="shared" si="63"/>
        <v>0</v>
      </c>
      <c r="BI56" s="580">
        <f t="shared" si="64"/>
        <v>0</v>
      </c>
      <c r="BJ56" s="285"/>
      <c r="BK56" s="356"/>
      <c r="BL56" s="573" t="s">
        <v>103</v>
      </c>
      <c r="BM56" s="574">
        <f>N122/1000</f>
        <v>10.178000000000001</v>
      </c>
      <c r="BN56" s="627">
        <f>BM56</f>
        <v>10.178000000000001</v>
      </c>
      <c r="BO56" s="628">
        <v>0</v>
      </c>
      <c r="BP56" s="628">
        <v>0</v>
      </c>
      <c r="BQ56" s="574">
        <f t="shared" si="38"/>
        <v>9.7708831841584143</v>
      </c>
      <c r="BR56" s="575">
        <f t="shared" si="39"/>
        <v>0</v>
      </c>
      <c r="BS56" s="580">
        <f t="shared" si="40"/>
        <v>0</v>
      </c>
      <c r="BT56" s="574">
        <f t="shared" si="65"/>
        <v>10.178003316831681</v>
      </c>
      <c r="BU56" s="575">
        <f t="shared" si="66"/>
        <v>0</v>
      </c>
      <c r="BV56" s="580">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259.71999999999997</v>
      </c>
      <c r="N58" s="324">
        <f t="shared" si="25"/>
        <v>14.429</v>
      </c>
      <c r="O58" s="324">
        <f t="shared" si="26"/>
        <v>14.429</v>
      </c>
      <c r="P58" s="324">
        <f t="shared" si="1"/>
        <v>259.71999999999997</v>
      </c>
      <c r="Q58" s="324">
        <f t="shared" si="2"/>
        <v>14.429</v>
      </c>
      <c r="R58" s="324">
        <f t="shared" si="3"/>
        <v>14.429</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4.5052438061490356</v>
      </c>
      <c r="AJ58" s="285"/>
      <c r="AK58" s="355"/>
      <c r="AL58" s="581" t="s">
        <v>61</v>
      </c>
      <c r="AM58" s="574">
        <f>M82/1000</f>
        <v>4.7390400000000001</v>
      </c>
      <c r="AN58" s="575">
        <f t="shared" si="77"/>
        <v>4.265136</v>
      </c>
      <c r="AO58" s="576">
        <f t="shared" si="78"/>
        <v>0.23695200000000002</v>
      </c>
      <c r="AP58" s="576">
        <f t="shared" si="79"/>
        <v>0.23695200000000002</v>
      </c>
      <c r="AQ58" s="596">
        <f t="shared" si="28"/>
        <v>4.0518876803196813</v>
      </c>
      <c r="AR58" s="576">
        <f t="shared" si="29"/>
        <v>0.22511537262737263</v>
      </c>
      <c r="AS58" s="577">
        <f t="shared" si="30"/>
        <v>0.22511537262737263</v>
      </c>
      <c r="AT58" s="574">
        <f t="shared" ref="AT58:AV62" si="87">IFERROR(AQ58/W58,0)</f>
        <v>4.2651449266522965</v>
      </c>
      <c r="AU58" s="575">
        <f t="shared" si="87"/>
        <v>0.23696355013407647</v>
      </c>
      <c r="AV58" s="580">
        <f t="shared" si="87"/>
        <v>0.23696355013407647</v>
      </c>
      <c r="AW58" s="285"/>
      <c r="AX58" s="355"/>
      <c r="AY58" s="581" t="s">
        <v>61</v>
      </c>
      <c r="AZ58" s="574">
        <f>M102/1000</f>
        <v>4.8126240000000005</v>
      </c>
      <c r="BA58" s="575">
        <f>AZ58*$AN$23</f>
        <v>4.3313616000000001</v>
      </c>
      <c r="BB58" s="576">
        <f t="shared" si="60"/>
        <v>0.24063120000000005</v>
      </c>
      <c r="BC58" s="576">
        <f t="shared" si="61"/>
        <v>0.24063120000000005</v>
      </c>
      <c r="BD58" s="574">
        <f t="shared" si="33"/>
        <v>4.1148079128712869</v>
      </c>
      <c r="BE58" s="575">
        <f t="shared" si="34"/>
        <v>0.22860477623762376</v>
      </c>
      <c r="BF58" s="580">
        <f t="shared" si="35"/>
        <v>0.22860477623762376</v>
      </c>
      <c r="BG58" s="574">
        <f t="shared" ref="BG58:BI62" si="88">IFERROR(BD58/W58,0)</f>
        <v>4.3313767503908283</v>
      </c>
      <c r="BH58" s="575">
        <f t="shared" si="88"/>
        <v>0.24063660656591976</v>
      </c>
      <c r="BI58" s="580">
        <f t="shared" si="88"/>
        <v>0.24063660656591976</v>
      </c>
      <c r="BJ58" s="285"/>
      <c r="BK58" s="355"/>
      <c r="BL58" s="581" t="s">
        <v>61</v>
      </c>
      <c r="BM58" s="574">
        <f>M122/1000</f>
        <v>4.7423519999999995</v>
      </c>
      <c r="BN58" s="575">
        <f>BM58*$AN$23</f>
        <v>4.2681167999999996</v>
      </c>
      <c r="BO58" s="576">
        <f t="shared" si="53"/>
        <v>0.23711759999999998</v>
      </c>
      <c r="BP58" s="576">
        <f t="shared" si="54"/>
        <v>0.23711759999999998</v>
      </c>
      <c r="BQ58" s="574">
        <f t="shared" si="38"/>
        <v>4.0547177821782174</v>
      </c>
      <c r="BR58" s="575">
        <f t="shared" si="39"/>
        <v>0.22526383366336636</v>
      </c>
      <c r="BS58" s="580">
        <f t="shared" si="40"/>
        <v>0.22526383366336636</v>
      </c>
      <c r="BT58" s="574">
        <f t="shared" ref="BT58:BV62" si="89">IFERROR(BQ58/W58,0)</f>
        <v>4.2681239812402287</v>
      </c>
      <c r="BU58" s="575">
        <f t="shared" si="89"/>
        <v>0.2371198249088067</v>
      </c>
      <c r="BV58" s="580">
        <f t="shared" si="89"/>
        <v>0.2371198249088067</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1025.2090000000001</v>
      </c>
      <c r="N59" s="323">
        <f t="shared" si="25"/>
        <v>56.957000000000001</v>
      </c>
      <c r="O59" s="323">
        <f t="shared" si="26"/>
        <v>56.957000000000001</v>
      </c>
      <c r="P59" s="323">
        <f t="shared" si="1"/>
        <v>1025.2090000000001</v>
      </c>
      <c r="Q59" s="323">
        <f t="shared" si="2"/>
        <v>56.957000000000001</v>
      </c>
      <c r="R59" s="323">
        <f t="shared" si="3"/>
        <v>56.957000000000001</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16.894647017821786</v>
      </c>
      <c r="AJ59" s="285"/>
      <c r="AK59" s="545" t="str">
        <f ca="1">F59</f>
        <v>IMDLA</v>
      </c>
      <c r="AL59" s="592" t="s">
        <v>61</v>
      </c>
      <c r="AM59" s="593">
        <f>M80/1000</f>
        <v>17.771399999999996</v>
      </c>
      <c r="AN59" s="594">
        <f t="shared" si="77"/>
        <v>15.994259999999997</v>
      </c>
      <c r="AO59" s="597">
        <f t="shared" si="78"/>
        <v>0.88856999999999986</v>
      </c>
      <c r="AP59" s="597">
        <f t="shared" si="79"/>
        <v>0.88856999999999986</v>
      </c>
      <c r="AQ59" s="598">
        <f t="shared" si="28"/>
        <v>15.99426528671329</v>
      </c>
      <c r="AR59" s="597">
        <f t="shared" si="29"/>
        <v>0.88858429570429587</v>
      </c>
      <c r="AS59" s="599">
        <f t="shared" si="30"/>
        <v>0.88858429570429587</v>
      </c>
      <c r="AT59" s="593">
        <f t="shared" si="87"/>
        <v>15.99426528671329</v>
      </c>
      <c r="AU59" s="594">
        <f t="shared" si="87"/>
        <v>0.88858429570429587</v>
      </c>
      <c r="AV59" s="595">
        <f t="shared" si="87"/>
        <v>0.88858429570429587</v>
      </c>
      <c r="AW59" s="285"/>
      <c r="AX59" s="545" t="str">
        <f t="shared" ca="1" si="12"/>
        <v>IMDLA</v>
      </c>
      <c r="AY59" s="592" t="s">
        <v>61</v>
      </c>
      <c r="AZ59" s="593">
        <f>M100/1000</f>
        <v>18.047339999999998</v>
      </c>
      <c r="BA59" s="594">
        <f>AZ59*$AN$23</f>
        <v>16.242605999999999</v>
      </c>
      <c r="BB59" s="597">
        <f t="shared" si="60"/>
        <v>0.90236699999999992</v>
      </c>
      <c r="BC59" s="597">
        <f t="shared" si="61"/>
        <v>0.90236699999999992</v>
      </c>
      <c r="BD59" s="593">
        <f t="shared" si="33"/>
        <v>16.242616800000004</v>
      </c>
      <c r="BE59" s="594">
        <f t="shared" si="34"/>
        <v>0.90238234455445543</v>
      </c>
      <c r="BF59" s="595">
        <f t="shared" si="35"/>
        <v>0.90238234455445543</v>
      </c>
      <c r="BG59" s="593">
        <f t="shared" si="88"/>
        <v>16.242616800000004</v>
      </c>
      <c r="BH59" s="594">
        <f t="shared" si="88"/>
        <v>0.90238234455445543</v>
      </c>
      <c r="BI59" s="595">
        <f t="shared" si="88"/>
        <v>0.90238234455445543</v>
      </c>
      <c r="BJ59" s="285"/>
      <c r="BK59" s="545" t="str">
        <f ca="1">AK59</f>
        <v>IMDLA</v>
      </c>
      <c r="BL59" s="592" t="s">
        <v>61</v>
      </c>
      <c r="BM59" s="593">
        <f>M120/1000</f>
        <v>17.783819999999999</v>
      </c>
      <c r="BN59" s="594">
        <f>BM59*$AN$23</f>
        <v>16.005437999999998</v>
      </c>
      <c r="BO59" s="597">
        <f t="shared" si="53"/>
        <v>0.88919099999999995</v>
      </c>
      <c r="BP59" s="597">
        <f t="shared" si="54"/>
        <v>0.88919099999999995</v>
      </c>
      <c r="BQ59" s="593">
        <f t="shared" si="38"/>
        <v>16.005441100990101</v>
      </c>
      <c r="BR59" s="594">
        <f t="shared" si="39"/>
        <v>0.88920591683168326</v>
      </c>
      <c r="BS59" s="595">
        <f t="shared" si="40"/>
        <v>0.88920591683168326</v>
      </c>
      <c r="BT59" s="593">
        <f t="shared" si="89"/>
        <v>16.005441100990101</v>
      </c>
      <c r="BU59" s="594">
        <f t="shared" si="89"/>
        <v>0.88920591683168326</v>
      </c>
      <c r="BV59" s="595">
        <f t="shared" si="89"/>
        <v>0.88920591683168326</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5536.1280000000006</v>
      </c>
      <c r="N60" s="324">
        <f t="shared" si="25"/>
        <v>307.56299999999999</v>
      </c>
      <c r="O60" s="324">
        <f t="shared" si="26"/>
        <v>307.56299999999999</v>
      </c>
      <c r="P60" s="324">
        <f t="shared" si="1"/>
        <v>5536.1280000000006</v>
      </c>
      <c r="Q60" s="324">
        <f t="shared" si="2"/>
        <v>307.56299999999999</v>
      </c>
      <c r="R60" s="324">
        <f t="shared" si="3"/>
        <v>307.56299999999999</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91.231009592079232</v>
      </c>
      <c r="AJ60" s="285"/>
      <c r="AK60" s="550" t="str">
        <f ca="1">F60</f>
        <v>IMDEM</v>
      </c>
      <c r="AL60" s="592" t="s">
        <v>61</v>
      </c>
      <c r="AM60" s="593">
        <f>M81/1000</f>
        <v>95.965560000000011</v>
      </c>
      <c r="AN60" s="594">
        <f t="shared" si="77"/>
        <v>86.369004000000018</v>
      </c>
      <c r="AO60" s="597">
        <f t="shared" si="78"/>
        <v>4.7982780000000007</v>
      </c>
      <c r="AP60" s="597">
        <f t="shared" si="79"/>
        <v>4.7982780000000007</v>
      </c>
      <c r="AQ60" s="598">
        <f t="shared" si="28"/>
        <v>86.369007344655358</v>
      </c>
      <c r="AR60" s="597">
        <f t="shared" si="29"/>
        <v>4.798292187812188</v>
      </c>
      <c r="AS60" s="599">
        <f t="shared" si="30"/>
        <v>4.798292187812188</v>
      </c>
      <c r="AT60" s="593">
        <f t="shared" si="87"/>
        <v>86.369007344655358</v>
      </c>
      <c r="AU60" s="594">
        <f t="shared" si="87"/>
        <v>4.798292187812188</v>
      </c>
      <c r="AV60" s="595">
        <f t="shared" si="87"/>
        <v>4.798292187812188</v>
      </c>
      <c r="AW60" s="285"/>
      <c r="AX60" s="550" t="str">
        <f t="shared" ca="1" si="12"/>
        <v>IMDEM</v>
      </c>
      <c r="AY60" s="592" t="s">
        <v>61</v>
      </c>
      <c r="AZ60" s="593">
        <f>M101/1000</f>
        <v>97.455636000000013</v>
      </c>
      <c r="BA60" s="594">
        <f>AZ60*$AN$23</f>
        <v>87.710072400000016</v>
      </c>
      <c r="BB60" s="597">
        <f t="shared" si="60"/>
        <v>4.8727818000000012</v>
      </c>
      <c r="BC60" s="597">
        <f t="shared" si="61"/>
        <v>4.8727818000000012</v>
      </c>
      <c r="BD60" s="593">
        <f t="shared" si="33"/>
        <v>87.710077639603981</v>
      </c>
      <c r="BE60" s="594">
        <f t="shared" si="34"/>
        <v>4.872795968316832</v>
      </c>
      <c r="BF60" s="595">
        <f t="shared" si="35"/>
        <v>4.872795968316832</v>
      </c>
      <c r="BG60" s="593">
        <f t="shared" si="88"/>
        <v>87.710077639603981</v>
      </c>
      <c r="BH60" s="594">
        <f t="shared" si="88"/>
        <v>4.872795968316832</v>
      </c>
      <c r="BI60" s="595">
        <f t="shared" si="88"/>
        <v>4.872795968316832</v>
      </c>
      <c r="BJ60" s="285"/>
      <c r="BK60" s="550" t="str">
        <f ca="1">AK60</f>
        <v>IMDEM</v>
      </c>
      <c r="BL60" s="592" t="s">
        <v>61</v>
      </c>
      <c r="BM60" s="593">
        <f>M121/1000</f>
        <v>96.032628000000017</v>
      </c>
      <c r="BN60" s="594">
        <f>BM60*$AN$23</f>
        <v>86.429365200000021</v>
      </c>
      <c r="BO60" s="597">
        <f t="shared" si="53"/>
        <v>4.8016314000000015</v>
      </c>
      <c r="BP60" s="597">
        <f t="shared" si="54"/>
        <v>4.8016314000000015</v>
      </c>
      <c r="BQ60" s="593">
        <f t="shared" si="38"/>
        <v>86.429372578217837</v>
      </c>
      <c r="BR60" s="594">
        <f t="shared" si="39"/>
        <v>4.8016370138613862</v>
      </c>
      <c r="BS60" s="595">
        <f t="shared" si="40"/>
        <v>4.8016370138613862</v>
      </c>
      <c r="BT60" s="593">
        <f t="shared" si="89"/>
        <v>86.429372578217837</v>
      </c>
      <c r="BU60" s="594">
        <f t="shared" si="89"/>
        <v>4.8016370138613862</v>
      </c>
      <c r="BV60" s="595">
        <f t="shared" si="89"/>
        <v>4.8016370138613862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50" t="str">
        <f ca="1">F61</f>
        <v>IMDTF</v>
      </c>
      <c r="AL61" s="592" t="s">
        <v>59</v>
      </c>
      <c r="AM61" s="593">
        <f>F79/1000</f>
        <v>20.718285000000002</v>
      </c>
      <c r="AN61" s="594">
        <f t="shared" si="77"/>
        <v>18.646456500000003</v>
      </c>
      <c r="AO61" s="597">
        <f t="shared" si="78"/>
        <v>1.03591425</v>
      </c>
      <c r="AP61" s="597">
        <f t="shared" si="79"/>
        <v>1.03591425</v>
      </c>
      <c r="AQ61" s="598">
        <f t="shared" si="28"/>
        <v>18.646471240759244</v>
      </c>
      <c r="AR61" s="597">
        <f t="shared" si="29"/>
        <v>1.0359150689310692</v>
      </c>
      <c r="AS61" s="599">
        <f t="shared" si="30"/>
        <v>1.0359150689310692</v>
      </c>
      <c r="AT61" s="593">
        <f t="shared" si="87"/>
        <v>18.646471240759244</v>
      </c>
      <c r="AU61" s="594">
        <f t="shared" si="87"/>
        <v>1.0359150689310692</v>
      </c>
      <c r="AV61" s="595">
        <f t="shared" si="87"/>
        <v>1.0359150689310692</v>
      </c>
      <c r="AW61" s="285"/>
      <c r="AX61" s="550" t="str">
        <f t="shared" ca="1" si="12"/>
        <v>IMDTF</v>
      </c>
      <c r="AY61" s="592" t="s">
        <v>59</v>
      </c>
      <c r="AZ61" s="593">
        <f>F99/1000</f>
        <v>8.2631019999999999</v>
      </c>
      <c r="BA61" s="594">
        <f>AZ61*$AN$23</f>
        <v>7.4367918</v>
      </c>
      <c r="BB61" s="597">
        <f t="shared" si="60"/>
        <v>0.4131551</v>
      </c>
      <c r="BC61" s="597">
        <f t="shared" si="61"/>
        <v>0.4131551</v>
      </c>
      <c r="BD61" s="593">
        <f t="shared" si="33"/>
        <v>7.4367976633663364</v>
      </c>
      <c r="BE61" s="594">
        <f t="shared" si="34"/>
        <v>0.41316843564356437</v>
      </c>
      <c r="BF61" s="595">
        <f t="shared" si="35"/>
        <v>0.41316843564356437</v>
      </c>
      <c r="BG61" s="593">
        <f t="shared" si="88"/>
        <v>7.4367976633663364</v>
      </c>
      <c r="BH61" s="594">
        <f t="shared" si="88"/>
        <v>0.41316843564356437</v>
      </c>
      <c r="BI61" s="595">
        <f t="shared" si="88"/>
        <v>0.41316843564356437</v>
      </c>
      <c r="BJ61" s="285"/>
      <c r="BK61" s="550" t="str">
        <f ca="1">AK61</f>
        <v>IMDTF</v>
      </c>
      <c r="BL61" s="592" t="s">
        <v>59</v>
      </c>
      <c r="BM61" s="593">
        <f>F119/1000</f>
        <v>7.4692980000000002</v>
      </c>
      <c r="BN61" s="594">
        <f>BM61*$AN$23</f>
        <v>6.7223682</v>
      </c>
      <c r="BO61" s="597">
        <f t="shared" si="53"/>
        <v>0.37346490000000004</v>
      </c>
      <c r="BP61" s="597">
        <f t="shared" si="54"/>
        <v>0.37346490000000004</v>
      </c>
      <c r="BQ61" s="593">
        <f t="shared" si="38"/>
        <v>6.7223823683168318</v>
      </c>
      <c r="BR61" s="594">
        <f t="shared" si="39"/>
        <v>0.37346742178217823</v>
      </c>
      <c r="BS61" s="595">
        <f t="shared" si="40"/>
        <v>0.37346742178217823</v>
      </c>
      <c r="BT61" s="593">
        <f t="shared" si="89"/>
        <v>6.7223823683168318</v>
      </c>
      <c r="BU61" s="594">
        <f t="shared" si="89"/>
        <v>0.37346742178217823</v>
      </c>
      <c r="BV61" s="595">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f t="shared" si="24"/>
        <v>41.134</v>
      </c>
      <c r="N62" s="323">
        <f t="shared" si="25"/>
        <v>2.286</v>
      </c>
      <c r="O62" s="323">
        <f t="shared" si="26"/>
        <v>2.286</v>
      </c>
      <c r="P62" s="323">
        <f t="shared" si="1"/>
        <v>41.134</v>
      </c>
      <c r="Q62" s="323">
        <f t="shared" si="2"/>
        <v>2.286</v>
      </c>
      <c r="R62" s="323">
        <f t="shared" si="3"/>
        <v>2.286</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1.7451127672327678</v>
      </c>
      <c r="AH62" s="236">
        <f t="shared" si="83"/>
        <v>1.0708969900990102</v>
      </c>
      <c r="AI62" s="236">
        <f t="shared" si="84"/>
        <v>0.6778678811881188</v>
      </c>
      <c r="AJ62" s="285"/>
      <c r="AK62" s="550" t="str">
        <f ca="1">F62</f>
        <v>IMDFL</v>
      </c>
      <c r="AL62" s="546" t="s">
        <v>53</v>
      </c>
      <c r="AM62" s="547">
        <f>H79/1000</f>
        <v>1.8369472877185038</v>
      </c>
      <c r="AN62" s="548">
        <f t="shared" si="77"/>
        <v>1.6532525589466533</v>
      </c>
      <c r="AO62" s="549">
        <f t="shared" si="78"/>
        <v>9.1847364385925195E-2</v>
      </c>
      <c r="AP62" s="549">
        <f t="shared" si="79"/>
        <v>9.1847364385925195E-2</v>
      </c>
      <c r="AQ62" s="559">
        <f t="shared" si="28"/>
        <v>1.653261410589411</v>
      </c>
      <c r="AR62" s="549">
        <f t="shared" si="29"/>
        <v>9.1851356643356669E-2</v>
      </c>
      <c r="AS62" s="555">
        <f t="shared" si="30"/>
        <v>9.1851356643356669E-2</v>
      </c>
      <c r="AT62" s="560">
        <f t="shared" si="87"/>
        <v>1.653261410589411</v>
      </c>
      <c r="AU62" s="551">
        <f t="shared" si="87"/>
        <v>9.1851356643356669E-2</v>
      </c>
      <c r="AV62" s="552">
        <f t="shared" si="87"/>
        <v>9.1851356643356669E-2</v>
      </c>
      <c r="AW62" s="285"/>
      <c r="AX62" s="550" t="str">
        <f t="shared" ca="1" si="12"/>
        <v>IMDFL</v>
      </c>
      <c r="AY62" s="546" t="s">
        <v>53</v>
      </c>
      <c r="AZ62" s="547">
        <f>H99/1000</f>
        <v>1.1272359814952606</v>
      </c>
      <c r="BA62" s="548">
        <f>AZ62*$AN$23</f>
        <v>1.0145123833457346</v>
      </c>
      <c r="BB62" s="549">
        <f t="shared" si="60"/>
        <v>5.6361799074763033E-2</v>
      </c>
      <c r="BC62" s="549">
        <f t="shared" si="61"/>
        <v>5.6361799074763033E-2</v>
      </c>
      <c r="BD62" s="560">
        <f t="shared" si="33"/>
        <v>1.0145224871287131</v>
      </c>
      <c r="BE62" s="551">
        <f t="shared" si="34"/>
        <v>5.6374502970297023E-2</v>
      </c>
      <c r="BF62" s="552">
        <f t="shared" si="35"/>
        <v>5.6374502970297023E-2</v>
      </c>
      <c r="BG62" s="560">
        <f t="shared" si="88"/>
        <v>1.0145224871287131</v>
      </c>
      <c r="BH62" s="551">
        <f t="shared" si="88"/>
        <v>5.6374502970297023E-2</v>
      </c>
      <c r="BI62" s="552">
        <f t="shared" si="88"/>
        <v>5.6374502970297023E-2</v>
      </c>
      <c r="BJ62" s="285"/>
      <c r="BK62" s="550" t="str">
        <f ca="1">AK62</f>
        <v>IMDFL</v>
      </c>
      <c r="BL62" s="546" t="s">
        <v>53</v>
      </c>
      <c r="BM62" s="547">
        <f>H119/1000</f>
        <v>0.71352352961728838</v>
      </c>
      <c r="BN62" s="548">
        <f>BM62*$AN$23</f>
        <v>0.64217117665555956</v>
      </c>
      <c r="BO62" s="549">
        <f t="shared" si="53"/>
        <v>3.5676176480864422E-2</v>
      </c>
      <c r="BP62" s="549">
        <f t="shared" si="54"/>
        <v>3.5676176480864422E-2</v>
      </c>
      <c r="BQ62" s="560">
        <f t="shared" si="38"/>
        <v>0.64217912079207928</v>
      </c>
      <c r="BR62" s="551">
        <f t="shared" si="39"/>
        <v>3.5688760396039604E-2</v>
      </c>
      <c r="BS62" s="552">
        <f t="shared" si="40"/>
        <v>3.5688760396039604E-2</v>
      </c>
      <c r="BT62" s="560">
        <f t="shared" si="89"/>
        <v>0.64217912079207928</v>
      </c>
      <c r="BU62" s="551">
        <f t="shared" si="89"/>
        <v>3.5688760396039604E-2</v>
      </c>
      <c r="BV62" s="552">
        <f t="shared" si="89"/>
        <v>3.5688760396039604E-2</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24"/>
      <c r="AG66" s="524"/>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0</v>
      </c>
      <c r="K77" s="14">
        <f t="shared" si="93"/>
        <v>0</v>
      </c>
      <c r="L77" s="14">
        <f t="shared" si="93"/>
        <v>0</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0</v>
      </c>
      <c r="K83" s="18">
        <f t="shared" si="99"/>
        <v>0</v>
      </c>
      <c r="L83" s="18">
        <f t="shared" si="99"/>
        <v>0</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118476</v>
      </c>
      <c r="W87" s="117"/>
    </row>
    <row r="88" spans="3:24" ht="12.75" customHeight="1">
      <c r="O88" s="86"/>
      <c r="T88" s="122" t="str">
        <f>+'Energy matrix'!B16</f>
        <v>District Heating</v>
      </c>
      <c r="U88" s="122"/>
      <c r="V88" s="123">
        <f>+INDEX('Energy matrix'!C16:N16,1,$D$2)</f>
        <v>13136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230512.56400000001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18047.34</v>
      </c>
      <c r="N100" s="14">
        <f t="shared" si="113"/>
        <v>0</v>
      </c>
      <c r="O100" s="86"/>
      <c r="R100" s="287"/>
      <c r="S100" s="287"/>
      <c r="T100" s="117" t="str">
        <f>'Energy matrix'!B27</f>
        <v>Diesel</v>
      </c>
      <c r="U100" s="117"/>
      <c r="V100" s="118">
        <f>+INDEX('Energy matrix'!C27:N27,1,$D$2)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97455.636000000013</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f t="shared" si="115"/>
        <v>0</v>
      </c>
      <c r="K102" s="14">
        <f t="shared" si="115"/>
        <v>0</v>
      </c>
      <c r="L102" s="14">
        <f t="shared" si="115"/>
        <v>0</v>
      </c>
      <c r="M102" s="14">
        <f t="shared" si="115"/>
        <v>4812.6240000000007</v>
      </c>
      <c r="N102" s="14">
        <f t="shared" si="115"/>
        <v>9929</v>
      </c>
      <c r="O102" s="86"/>
      <c r="R102" s="287"/>
      <c r="S102" s="287"/>
      <c r="T102" s="117" t="str">
        <f>'Energy matrix'!B29</f>
        <v>LPG</v>
      </c>
      <c r="U102" s="117"/>
      <c r="V102" s="118">
        <f>+INDEX('Energy matrix'!C29:N29,1,$D$2)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f t="shared" si="116"/>
        <v>0</v>
      </c>
      <c r="K103" s="18">
        <f t="shared" si="116"/>
        <v>0</v>
      </c>
      <c r="L103" s="18">
        <f t="shared" si="116"/>
        <v>0</v>
      </c>
      <c r="M103" s="18">
        <f t="shared" si="116"/>
        <v>120315.6</v>
      </c>
      <c r="N103" s="18">
        <f t="shared" si="116"/>
        <v>9929</v>
      </c>
      <c r="O103" s="86"/>
      <c r="R103" s="287"/>
      <c r="S103" s="287"/>
      <c r="T103" s="117" t="str">
        <f>'Energy matrix'!B31</f>
        <v>Natural gas</v>
      </c>
      <c r="U103" s="117"/>
      <c r="V103" s="118">
        <f>+INDEX('Energy matrix'!C31:N31,1,$D$2)</f>
        <v>71144.100000000006</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120315.6</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211526.29200000002</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f t="shared" si="127"/>
        <v>236.90700000000001</v>
      </c>
      <c r="I117" s="14">
        <f t="shared" si="127"/>
        <v>66429.660600000003</v>
      </c>
      <c r="J117" s="14">
        <f t="shared" si="127"/>
        <v>0</v>
      </c>
      <c r="K117" s="14">
        <f t="shared" si="127"/>
        <v>0</v>
      </c>
      <c r="L117" s="14">
        <f t="shared" si="127"/>
        <v>0</v>
      </c>
      <c r="M117" s="14">
        <f t="shared" si="127"/>
        <v>0</v>
      </c>
      <c r="N117" s="14">
        <f t="shared" si="127"/>
        <v>0</v>
      </c>
      <c r="O117" s="86"/>
      <c r="T117" s="48" t="s">
        <v>209</v>
      </c>
      <c r="U117" s="48"/>
      <c r="V117" s="126" t="str">
        <f>+INDEX('Energy matrix'!C44:N44,1,$D$2)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f t="shared" si="129"/>
        <v>713.52352961728843</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17783.82</v>
      </c>
      <c r="N120" s="14">
        <f t="shared" si="130"/>
        <v>0</v>
      </c>
      <c r="O120" s="86"/>
      <c r="T120" s="117" t="str">
        <f>'Energy matrix'!B47</f>
        <v>Diesel</v>
      </c>
      <c r="U120" s="117"/>
      <c r="V120" s="118">
        <f>+INDEX('Energy matrix'!C47:N47,1,$D$2)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96032.628000000012</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7381.0734000000002</v>
      </c>
      <c r="J122" s="14">
        <f t="shared" si="132"/>
        <v>0</v>
      </c>
      <c r="K122" s="14">
        <f t="shared" si="132"/>
        <v>0</v>
      </c>
      <c r="L122" s="14">
        <f t="shared" si="132"/>
        <v>0</v>
      </c>
      <c r="M122" s="14">
        <f t="shared" si="132"/>
        <v>4742.3519999999999</v>
      </c>
      <c r="N122" s="14">
        <f t="shared" si="132"/>
        <v>10178</v>
      </c>
      <c r="O122" s="86"/>
      <c r="T122" s="117" t="str">
        <f>'Energy matrix'!B49</f>
        <v>LPG</v>
      </c>
      <c r="U122" s="117"/>
      <c r="V122" s="118">
        <f>+INDEX('Energy matrix'!C49:N49,1,$D$2)</f>
        <v>947.62800000000004</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f t="shared" si="133"/>
        <v>950.43052961728847</v>
      </c>
      <c r="I123" s="18">
        <f t="shared" si="133"/>
        <v>73810.733999999997</v>
      </c>
      <c r="J123" s="18">
        <f t="shared" si="133"/>
        <v>0</v>
      </c>
      <c r="K123" s="18">
        <f t="shared" si="133"/>
        <v>0</v>
      </c>
      <c r="L123" s="18">
        <f t="shared" si="133"/>
        <v>0</v>
      </c>
      <c r="M123" s="18">
        <f t="shared" si="133"/>
        <v>118558.8</v>
      </c>
      <c r="N123" s="18">
        <f t="shared" si="133"/>
        <v>10178</v>
      </c>
      <c r="O123" s="86"/>
      <c r="T123" s="117" t="str">
        <f>'Energy matrix'!B51</f>
        <v>Natural gas</v>
      </c>
      <c r="U123" s="117"/>
      <c r="V123" s="118">
        <f>+INDEX('Energy matrix'!C51:N51,1,$D$2)</f>
        <v>73810.733999999997</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118558.8</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10178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211579.44500000001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534</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24"/>
      <c r="M151" s="22">
        <v>0</v>
      </c>
      <c r="N151" s="22"/>
      <c r="O151" s="22">
        <v>0</v>
      </c>
      <c r="P151" s="34"/>
      <c r="Q151" s="34"/>
      <c r="R151" s="25"/>
      <c r="S151" s="25"/>
      <c r="X151" s="285"/>
      <c r="Y151" s="285"/>
      <c r="AA151" s="25"/>
      <c r="AB151" s="25"/>
    </row>
    <row r="152" spans="3:28">
      <c r="C152" s="15"/>
      <c r="D152" s="13" t="s">
        <v>536</v>
      </c>
      <c r="E152" s="22">
        <v>0</v>
      </c>
      <c r="F152" s="22">
        <v>0</v>
      </c>
      <c r="G152" s="22">
        <v>1</v>
      </c>
      <c r="H152" s="625">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539</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38"/>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Y19" s="285"/>
      <c r="Z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39" cm="1">
        <f t="array" ref="AO23">INDEX(RegSplit!$B$4:$AN$6,MATCH(AO22,RegSplit!$A$4:$A$6,0),MATCH($D$6&amp;AK19,RegSplit!$B$2:$AN$2&amp;RegSplit!$B$3:$AN$3,0))</f>
        <v>0</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39" cm="1">
        <f t="array" ref="BB23">INDEX(RegSplit!$B$4:$AN$6,MATCH(BB22,RegSplit!$A$4:$A$6,0),MATCH($D$6&amp;AX19,RegSplit!$B$2:$AN$2&amp;RegSplit!$B$3:$AN$3,0))</f>
        <v>0</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39" cm="1">
        <f t="array" ref="BO23">INDEX(RegSplit!$B$4:$AN$6,MATCH(BO22,RegSplit!$A$4:$A$6,0),MATCH($D$6&amp;BK19,RegSplit!$B$2:$AN$2&amp;RegSplit!$B$3:$AN$3,0))</f>
        <v>0</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6257.6540000000005</v>
      </c>
      <c r="N26" s="322">
        <f>ROUNDUP(BO26/($Z26*$AA26)*N$21*X26,3)</f>
        <v>0</v>
      </c>
      <c r="O26" s="322">
        <f>ROUNDUP(BP26/($Z26*$AA26)*O$21*Y26,3)</f>
        <v>329.351</v>
      </c>
      <c r="P26" s="322">
        <f t="shared" ref="P26:P62" si="1">M26</f>
        <v>6257.6540000000005</v>
      </c>
      <c r="Q26" s="322">
        <f t="shared" ref="Q26:Q62" si="2">N26</f>
        <v>0</v>
      </c>
      <c r="R26" s="322">
        <f t="shared" ref="R26:R62" si="3">O26</f>
        <v>329.351</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99.687500779955556</v>
      </c>
      <c r="AJ26" s="285"/>
      <c r="AK26" s="544"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44"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44" t="str">
        <f ca="1">AK26</f>
        <v>IFDPH</v>
      </c>
      <c r="BL26" s="350" t="s">
        <v>97</v>
      </c>
      <c r="BM26" s="313">
        <f>I117/1000</f>
        <v>104.9341977</v>
      </c>
      <c r="BN26" s="310">
        <f>BM26*$AN$23</f>
        <v>99.687487814999997</v>
      </c>
      <c r="BO26" s="311">
        <f>BM26*$BB$23</f>
        <v>0</v>
      </c>
      <c r="BP26" s="311">
        <f>BM26*$BC$23</f>
        <v>5.2467098850000005</v>
      </c>
      <c r="BQ26" s="313">
        <f>IFERROR(M26*$Z26*$AA26/M$21,0)</f>
        <v>97.693750764356437</v>
      </c>
      <c r="BR26" s="310">
        <f>IFERROR(N26*$Z26*$AA26/N$21,0)</f>
        <v>0</v>
      </c>
      <c r="BS26" s="357">
        <f>IFERROR(O26*$Z26*$AA26/O$21,0)</f>
        <v>5.1417886811881184</v>
      </c>
      <c r="BT26" s="313">
        <f>IFERROR(BQ26/W26,0)</f>
        <v>99.687500779955556</v>
      </c>
      <c r="BU26" s="310">
        <f>IFERROR(BR26/X26,0)</f>
        <v>0</v>
      </c>
      <c r="BV26" s="357">
        <f>IFERROR(BS26/Y26,0)</f>
        <v>5.2467231440695086</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54">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73" t="s">
        <v>101</v>
      </c>
      <c r="AM32" s="574">
        <f>E77/1000</f>
        <v>1.8963559999999999</v>
      </c>
      <c r="AN32" s="575">
        <f t="shared" si="47"/>
        <v>1.8015381999999998</v>
      </c>
      <c r="AO32" s="576">
        <f>AM32*$AO$23</f>
        <v>0</v>
      </c>
      <c r="AP32" s="576">
        <f t="shared" si="49"/>
        <v>9.4817800000000008E-2</v>
      </c>
      <c r="AQ32" s="596">
        <f t="shared" si="28"/>
        <v>1.6772363316683319</v>
      </c>
      <c r="AR32" s="576">
        <f t="shared" si="29"/>
        <v>0</v>
      </c>
      <c r="AS32" s="577">
        <f t="shared" si="30"/>
        <v>8.8275596403596418E-2</v>
      </c>
      <c r="AT32" s="574">
        <f t="shared" si="50"/>
        <v>1.8015427837468656</v>
      </c>
      <c r="AU32" s="575">
        <f t="shared" si="50"/>
        <v>0</v>
      </c>
      <c r="AV32" s="580">
        <f t="shared" si="50"/>
        <v>9.4818041249835047E-2</v>
      </c>
      <c r="AW32" s="285"/>
      <c r="AX32" s="290"/>
      <c r="AY32" s="573" t="s">
        <v>101</v>
      </c>
      <c r="AZ32" s="574">
        <f>E97/1000</f>
        <v>1.05911</v>
      </c>
      <c r="BA32" s="575">
        <f>AZ32*$AN$23</f>
        <v>1.0061544999999998</v>
      </c>
      <c r="BB32" s="576">
        <f t="shared" ref="BB32:BB34" si="51">AZ32*$BB$23</f>
        <v>0</v>
      </c>
      <c r="BC32" s="576">
        <f t="shared" ref="BC32:BC34" si="52">AZ32*$BC$23</f>
        <v>5.2955500000000003E-2</v>
      </c>
      <c r="BD32" s="574">
        <f>IFERROR(J32*$Z32*AA32/J$21,0)</f>
        <v>0.93674409504950495</v>
      </c>
      <c r="BE32" s="575">
        <f t="shared" si="34"/>
        <v>0</v>
      </c>
      <c r="BF32" s="580">
        <f t="shared" si="35"/>
        <v>4.9302320792079204E-2</v>
      </c>
      <c r="BG32" s="574">
        <f t="shared" si="15"/>
        <v>1.0061698120832492</v>
      </c>
      <c r="BH32" s="575">
        <f t="shared" si="16"/>
        <v>0</v>
      </c>
      <c r="BI32" s="580">
        <f t="shared" si="17"/>
        <v>5.2956305899118379E-2</v>
      </c>
      <c r="BJ32" s="285"/>
      <c r="BK32" s="290"/>
      <c r="BL32" s="573" t="s">
        <v>101</v>
      </c>
      <c r="BM32" s="574">
        <f>E117/1000</f>
        <v>1.2102899999999999</v>
      </c>
      <c r="BN32" s="575">
        <f>BM32*$AN$23</f>
        <v>1.1497754999999998</v>
      </c>
      <c r="BO32" s="576">
        <f t="shared" ref="BO32:BO62" si="53">BM32*$BB$23</f>
        <v>0</v>
      </c>
      <c r="BP32" s="576">
        <f t="shared" ref="BP32:BP62" si="54">BM32*$BC$23</f>
        <v>6.0514499999999999E-2</v>
      </c>
      <c r="BQ32" s="574">
        <f t="shared" si="38"/>
        <v>1.0704442455445544</v>
      </c>
      <c r="BR32" s="575">
        <f t="shared" si="39"/>
        <v>0</v>
      </c>
      <c r="BS32" s="580">
        <f t="shared" si="40"/>
        <v>5.6343279207920795E-2</v>
      </c>
      <c r="BT32" s="574">
        <f t="shared" si="41"/>
        <v>1.1497789962884581</v>
      </c>
      <c r="BU32" s="575">
        <f t="shared" si="42"/>
        <v>0</v>
      </c>
      <c r="BV32" s="580">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f t="shared" si="24"/>
        <v>6.165</v>
      </c>
      <c r="N33" s="322">
        <f t="shared" si="25"/>
        <v>0</v>
      </c>
      <c r="O33" s="322">
        <f t="shared" si="26"/>
        <v>0.32500000000000001</v>
      </c>
      <c r="P33" s="322">
        <f t="shared" si="1"/>
        <v>6.165</v>
      </c>
      <c r="Q33" s="322">
        <f t="shared" si="2"/>
        <v>0</v>
      </c>
      <c r="R33" s="322">
        <f t="shared" si="3"/>
        <v>0.32500000000000001</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f t="shared" si="10"/>
        <v>9.8211477066073957E-2</v>
      </c>
      <c r="AJ33" s="285"/>
      <c r="AK33" s="290"/>
      <c r="AL33" s="573" t="s">
        <v>53</v>
      </c>
      <c r="AM33" s="574">
        <f>H77/1000</f>
        <v>0.71808360000000004</v>
      </c>
      <c r="AN33" s="575">
        <f t="shared" si="47"/>
        <v>0.68217941999999998</v>
      </c>
      <c r="AO33" s="576">
        <f t="shared" si="48"/>
        <v>0</v>
      </c>
      <c r="AP33" s="576">
        <f t="shared" si="49"/>
        <v>3.5904180000000001E-2</v>
      </c>
      <c r="AQ33" s="596">
        <f t="shared" si="28"/>
        <v>0.66854114685314681</v>
      </c>
      <c r="AR33" s="576">
        <f t="shared" si="29"/>
        <v>0</v>
      </c>
      <c r="AS33" s="577">
        <f t="shared" si="30"/>
        <v>3.5190521478521482E-2</v>
      </c>
      <c r="AT33" s="574">
        <f t="shared" si="50"/>
        <v>0.68218484372770083</v>
      </c>
      <c r="AU33" s="575">
        <f t="shared" si="50"/>
        <v>0</v>
      </c>
      <c r="AV33" s="580">
        <f t="shared" si="50"/>
        <v>3.5908695386246407E-2</v>
      </c>
      <c r="AW33" s="285"/>
      <c r="AX33" s="290"/>
      <c r="AY33" s="573" t="s">
        <v>53</v>
      </c>
      <c r="AZ33" s="574">
        <f>H97/1000</f>
        <v>9.0732000000000007E-2</v>
      </c>
      <c r="BA33" s="575">
        <f>AZ33*$AN$23</f>
        <v>8.6195400000000005E-2</v>
      </c>
      <c r="BB33" s="576">
        <f t="shared" si="51"/>
        <v>0</v>
      </c>
      <c r="BC33" s="576">
        <f t="shared" si="52"/>
        <v>4.5366000000000009E-3</v>
      </c>
      <c r="BD33" s="574">
        <f t="shared" si="33"/>
        <v>8.4475889108910907E-2</v>
      </c>
      <c r="BE33" s="575">
        <f t="shared" si="34"/>
        <v>0</v>
      </c>
      <c r="BF33" s="580">
        <f t="shared" si="35"/>
        <v>4.4493861386138613E-3</v>
      </c>
      <c r="BG33" s="574">
        <f t="shared" si="15"/>
        <v>8.6199886845827453E-2</v>
      </c>
      <c r="BH33" s="575">
        <f t="shared" si="16"/>
        <v>0</v>
      </c>
      <c r="BI33" s="580">
        <f t="shared" si="17"/>
        <v>4.5401899373610829E-3</v>
      </c>
      <c r="BJ33" s="285"/>
      <c r="BK33" s="290"/>
      <c r="BL33" s="573" t="s">
        <v>53</v>
      </c>
      <c r="BM33" s="574">
        <f>H117/1000</f>
        <v>0.10337760000000001</v>
      </c>
      <c r="BN33" s="575">
        <f>BM33*$AN$23</f>
        <v>9.8208720000000013E-2</v>
      </c>
      <c r="BO33" s="576">
        <f t="shared" si="53"/>
        <v>0</v>
      </c>
      <c r="BP33" s="576">
        <f t="shared" si="54"/>
        <v>5.1688800000000007E-3</v>
      </c>
      <c r="BQ33" s="574">
        <f t="shared" si="38"/>
        <v>9.6247247524752472E-2</v>
      </c>
      <c r="BR33" s="575">
        <f t="shared" si="39"/>
        <v>0</v>
      </c>
      <c r="BS33" s="580">
        <f t="shared" si="40"/>
        <v>5.0738613861386148E-3</v>
      </c>
      <c r="BT33" s="574">
        <f t="shared" si="41"/>
        <v>9.8211477066073957E-2</v>
      </c>
      <c r="BU33" s="575">
        <f t="shared" si="42"/>
        <v>0</v>
      </c>
      <c r="BV33" s="580">
        <f t="shared" si="43"/>
        <v>5.1774095776924642E-3</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IFDCO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IFDCO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IFDCO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746.59299999999996</v>
      </c>
      <c r="N46" s="324">
        <f t="shared" si="25"/>
        <v>0</v>
      </c>
      <c r="O46" s="324">
        <f t="shared" si="26"/>
        <v>39.294999999999995</v>
      </c>
      <c r="P46" s="324">
        <f t="shared" si="1"/>
        <v>746.59299999999996</v>
      </c>
      <c r="Q46" s="324">
        <f t="shared" si="2"/>
        <v>0</v>
      </c>
      <c r="R46" s="324">
        <f t="shared" si="3"/>
        <v>39.294999999999995</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12.775073118526478</v>
      </c>
      <c r="AJ46" s="285"/>
      <c r="AK46" s="355"/>
      <c r="AL46" s="581" t="s">
        <v>61</v>
      </c>
      <c r="AM46" s="582">
        <f>M78/1000</f>
        <v>12.618</v>
      </c>
      <c r="AN46" s="590">
        <f t="shared" si="73"/>
        <v>11.9871</v>
      </c>
      <c r="AO46" s="590">
        <f>AM46*(1-$AN$23)</f>
        <v>0.63090000000000057</v>
      </c>
      <c r="AP46" s="590"/>
      <c r="AQ46" s="600">
        <f t="shared" si="28"/>
        <v>10.936801366633366</v>
      </c>
      <c r="AR46" s="590">
        <f t="shared" si="29"/>
        <v>0.57563438961038971</v>
      </c>
      <c r="AS46" s="591">
        <f t="shared" si="30"/>
        <v>0</v>
      </c>
      <c r="AT46" s="582">
        <f t="shared" si="74"/>
        <v>11.987112131604558</v>
      </c>
      <c r="AU46" s="583">
        <f t="shared" si="74"/>
        <v>0.63091517745938064</v>
      </c>
      <c r="AV46" s="584">
        <f t="shared" si="74"/>
        <v>0</v>
      </c>
      <c r="AW46" s="285"/>
      <c r="AX46" s="355"/>
      <c r="AY46" s="581" t="s">
        <v>61</v>
      </c>
      <c r="AZ46" s="582">
        <f>M98/1000</f>
        <v>13.099680000000001</v>
      </c>
      <c r="BA46" s="590">
        <f t="shared" si="75"/>
        <v>12.444696</v>
      </c>
      <c r="BB46" s="590">
        <f t="shared" si="60"/>
        <v>0</v>
      </c>
      <c r="BC46" s="590">
        <f t="shared" si="61"/>
        <v>0.65498400000000012</v>
      </c>
      <c r="BD46" s="582">
        <f t="shared" si="33"/>
        <v>11.354302621782177</v>
      </c>
      <c r="BE46" s="583">
        <f t="shared" si="34"/>
        <v>0</v>
      </c>
      <c r="BF46" s="584">
        <f t="shared" si="35"/>
        <v>0.59760719999999989</v>
      </c>
      <c r="BG46" s="582">
        <f t="shared" si="62"/>
        <v>12.44470793066724</v>
      </c>
      <c r="BH46" s="583">
        <f t="shared" si="63"/>
        <v>0</v>
      </c>
      <c r="BI46" s="584">
        <f t="shared" si="64"/>
        <v>0.65499813674126994</v>
      </c>
      <c r="BJ46" s="285"/>
      <c r="BK46" s="355"/>
      <c r="BL46" s="581" t="s">
        <v>61</v>
      </c>
      <c r="BM46" s="582">
        <f>M118/1000</f>
        <v>13.44744</v>
      </c>
      <c r="BN46" s="590">
        <f t="shared" si="76"/>
        <v>12.775067999999999</v>
      </c>
      <c r="BO46" s="590">
        <f t="shared" si="53"/>
        <v>0</v>
      </c>
      <c r="BP46" s="590">
        <f t="shared" si="54"/>
        <v>0.67237200000000008</v>
      </c>
      <c r="BQ46" s="582">
        <f t="shared" si="38"/>
        <v>11.655721211881188</v>
      </c>
      <c r="BR46" s="583">
        <f t="shared" si="39"/>
        <v>0</v>
      </c>
      <c r="BS46" s="584">
        <f t="shared" si="40"/>
        <v>0.61346887128712868</v>
      </c>
      <c r="BT46" s="582">
        <f t="shared" si="65"/>
        <v>12.775073118526478</v>
      </c>
      <c r="BU46" s="583">
        <f t="shared" si="66"/>
        <v>0</v>
      </c>
      <c r="BV46" s="584">
        <f t="shared" si="67"/>
        <v>0.67238307644526263</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709.48500000000001</v>
      </c>
      <c r="N47" s="322">
        <f t="shared" si="25"/>
        <v>0</v>
      </c>
      <c r="O47" s="322">
        <f t="shared" si="26"/>
        <v>37.341999999999999</v>
      </c>
      <c r="P47" s="322">
        <f t="shared" si="1"/>
        <v>709.48500000000001</v>
      </c>
      <c r="Q47" s="322">
        <f t="shared" si="2"/>
        <v>0</v>
      </c>
      <c r="R47" s="322">
        <f t="shared" si="3"/>
        <v>37.341999999999999</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11.076395524752476</v>
      </c>
      <c r="AJ47" s="285"/>
      <c r="AK47" s="544" t="str">
        <f ca="1">F47</f>
        <v>IFDSH</v>
      </c>
      <c r="AL47" s="585" t="s">
        <v>97</v>
      </c>
      <c r="AM47" s="586">
        <f>I82/1000</f>
        <v>10.5401126</v>
      </c>
      <c r="AN47" s="588">
        <f t="shared" si="73"/>
        <v>10.013106970000001</v>
      </c>
      <c r="AO47" s="576">
        <f>AM47*$AO$23</f>
        <v>0</v>
      </c>
      <c r="AP47" s="576">
        <f>AM47*$AP$23</f>
        <v>0.52700563</v>
      </c>
      <c r="AQ47" s="596">
        <f t="shared" si="28"/>
        <v>10.013121062937063</v>
      </c>
      <c r="AR47" s="576">
        <f t="shared" si="29"/>
        <v>0</v>
      </c>
      <c r="AS47" s="577">
        <f t="shared" si="30"/>
        <v>0.52700720079920083</v>
      </c>
      <c r="AT47" s="586">
        <f t="shared" si="74"/>
        <v>10.013121062937063</v>
      </c>
      <c r="AU47" s="588">
        <f t="shared" si="74"/>
        <v>0</v>
      </c>
      <c r="AV47" s="589">
        <f t="shared" si="74"/>
        <v>0.52700720079920083</v>
      </c>
      <c r="AW47" s="285"/>
      <c r="AX47" s="544" t="str">
        <f t="shared" ca="1" si="12"/>
        <v>IFDSH</v>
      </c>
      <c r="AY47" s="585" t="s">
        <v>97</v>
      </c>
      <c r="AZ47" s="586">
        <f>I102/1000</f>
        <v>11.062889999999999</v>
      </c>
      <c r="BA47" s="588">
        <f t="shared" si="75"/>
        <v>10.509745499999999</v>
      </c>
      <c r="BB47" s="576">
        <f t="shared" si="60"/>
        <v>0</v>
      </c>
      <c r="BC47" s="576">
        <f t="shared" si="61"/>
        <v>0.55314450000000004</v>
      </c>
      <c r="BD47" s="586">
        <f t="shared" si="33"/>
        <v>10.509746685148516</v>
      </c>
      <c r="BE47" s="588">
        <f t="shared" si="34"/>
        <v>0</v>
      </c>
      <c r="BF47" s="589">
        <f t="shared" si="35"/>
        <v>0.55314456237623755</v>
      </c>
      <c r="BG47" s="586">
        <f t="shared" si="62"/>
        <v>10.509746685148516</v>
      </c>
      <c r="BH47" s="588">
        <f t="shared" si="63"/>
        <v>0</v>
      </c>
      <c r="BI47" s="589">
        <f t="shared" si="64"/>
        <v>0.55314456237623755</v>
      </c>
      <c r="BJ47" s="285"/>
      <c r="BK47" s="544" t="str">
        <f ca="1">AK47</f>
        <v>IFDSH</v>
      </c>
      <c r="BL47" s="585" t="s">
        <v>97</v>
      </c>
      <c r="BM47" s="586">
        <f>I122/1000</f>
        <v>11.659355300000001</v>
      </c>
      <c r="BN47" s="588">
        <f t="shared" si="76"/>
        <v>11.076387535</v>
      </c>
      <c r="BO47" s="576">
        <f t="shared" si="53"/>
        <v>0</v>
      </c>
      <c r="BP47" s="576">
        <f t="shared" si="54"/>
        <v>0.58296776500000014</v>
      </c>
      <c r="BQ47" s="586">
        <f t="shared" si="38"/>
        <v>11.076395524752476</v>
      </c>
      <c r="BR47" s="588">
        <f t="shared" si="39"/>
        <v>0</v>
      </c>
      <c r="BS47" s="589">
        <f t="shared" si="40"/>
        <v>0.58297886732673265</v>
      </c>
      <c r="BT47" s="586">
        <f t="shared" si="65"/>
        <v>11.076395524752476</v>
      </c>
      <c r="BU47" s="588">
        <f t="shared" si="66"/>
        <v>0</v>
      </c>
      <c r="BV47" s="589">
        <f t="shared" si="67"/>
        <v>0.58297886732673265</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f t="shared" si="24"/>
        <v>1.573</v>
      </c>
      <c r="N54" s="322">
        <f t="shared" si="25"/>
        <v>0</v>
      </c>
      <c r="O54" s="322">
        <f t="shared" si="26"/>
        <v>8.3000000000000004E-2</v>
      </c>
      <c r="P54" s="322">
        <f t="shared" si="1"/>
        <v>1.573</v>
      </c>
      <c r="Q54" s="322">
        <f t="shared" si="2"/>
        <v>0</v>
      </c>
      <c r="R54" s="322">
        <f t="shared" si="3"/>
        <v>8.3000000000000004E-2</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f t="shared" si="84"/>
        <v>2.4557489108910889E-2</v>
      </c>
      <c r="AJ54" s="285"/>
      <c r="AK54" s="356"/>
      <c r="AL54" s="573" t="s">
        <v>53</v>
      </c>
      <c r="AM54" s="574">
        <f>H82/1000</f>
        <v>0.17952090000000001</v>
      </c>
      <c r="AN54" s="575">
        <f t="shared" si="77"/>
        <v>0.170544855</v>
      </c>
      <c r="AO54" s="576">
        <f t="shared" si="78"/>
        <v>0</v>
      </c>
      <c r="AP54" s="576">
        <f t="shared" si="79"/>
        <v>8.9760450000000002E-3</v>
      </c>
      <c r="AQ54" s="596">
        <f t="shared" si="28"/>
        <v>0.17054958641358642</v>
      </c>
      <c r="AR54" s="576">
        <f t="shared" si="29"/>
        <v>0</v>
      </c>
      <c r="AS54" s="577">
        <f t="shared" si="30"/>
        <v>8.9787812187812188E-3</v>
      </c>
      <c r="AT54" s="574">
        <f t="shared" si="85"/>
        <v>0.17054958641358642</v>
      </c>
      <c r="AU54" s="575">
        <f t="shared" si="85"/>
        <v>0</v>
      </c>
      <c r="AV54" s="580">
        <f t="shared" si="85"/>
        <v>8.9787812187812188E-3</v>
      </c>
      <c r="AW54" s="285"/>
      <c r="AX54" s="356"/>
      <c r="AY54" s="573" t="s">
        <v>53</v>
      </c>
      <c r="AZ54" s="574">
        <f>H102/1000</f>
        <v>2.2683000000000002E-2</v>
      </c>
      <c r="BA54" s="575">
        <f>AZ54*$AN$23</f>
        <v>2.1548850000000001E-2</v>
      </c>
      <c r="BB54" s="576">
        <f t="shared" si="60"/>
        <v>0</v>
      </c>
      <c r="BC54" s="576">
        <f t="shared" si="61"/>
        <v>1.1341500000000002E-3</v>
      </c>
      <c r="BD54" s="574">
        <f t="shared" si="33"/>
        <v>2.1560007920792077E-2</v>
      </c>
      <c r="BE54" s="575">
        <f t="shared" si="34"/>
        <v>0</v>
      </c>
      <c r="BF54" s="580">
        <f t="shared" si="35"/>
        <v>1.1396673267326733E-3</v>
      </c>
      <c r="BG54" s="574">
        <f t="shared" si="62"/>
        <v>2.1560007920792077E-2</v>
      </c>
      <c r="BH54" s="575">
        <f t="shared" si="63"/>
        <v>0</v>
      </c>
      <c r="BI54" s="580">
        <f t="shared" si="64"/>
        <v>1.1396673267326733E-3</v>
      </c>
      <c r="BJ54" s="285"/>
      <c r="BK54" s="356"/>
      <c r="BL54" s="573" t="s">
        <v>53</v>
      </c>
      <c r="BM54" s="574">
        <f>H122/1000</f>
        <v>2.5844400000000003E-2</v>
      </c>
      <c r="BN54" s="575">
        <f>BM54*$AN$23</f>
        <v>2.4552180000000003E-2</v>
      </c>
      <c r="BO54" s="576">
        <f t="shared" si="53"/>
        <v>0</v>
      </c>
      <c r="BP54" s="576">
        <f t="shared" si="54"/>
        <v>1.2922200000000002E-3</v>
      </c>
      <c r="BQ54" s="574">
        <f t="shared" si="38"/>
        <v>2.4557489108910889E-2</v>
      </c>
      <c r="BR54" s="575">
        <f t="shared" si="39"/>
        <v>0</v>
      </c>
      <c r="BS54" s="580">
        <f t="shared" si="40"/>
        <v>1.2957861386138614E-3</v>
      </c>
      <c r="BT54" s="574">
        <f t="shared" si="65"/>
        <v>2.4557489108910889E-2</v>
      </c>
      <c r="BU54" s="575">
        <f t="shared" si="66"/>
        <v>0</v>
      </c>
      <c r="BV54" s="580">
        <f t="shared" si="67"/>
        <v>1.2957861386138614E-3</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735.19399999999996</v>
      </c>
      <c r="N56" s="321">
        <f t="shared" si="25"/>
        <v>0</v>
      </c>
      <c r="O56" s="321">
        <f t="shared" si="26"/>
        <v>0</v>
      </c>
      <c r="P56" s="321">
        <f t="shared" si="1"/>
        <v>735.19399999999996</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11.956001435643564</v>
      </c>
      <c r="AJ56" s="285"/>
      <c r="AK56" s="356"/>
      <c r="AL56" s="573" t="s">
        <v>103</v>
      </c>
      <c r="AM56" s="574">
        <f>N82/1000</f>
        <v>5.601</v>
      </c>
      <c r="AN56" s="627">
        <f>AM56</f>
        <v>5.601</v>
      </c>
      <c r="AO56" s="628">
        <v>0</v>
      </c>
      <c r="AP56" s="628">
        <v>0</v>
      </c>
      <c r="AQ56" s="596">
        <f t="shared" si="28"/>
        <v>5.3769667612387622</v>
      </c>
      <c r="AR56" s="576">
        <f t="shared" si="29"/>
        <v>0</v>
      </c>
      <c r="AS56" s="577">
        <f t="shared" si="30"/>
        <v>0</v>
      </c>
      <c r="AT56" s="574">
        <f t="shared" si="85"/>
        <v>5.6010070429570442</v>
      </c>
      <c r="AU56" s="575">
        <f t="shared" si="85"/>
        <v>0</v>
      </c>
      <c r="AV56" s="580">
        <f t="shared" si="85"/>
        <v>0</v>
      </c>
      <c r="AW56" s="285"/>
      <c r="AX56" s="356"/>
      <c r="AY56" s="573" t="s">
        <v>103</v>
      </c>
      <c r="AZ56" s="574">
        <f>N102/1000</f>
        <v>9.8249999999999993</v>
      </c>
      <c r="BA56" s="627">
        <f>AZ56</f>
        <v>9.8249999999999993</v>
      </c>
      <c r="BB56" s="628">
        <v>0</v>
      </c>
      <c r="BC56" s="628">
        <v>0</v>
      </c>
      <c r="BD56" s="574">
        <f t="shared" si="33"/>
        <v>9.4320116910891088</v>
      </c>
      <c r="BE56" s="575">
        <f t="shared" si="34"/>
        <v>0</v>
      </c>
      <c r="BF56" s="580">
        <f t="shared" si="35"/>
        <v>0</v>
      </c>
      <c r="BG56" s="574">
        <f t="shared" si="62"/>
        <v>9.8250121782178219</v>
      </c>
      <c r="BH56" s="575">
        <f t="shared" si="63"/>
        <v>0</v>
      </c>
      <c r="BI56" s="580">
        <f t="shared" si="64"/>
        <v>0</v>
      </c>
      <c r="BJ56" s="285"/>
      <c r="BK56" s="356"/>
      <c r="BL56" s="573" t="s">
        <v>103</v>
      </c>
      <c r="BM56" s="574">
        <f>N122/1000</f>
        <v>11.956</v>
      </c>
      <c r="BN56" s="627">
        <f>BM56</f>
        <v>11.956</v>
      </c>
      <c r="BO56" s="628">
        <v>0</v>
      </c>
      <c r="BP56" s="628">
        <v>0</v>
      </c>
      <c r="BQ56" s="574">
        <f t="shared" si="38"/>
        <v>11.477761378217821</v>
      </c>
      <c r="BR56" s="575">
        <f t="shared" si="39"/>
        <v>0</v>
      </c>
      <c r="BS56" s="580">
        <f t="shared" si="40"/>
        <v>0</v>
      </c>
      <c r="BT56" s="574">
        <f t="shared" si="65"/>
        <v>11.956001435643564</v>
      </c>
      <c r="BU56" s="575">
        <f t="shared" si="66"/>
        <v>0</v>
      </c>
      <c r="BV56" s="580">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77.738</v>
      </c>
      <c r="N58" s="324">
        <f t="shared" si="25"/>
        <v>0</v>
      </c>
      <c r="O58" s="324">
        <f t="shared" si="26"/>
        <v>4.0920000000000005</v>
      </c>
      <c r="P58" s="324">
        <f t="shared" si="1"/>
        <v>77.738</v>
      </c>
      <c r="Q58" s="324">
        <f t="shared" si="2"/>
        <v>0</v>
      </c>
      <c r="R58" s="324">
        <f t="shared" si="3"/>
        <v>4.0920000000000005</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1.2775120208441899</v>
      </c>
      <c r="AJ58" s="285"/>
      <c r="AK58" s="355"/>
      <c r="AL58" s="581" t="s">
        <v>61</v>
      </c>
      <c r="AM58" s="574">
        <f>M82/1000</f>
        <v>1.2618</v>
      </c>
      <c r="AN58" s="575">
        <f t="shared" si="77"/>
        <v>1.1987099999999999</v>
      </c>
      <c r="AO58" s="576">
        <f t="shared" si="78"/>
        <v>0</v>
      </c>
      <c r="AP58" s="576">
        <f t="shared" si="79"/>
        <v>6.3090000000000007E-2</v>
      </c>
      <c r="AQ58" s="596">
        <f t="shared" si="28"/>
        <v>1.1387772467532471</v>
      </c>
      <c r="AR58" s="576">
        <f t="shared" si="29"/>
        <v>0</v>
      </c>
      <c r="AS58" s="577">
        <f t="shared" si="30"/>
        <v>5.9937302697302706E-2</v>
      </c>
      <c r="AT58" s="574">
        <f t="shared" ref="AT58:AV62" si="87">IFERROR(AQ58/W58,0)</f>
        <v>1.1987128913192076</v>
      </c>
      <c r="AU58" s="575">
        <f t="shared" si="87"/>
        <v>0</v>
      </c>
      <c r="AV58" s="580">
        <f t="shared" si="87"/>
        <v>6.3091897576108114E-2</v>
      </c>
      <c r="AW58" s="285"/>
      <c r="AX58" s="355"/>
      <c r="AY58" s="581" t="s">
        <v>61</v>
      </c>
      <c r="AZ58" s="574">
        <f>M102/1000</f>
        <v>1.309968</v>
      </c>
      <c r="BA58" s="575">
        <f>AZ58*$AN$23</f>
        <v>1.2444696</v>
      </c>
      <c r="BB58" s="576">
        <f t="shared" si="60"/>
        <v>0</v>
      </c>
      <c r="BC58" s="576">
        <f t="shared" si="61"/>
        <v>6.5498399999999998E-2</v>
      </c>
      <c r="BD58" s="574">
        <f t="shared" si="33"/>
        <v>1.1822565386138617</v>
      </c>
      <c r="BE58" s="575">
        <f t="shared" si="34"/>
        <v>0</v>
      </c>
      <c r="BF58" s="580">
        <f t="shared" si="35"/>
        <v>6.2228958415841584E-2</v>
      </c>
      <c r="BG58" s="574">
        <f t="shared" ref="BG58:BI62" si="88">IFERROR(BD58/W58,0)</f>
        <v>1.2444805669619599</v>
      </c>
      <c r="BH58" s="575">
        <f t="shared" si="88"/>
        <v>0</v>
      </c>
      <c r="BI58" s="580">
        <f t="shared" si="88"/>
        <v>6.5504166753517459E-2</v>
      </c>
      <c r="BJ58" s="285"/>
      <c r="BK58" s="355"/>
      <c r="BL58" s="581" t="s">
        <v>61</v>
      </c>
      <c r="BM58" s="574">
        <f>M122/1000</f>
        <v>1.3447439999999999</v>
      </c>
      <c r="BN58" s="575">
        <f>BM58*$AN$23</f>
        <v>1.2775067999999998</v>
      </c>
      <c r="BO58" s="576">
        <f t="shared" si="53"/>
        <v>0</v>
      </c>
      <c r="BP58" s="576">
        <f t="shared" si="54"/>
        <v>6.7237199999999997E-2</v>
      </c>
      <c r="BQ58" s="574">
        <f t="shared" si="38"/>
        <v>1.2136364198019802</v>
      </c>
      <c r="BR58" s="575">
        <f t="shared" si="39"/>
        <v>0</v>
      </c>
      <c r="BS58" s="580">
        <f t="shared" si="40"/>
        <v>6.3883817821782193E-2</v>
      </c>
      <c r="BT58" s="574">
        <f t="shared" ref="BT58:BV62" si="89">IFERROR(BQ58/W58,0)</f>
        <v>1.2775120208441897</v>
      </c>
      <c r="BU58" s="575">
        <f t="shared" si="89"/>
        <v>0</v>
      </c>
      <c r="BV58" s="580">
        <f t="shared" si="89"/>
        <v>6.7246124022928622E-2</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327.31699999999995</v>
      </c>
      <c r="N59" s="323">
        <f t="shared" si="25"/>
        <v>0</v>
      </c>
      <c r="O59" s="323">
        <f t="shared" si="26"/>
        <v>17.228000000000002</v>
      </c>
      <c r="P59" s="323">
        <f t="shared" si="1"/>
        <v>327.31699999999995</v>
      </c>
      <c r="Q59" s="323">
        <f t="shared" si="2"/>
        <v>0</v>
      </c>
      <c r="R59" s="323">
        <f t="shared" si="3"/>
        <v>17.228000000000002</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5.1100341148514845</v>
      </c>
      <c r="AJ59" s="285"/>
      <c r="AK59" s="545" t="str">
        <f ca="1">F59</f>
        <v>IFDLA</v>
      </c>
      <c r="AL59" s="592" t="s">
        <v>61</v>
      </c>
      <c r="AM59" s="593">
        <f>M80/1000</f>
        <v>5.0472000000000001</v>
      </c>
      <c r="AN59" s="594">
        <f t="shared" si="77"/>
        <v>4.7948399999999998</v>
      </c>
      <c r="AO59" s="597">
        <f t="shared" si="78"/>
        <v>0</v>
      </c>
      <c r="AP59" s="597">
        <f t="shared" si="79"/>
        <v>0.25236000000000003</v>
      </c>
      <c r="AQ59" s="598">
        <f t="shared" si="28"/>
        <v>4.7948424455544458</v>
      </c>
      <c r="AR59" s="597">
        <f t="shared" si="29"/>
        <v>0</v>
      </c>
      <c r="AS59" s="599">
        <f t="shared" si="30"/>
        <v>0.25236676123876128</v>
      </c>
      <c r="AT59" s="593">
        <f t="shared" si="87"/>
        <v>4.7948424455544458</v>
      </c>
      <c r="AU59" s="594">
        <f t="shared" si="87"/>
        <v>0</v>
      </c>
      <c r="AV59" s="595">
        <f t="shared" si="87"/>
        <v>0.25236676123876128</v>
      </c>
      <c r="AW59" s="285"/>
      <c r="AX59" s="545" t="str">
        <f t="shared" ca="1" si="12"/>
        <v>IFDLA</v>
      </c>
      <c r="AY59" s="592" t="s">
        <v>61</v>
      </c>
      <c r="AZ59" s="593">
        <f>M100/1000</f>
        <v>5.2398720000000001</v>
      </c>
      <c r="BA59" s="594">
        <f>AZ59*$AN$23</f>
        <v>4.9778783999999998</v>
      </c>
      <c r="BB59" s="597">
        <f t="shared" si="60"/>
        <v>0</v>
      </c>
      <c r="BC59" s="597">
        <f t="shared" si="61"/>
        <v>0.26199359999999999</v>
      </c>
      <c r="BD59" s="593">
        <f t="shared" si="33"/>
        <v>4.977879540594059</v>
      </c>
      <c r="BE59" s="594">
        <f t="shared" si="34"/>
        <v>0</v>
      </c>
      <c r="BF59" s="595">
        <f t="shared" si="35"/>
        <v>0.26199859009900989</v>
      </c>
      <c r="BG59" s="593">
        <f t="shared" si="88"/>
        <v>4.977879540594059</v>
      </c>
      <c r="BH59" s="594">
        <f t="shared" si="88"/>
        <v>0</v>
      </c>
      <c r="BI59" s="595">
        <f t="shared" si="88"/>
        <v>0.26199859009900989</v>
      </c>
      <c r="BJ59" s="285"/>
      <c r="BK59" s="545" t="str">
        <f ca="1">AK59</f>
        <v>IFDLA</v>
      </c>
      <c r="BL59" s="592" t="s">
        <v>61</v>
      </c>
      <c r="BM59" s="593">
        <f>M120/1000</f>
        <v>5.3789759999999998</v>
      </c>
      <c r="BN59" s="594">
        <f>BM59*$AN$23</f>
        <v>5.1100271999999993</v>
      </c>
      <c r="BO59" s="597">
        <f t="shared" si="53"/>
        <v>0</v>
      </c>
      <c r="BP59" s="597">
        <f t="shared" si="54"/>
        <v>0.26894879999999999</v>
      </c>
      <c r="BQ59" s="593">
        <f t="shared" si="38"/>
        <v>5.1100341148514845</v>
      </c>
      <c r="BR59" s="594">
        <f t="shared" si="39"/>
        <v>0</v>
      </c>
      <c r="BS59" s="595">
        <f t="shared" si="40"/>
        <v>0.26896148910891093</v>
      </c>
      <c r="BT59" s="593">
        <f t="shared" si="89"/>
        <v>5.1100341148514845</v>
      </c>
      <c r="BU59" s="594">
        <f t="shared" si="89"/>
        <v>0</v>
      </c>
      <c r="BV59" s="595">
        <f t="shared" si="89"/>
        <v>0.26896148910891093</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2864.02</v>
      </c>
      <c r="N60" s="324">
        <f t="shared" si="25"/>
        <v>0</v>
      </c>
      <c r="O60" s="324">
        <f t="shared" si="26"/>
        <v>150.738</v>
      </c>
      <c r="P60" s="324">
        <f t="shared" si="1"/>
        <v>2864.02</v>
      </c>
      <c r="Q60" s="324">
        <f t="shared" si="2"/>
        <v>0</v>
      </c>
      <c r="R60" s="324">
        <f t="shared" si="3"/>
        <v>150.738</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44.712739960396036</v>
      </c>
      <c r="AJ60" s="285"/>
      <c r="AK60" s="550" t="str">
        <f ca="1">F60</f>
        <v>IFDEM</v>
      </c>
      <c r="AL60" s="592" t="s">
        <v>61</v>
      </c>
      <c r="AM60" s="593">
        <f>M81/1000</f>
        <v>44.162999999999997</v>
      </c>
      <c r="AN60" s="594">
        <f t="shared" si="77"/>
        <v>41.954849999999993</v>
      </c>
      <c r="AO60" s="597">
        <f t="shared" si="78"/>
        <v>0</v>
      </c>
      <c r="AP60" s="597">
        <f t="shared" si="79"/>
        <v>2.2081499999999998</v>
      </c>
      <c r="AQ60" s="598">
        <f t="shared" si="28"/>
        <v>41.954851708291713</v>
      </c>
      <c r="AR60" s="597">
        <f t="shared" si="29"/>
        <v>0</v>
      </c>
      <c r="AS60" s="599">
        <f t="shared" si="30"/>
        <v>2.2081500899100903</v>
      </c>
      <c r="AT60" s="593">
        <f t="shared" si="87"/>
        <v>41.954851708291713</v>
      </c>
      <c r="AU60" s="594">
        <f t="shared" si="87"/>
        <v>0</v>
      </c>
      <c r="AV60" s="595">
        <f t="shared" si="87"/>
        <v>2.2081500899100903</v>
      </c>
      <c r="AW60" s="285"/>
      <c r="AX60" s="550" t="str">
        <f t="shared" ca="1" si="12"/>
        <v>IFDEM</v>
      </c>
      <c r="AY60" s="592" t="s">
        <v>61</v>
      </c>
      <c r="AZ60" s="593">
        <f>M101/1000</f>
        <v>45.848879999999994</v>
      </c>
      <c r="BA60" s="594">
        <f>AZ60*$AN$23</f>
        <v>43.556435999999991</v>
      </c>
      <c r="BB60" s="597">
        <f t="shared" si="60"/>
        <v>0</v>
      </c>
      <c r="BC60" s="597">
        <f t="shared" si="61"/>
        <v>2.2924439999999997</v>
      </c>
      <c r="BD60" s="593">
        <f t="shared" si="33"/>
        <v>43.556445980198028</v>
      </c>
      <c r="BE60" s="594">
        <f t="shared" si="34"/>
        <v>0</v>
      </c>
      <c r="BF60" s="595">
        <f t="shared" si="35"/>
        <v>2.2924486336633665</v>
      </c>
      <c r="BG60" s="593">
        <f t="shared" si="88"/>
        <v>43.556445980198028</v>
      </c>
      <c r="BH60" s="594">
        <f t="shared" si="88"/>
        <v>0</v>
      </c>
      <c r="BI60" s="595">
        <f t="shared" si="88"/>
        <v>2.2924486336633665</v>
      </c>
      <c r="BJ60" s="285"/>
      <c r="BK60" s="550" t="str">
        <f ca="1">AK60</f>
        <v>IFDEM</v>
      </c>
      <c r="BL60" s="592" t="s">
        <v>61</v>
      </c>
      <c r="BM60" s="593">
        <f>M121/1000</f>
        <v>47.066039999999994</v>
      </c>
      <c r="BN60" s="594">
        <f>BM60*$AN$23</f>
        <v>44.712737999999995</v>
      </c>
      <c r="BO60" s="597">
        <f t="shared" si="53"/>
        <v>0</v>
      </c>
      <c r="BP60" s="597">
        <f t="shared" si="54"/>
        <v>2.3533019999999998</v>
      </c>
      <c r="BQ60" s="593">
        <f t="shared" si="38"/>
        <v>44.712739960396036</v>
      </c>
      <c r="BR60" s="594">
        <f t="shared" si="39"/>
        <v>0</v>
      </c>
      <c r="BS60" s="595">
        <f t="shared" si="40"/>
        <v>2.3533037465346536</v>
      </c>
      <c r="BT60" s="593">
        <f t="shared" si="89"/>
        <v>44.712739960396036</v>
      </c>
      <c r="BU60" s="594">
        <f t="shared" si="89"/>
        <v>0</v>
      </c>
      <c r="BV60" s="595">
        <f t="shared" si="89"/>
        <v>2.3533037465346536</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50" t="str">
        <f ca="1">F61</f>
        <v>IFDTF</v>
      </c>
      <c r="AL61" s="592" t="s">
        <v>59</v>
      </c>
      <c r="AM61" s="593">
        <f>F79/1000</f>
        <v>12.997185</v>
      </c>
      <c r="AN61" s="594">
        <f t="shared" si="77"/>
        <v>12.34732575</v>
      </c>
      <c r="AO61" s="597">
        <f t="shared" si="78"/>
        <v>0</v>
      </c>
      <c r="AP61" s="597">
        <f t="shared" si="79"/>
        <v>0.64985925</v>
      </c>
      <c r="AQ61" s="598">
        <f t="shared" si="28"/>
        <v>12.347336391608394</v>
      </c>
      <c r="AR61" s="597">
        <f t="shared" si="29"/>
        <v>0</v>
      </c>
      <c r="AS61" s="599">
        <f t="shared" si="30"/>
        <v>0.6498747332667334</v>
      </c>
      <c r="AT61" s="593">
        <f t="shared" si="87"/>
        <v>12.347336391608394</v>
      </c>
      <c r="AU61" s="594">
        <f t="shared" si="87"/>
        <v>0</v>
      </c>
      <c r="AV61" s="595">
        <f t="shared" si="87"/>
        <v>0.6498747332667334</v>
      </c>
      <c r="AW61" s="285"/>
      <c r="AX61" s="550" t="str">
        <f t="shared" ca="1" si="12"/>
        <v>IFDTF</v>
      </c>
      <c r="AY61" s="592" t="s">
        <v>59</v>
      </c>
      <c r="AZ61" s="593">
        <f>F99/1000</f>
        <v>6.4649139999999994</v>
      </c>
      <c r="BA61" s="594">
        <f>AZ61*$AN$23</f>
        <v>6.1416682999999992</v>
      </c>
      <c r="BB61" s="597">
        <f t="shared" si="60"/>
        <v>0</v>
      </c>
      <c r="BC61" s="597">
        <f t="shared" si="61"/>
        <v>0.32324569999999997</v>
      </c>
      <c r="BD61" s="593">
        <f t="shared" si="33"/>
        <v>6.1416828356435644</v>
      </c>
      <c r="BE61" s="594">
        <f t="shared" si="34"/>
        <v>0</v>
      </c>
      <c r="BF61" s="595">
        <f t="shared" si="35"/>
        <v>0.32325961188118812</v>
      </c>
      <c r="BG61" s="593">
        <f t="shared" si="88"/>
        <v>6.1416828356435644</v>
      </c>
      <c r="BH61" s="594">
        <f t="shared" si="88"/>
        <v>0</v>
      </c>
      <c r="BI61" s="595">
        <f t="shared" si="88"/>
        <v>0.32325961188118812</v>
      </c>
      <c r="BJ61" s="285"/>
      <c r="BK61" s="550" t="str">
        <f ca="1">AK61</f>
        <v>IFDTF</v>
      </c>
      <c r="BL61" s="592" t="s">
        <v>59</v>
      </c>
      <c r="BM61" s="593">
        <f>F119/1000</f>
        <v>5.365875</v>
      </c>
      <c r="BN61" s="594">
        <f>BM61*$AN$23</f>
        <v>5.0975812499999993</v>
      </c>
      <c r="BO61" s="597">
        <f t="shared" si="53"/>
        <v>0</v>
      </c>
      <c r="BP61" s="597">
        <f t="shared" si="54"/>
        <v>0.26829375</v>
      </c>
      <c r="BQ61" s="593">
        <f t="shared" si="38"/>
        <v>5.0975914455445546</v>
      </c>
      <c r="BR61" s="594">
        <f t="shared" si="39"/>
        <v>0</v>
      </c>
      <c r="BS61" s="595">
        <f t="shared" si="40"/>
        <v>0.2683057900990099</v>
      </c>
      <c r="BT61" s="593">
        <f t="shared" si="89"/>
        <v>5.0975914455445546</v>
      </c>
      <c r="BU61" s="594">
        <f t="shared" si="89"/>
        <v>0</v>
      </c>
      <c r="BV61" s="595">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f t="shared" si="24"/>
        <v>7.8640000000000008</v>
      </c>
      <c r="N62" s="323">
        <f t="shared" si="25"/>
        <v>0</v>
      </c>
      <c r="O62" s="323">
        <f t="shared" si="26"/>
        <v>0.41399999999999998</v>
      </c>
      <c r="P62" s="323">
        <f t="shared" si="1"/>
        <v>7.8640000000000008</v>
      </c>
      <c r="Q62" s="323">
        <f t="shared" si="2"/>
        <v>0</v>
      </c>
      <c r="R62" s="323">
        <f t="shared" si="3"/>
        <v>0.41399999999999998</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0.85273217982018001</v>
      </c>
      <c r="AH62" s="236">
        <f t="shared" si="83"/>
        <v>0.10775320396039605</v>
      </c>
      <c r="AI62" s="236">
        <f t="shared" si="84"/>
        <v>0.12277183366336634</v>
      </c>
      <c r="AJ62" s="285"/>
      <c r="AK62" s="550" t="str">
        <f ca="1">F62</f>
        <v>IFDFL</v>
      </c>
      <c r="AL62" s="546" t="s">
        <v>53</v>
      </c>
      <c r="AM62" s="547">
        <f>H79/1000</f>
        <v>0.89760450000000003</v>
      </c>
      <c r="AN62" s="548">
        <f t="shared" si="77"/>
        <v>0.85272427500000003</v>
      </c>
      <c r="AO62" s="549">
        <f t="shared" si="78"/>
        <v>0</v>
      </c>
      <c r="AP62" s="549">
        <f t="shared" si="79"/>
        <v>4.4880225000000003E-2</v>
      </c>
      <c r="AQ62" s="559">
        <f t="shared" si="28"/>
        <v>0.85273217982018001</v>
      </c>
      <c r="AR62" s="549">
        <f t="shared" si="29"/>
        <v>0</v>
      </c>
      <c r="AS62" s="555">
        <f t="shared" si="30"/>
        <v>4.4893906093906102E-2</v>
      </c>
      <c r="AT62" s="560">
        <f t="shared" si="87"/>
        <v>0.85273217982018001</v>
      </c>
      <c r="AU62" s="551">
        <f t="shared" si="87"/>
        <v>0</v>
      </c>
      <c r="AV62" s="552">
        <f t="shared" si="87"/>
        <v>4.4893906093906102E-2</v>
      </c>
      <c r="AW62" s="285"/>
      <c r="AX62" s="550" t="str">
        <f t="shared" ca="1" si="12"/>
        <v>IFDFL</v>
      </c>
      <c r="AY62" s="546" t="s">
        <v>53</v>
      </c>
      <c r="AZ62" s="547">
        <f>H99/1000</f>
        <v>0.113415</v>
      </c>
      <c r="BA62" s="548">
        <f>AZ62*$AN$23</f>
        <v>0.10774425</v>
      </c>
      <c r="BB62" s="549">
        <f t="shared" si="60"/>
        <v>0</v>
      </c>
      <c r="BC62" s="549">
        <f t="shared" si="61"/>
        <v>5.6707500000000004E-3</v>
      </c>
      <c r="BD62" s="560">
        <f t="shared" si="33"/>
        <v>0.10775320396039605</v>
      </c>
      <c r="BE62" s="551">
        <f t="shared" si="34"/>
        <v>0</v>
      </c>
      <c r="BF62" s="552">
        <f t="shared" si="35"/>
        <v>5.682724752475248E-3</v>
      </c>
      <c r="BG62" s="560">
        <f t="shared" si="88"/>
        <v>0.10775320396039605</v>
      </c>
      <c r="BH62" s="551">
        <f t="shared" si="88"/>
        <v>0</v>
      </c>
      <c r="BI62" s="552">
        <f t="shared" si="88"/>
        <v>5.682724752475248E-3</v>
      </c>
      <c r="BJ62" s="285"/>
      <c r="BK62" s="550" t="str">
        <f ca="1">AK62</f>
        <v>IFDFL</v>
      </c>
      <c r="BL62" s="546" t="s">
        <v>53</v>
      </c>
      <c r="BM62" s="547">
        <f>H119/1000</f>
        <v>0.129222</v>
      </c>
      <c r="BN62" s="548">
        <f>BM62*$AN$23</f>
        <v>0.12276089999999999</v>
      </c>
      <c r="BO62" s="549">
        <f t="shared" si="53"/>
        <v>0</v>
      </c>
      <c r="BP62" s="549">
        <f t="shared" si="54"/>
        <v>6.4611000000000009E-3</v>
      </c>
      <c r="BQ62" s="560">
        <f t="shared" si="38"/>
        <v>0.12277183366336634</v>
      </c>
      <c r="BR62" s="551">
        <f t="shared" si="39"/>
        <v>0</v>
      </c>
      <c r="BS62" s="552">
        <f t="shared" si="40"/>
        <v>6.4633188118811882E-3</v>
      </c>
      <c r="BT62" s="560">
        <f t="shared" si="89"/>
        <v>0.12277183366336634</v>
      </c>
      <c r="BU62" s="551">
        <f t="shared" si="89"/>
        <v>0</v>
      </c>
      <c r="BV62" s="552">
        <f t="shared" si="89"/>
        <v>6.4633188118811882E-3</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24"/>
      <c r="AG66" s="524"/>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0</v>
      </c>
      <c r="K77" s="14">
        <f t="shared" si="93"/>
        <v>0</v>
      </c>
      <c r="L77" s="14">
        <f t="shared" si="93"/>
        <v>0</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0</v>
      </c>
      <c r="K83" s="18">
        <f t="shared" si="99"/>
        <v>0</v>
      </c>
      <c r="L83" s="18">
        <f t="shared" si="99"/>
        <v>0</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63090</v>
      </c>
      <c r="W87" s="117"/>
    </row>
    <row r="88" spans="3:24" ht="12.75" customHeight="1">
      <c r="O88" s="86"/>
      <c r="T88" s="122" t="str">
        <f>+'Energy matrix'!B16</f>
        <v>District Heating</v>
      </c>
      <c r="U88" s="122"/>
      <c r="V88" s="123">
        <f>+INDEX('Energy matrix'!C16:N16,1,$D$2)</f>
        <v>5601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199323.351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13099.68</v>
      </c>
      <c r="N98" s="14">
        <f t="shared" si="111"/>
        <v>0</v>
      </c>
      <c r="O98" s="86"/>
      <c r="R98" s="287"/>
      <c r="S98" s="287"/>
      <c r="T98" s="117" t="str">
        <f>'Energy matrix'!B25</f>
        <v>Coal</v>
      </c>
      <c r="U98" s="117"/>
      <c r="V98" s="118">
        <f>+INDEX('Energy matrix'!C25:N25,1,$D$2)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5239.8720000000003</v>
      </c>
      <c r="N100" s="14">
        <f t="shared" si="113"/>
        <v>0</v>
      </c>
      <c r="O100" s="86"/>
      <c r="R100" s="287"/>
      <c r="S100" s="287"/>
      <c r="T100" s="117" t="str">
        <f>'Energy matrix'!B27</f>
        <v>Diesel</v>
      </c>
      <c r="U100" s="117"/>
      <c r="V100" s="118">
        <f>+INDEX('Energy matrix'!C27:N27,1,$D$2)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45848.88</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f t="shared" si="115"/>
        <v>0</v>
      </c>
      <c r="K102" s="14">
        <f t="shared" si="115"/>
        <v>0</v>
      </c>
      <c r="L102" s="14">
        <f t="shared" si="115"/>
        <v>0</v>
      </c>
      <c r="M102" s="14">
        <f t="shared" si="115"/>
        <v>1309.9680000000001</v>
      </c>
      <c r="N102" s="14">
        <f t="shared" si="115"/>
        <v>9825</v>
      </c>
      <c r="O102" s="86"/>
      <c r="R102" s="287"/>
      <c r="S102" s="287"/>
      <c r="T102" s="117" t="str">
        <f>'Energy matrix'!B29</f>
        <v>LPG</v>
      </c>
      <c r="U102" s="117"/>
      <c r="V102" s="118">
        <f>+INDEX('Energy matrix'!C29:N29,1,$D$2)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f t="shared" si="116"/>
        <v>0</v>
      </c>
      <c r="K103" s="18">
        <f t="shared" si="116"/>
        <v>0</v>
      </c>
      <c r="L103" s="18">
        <f t="shared" si="116"/>
        <v>0</v>
      </c>
      <c r="M103" s="18">
        <f t="shared" si="116"/>
        <v>65498.400000000001</v>
      </c>
      <c r="N103" s="18">
        <f t="shared" si="116"/>
        <v>9825</v>
      </c>
      <c r="O103" s="86"/>
      <c r="R103" s="287"/>
      <c r="S103" s="287"/>
      <c r="T103" s="117" t="str">
        <f>'Energy matrix'!B31</f>
        <v>Natural gas</v>
      </c>
      <c r="U103" s="117"/>
      <c r="V103" s="118">
        <f>+INDEX('Energy matrix'!C31:N31,1,$D$2)</f>
        <v>110628.9</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65498.400000000001</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202486.46799999999</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f t="shared" si="127"/>
        <v>103.37760000000002</v>
      </c>
      <c r="I117" s="14">
        <f t="shared" si="127"/>
        <v>104934.1977</v>
      </c>
      <c r="J117" s="14">
        <f t="shared" si="127"/>
        <v>0</v>
      </c>
      <c r="K117" s="14">
        <f t="shared" si="127"/>
        <v>0</v>
      </c>
      <c r="L117" s="14">
        <f t="shared" si="127"/>
        <v>0</v>
      </c>
      <c r="M117" s="14">
        <f t="shared" si="127"/>
        <v>0</v>
      </c>
      <c r="N117" s="14">
        <f t="shared" si="127"/>
        <v>0</v>
      </c>
      <c r="O117" s="86"/>
      <c r="T117" s="48" t="s">
        <v>209</v>
      </c>
      <c r="U117" s="48"/>
      <c r="V117" s="126" t="str">
        <f>+INDEX('Energy matrix'!C44:N44,1,$D$2)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13447.44</v>
      </c>
      <c r="N118" s="14">
        <f t="shared" si="128"/>
        <v>0</v>
      </c>
      <c r="O118" s="86"/>
      <c r="T118" s="117" t="str">
        <f>'Energy matrix'!B45</f>
        <v>Coal</v>
      </c>
      <c r="U118" s="117"/>
      <c r="V118" s="118">
        <f>+INDEX('Energy matrix'!C45:N45,1,$D$2)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f t="shared" si="129"/>
        <v>129.22200000000001</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5378.9759999999997</v>
      </c>
      <c r="N120" s="14">
        <f t="shared" si="130"/>
        <v>0</v>
      </c>
      <c r="O120" s="86"/>
      <c r="T120" s="117" t="str">
        <f>'Energy matrix'!B47</f>
        <v>Diesel</v>
      </c>
      <c r="U120" s="117"/>
      <c r="V120" s="118">
        <f>+INDEX('Energy matrix'!C47:N47,1,$D$2)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47066.039999999994</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25.844400000000004</v>
      </c>
      <c r="I122" s="14">
        <f t="shared" si="132"/>
        <v>11659.355300000001</v>
      </c>
      <c r="J122" s="14">
        <f t="shared" si="132"/>
        <v>0</v>
      </c>
      <c r="K122" s="14">
        <f t="shared" si="132"/>
        <v>0</v>
      </c>
      <c r="L122" s="14">
        <f t="shared" si="132"/>
        <v>0</v>
      </c>
      <c r="M122" s="14">
        <f t="shared" si="132"/>
        <v>1344.7439999999999</v>
      </c>
      <c r="N122" s="14">
        <f t="shared" si="132"/>
        <v>11956</v>
      </c>
      <c r="O122" s="86"/>
      <c r="T122" s="117" t="str">
        <f>'Energy matrix'!B49</f>
        <v>LPG</v>
      </c>
      <c r="U122" s="117"/>
      <c r="V122" s="118">
        <f>+INDEX('Energy matrix'!C49:N49,1,$D$2)</f>
        <v>258.44400000000002</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f t="shared" si="133"/>
        <v>258.44400000000002</v>
      </c>
      <c r="I123" s="18">
        <f t="shared" si="133"/>
        <v>116593.553</v>
      </c>
      <c r="J123" s="18">
        <f t="shared" si="133"/>
        <v>0</v>
      </c>
      <c r="K123" s="18">
        <f t="shared" si="133"/>
        <v>0</v>
      </c>
      <c r="L123" s="18">
        <f t="shared" si="133"/>
        <v>0</v>
      </c>
      <c r="M123" s="18">
        <f t="shared" si="133"/>
        <v>67237.2</v>
      </c>
      <c r="N123" s="18">
        <f t="shared" si="133"/>
        <v>11956</v>
      </c>
      <c r="O123" s="86"/>
      <c r="T123" s="117" t="str">
        <f>'Energy matrix'!B51</f>
        <v>Natural gas</v>
      </c>
      <c r="U123" s="117"/>
      <c r="V123" s="118">
        <f>+INDEX('Energy matrix'!C51:N51,1,$D$2)</f>
        <v>116593.553</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67237.2</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11956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210467.43599999999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18"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534</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24"/>
      <c r="M151" s="22">
        <v>0</v>
      </c>
      <c r="N151" s="22">
        <v>0.2</v>
      </c>
      <c r="O151" s="22">
        <v>0</v>
      </c>
      <c r="P151" s="34"/>
      <c r="Q151" s="34"/>
      <c r="R151" s="25"/>
      <c r="S151" s="25"/>
      <c r="X151" s="285"/>
      <c r="Y151" s="285"/>
      <c r="AA151" s="25"/>
      <c r="AB151" s="25"/>
    </row>
    <row r="152" spans="3:28">
      <c r="C152" s="15"/>
      <c r="D152" s="13" t="s">
        <v>536</v>
      </c>
      <c r="E152" s="22">
        <v>0</v>
      </c>
      <c r="F152" s="22">
        <v>0</v>
      </c>
      <c r="G152" s="22">
        <v>1</v>
      </c>
      <c r="H152" s="625">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539</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8"/>
      <c r="T19" s="285"/>
      <c r="U19" s="285"/>
      <c r="V19" s="285"/>
      <c r="W19" s="285"/>
      <c r="X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500.863</v>
      </c>
      <c r="N26" s="322">
        <f>ROUNDUP(BO26/($Z26*$AA26)*N$21*X26,3)</f>
        <v>27.826000000000001</v>
      </c>
      <c r="O26" s="322">
        <f>ROUNDUP(BP26/($Z26*$AA26)*O$21*Y26,3)</f>
        <v>27.826000000000001</v>
      </c>
      <c r="P26" s="322">
        <f t="shared" ref="P26:P62" si="1">M26</f>
        <v>500.863</v>
      </c>
      <c r="Q26" s="322">
        <f t="shared" ref="Q26:Q62" si="2">N26</f>
        <v>27.826000000000001</v>
      </c>
      <c r="R26" s="322">
        <f t="shared" ref="R26:R62" si="3">O26</f>
        <v>27.826000000000001</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8.4222753606789258</v>
      </c>
      <c r="AJ26" s="285"/>
      <c r="AK26" s="544"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44"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44" t="str">
        <f ca="1">AK26</f>
        <v>ILDPH</v>
      </c>
      <c r="BL26" s="350" t="s">
        <v>97</v>
      </c>
      <c r="BM26" s="313">
        <f>I117/1000</f>
        <v>8.8655460000000001</v>
      </c>
      <c r="BN26" s="310">
        <f>BM26*$AN$23</f>
        <v>7.9789914</v>
      </c>
      <c r="BO26" s="311">
        <f>BM26*$BB$23</f>
        <v>0.44327730000000004</v>
      </c>
      <c r="BP26" s="311">
        <f>BM26*$BC$23</f>
        <v>0.44327730000000004</v>
      </c>
      <c r="BQ26" s="313">
        <f>IFERROR(M26*$Z26*$AA26/M$21,0)</f>
        <v>7.8194136475247529</v>
      </c>
      <c r="BR26" s="310">
        <f>IFERROR(N26*$Z26*$AA26/N$21,0)</f>
        <v>0.43441620594059405</v>
      </c>
      <c r="BS26" s="357">
        <f>IFERROR(O26*$Z26*$AA26/O$21,0)</f>
        <v>0.43441620594059405</v>
      </c>
      <c r="BT26" s="313">
        <f>IFERROR(BQ26/W26,0)</f>
        <v>7.978993517882401</v>
      </c>
      <c r="BU26" s="310">
        <f>IFERROR(BR26/X26,0)</f>
        <v>0.44328184279652455</v>
      </c>
      <c r="BV26" s="357">
        <f>IFERROR(BS26/Y26,0)</f>
        <v>0.44328184279652455</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54">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73" t="s">
        <v>101</v>
      </c>
      <c r="AM32" s="574">
        <f>E77/1000</f>
        <v>0.36313200000000001</v>
      </c>
      <c r="AN32" s="575">
        <f t="shared" si="47"/>
        <v>0.32681880000000002</v>
      </c>
      <c r="AO32" s="576">
        <f>AM32*$AO$23</f>
        <v>1.8156600000000002E-2</v>
      </c>
      <c r="AP32" s="576">
        <f t="shared" si="49"/>
        <v>1.8156600000000002E-2</v>
      </c>
      <c r="AQ32" s="596">
        <f t="shared" si="28"/>
        <v>0.30427041758241763</v>
      </c>
      <c r="AR32" s="576">
        <f t="shared" si="29"/>
        <v>1.6917914085914084E-2</v>
      </c>
      <c r="AS32" s="577">
        <f t="shared" si="30"/>
        <v>1.6917914085914084E-2</v>
      </c>
      <c r="AT32" s="574">
        <f t="shared" si="50"/>
        <v>0.32682107151709738</v>
      </c>
      <c r="AU32" s="575">
        <f t="shared" si="50"/>
        <v>1.8171765935460885E-2</v>
      </c>
      <c r="AV32" s="580">
        <f t="shared" si="50"/>
        <v>1.8171765935460885E-2</v>
      </c>
      <c r="AW32" s="285"/>
      <c r="AX32" s="290"/>
      <c r="AY32" s="573" t="s">
        <v>101</v>
      </c>
      <c r="AZ32" s="574">
        <f>E97/1000</f>
        <v>8.1470000000000001E-2</v>
      </c>
      <c r="BA32" s="575">
        <f>AZ32*$AN$23</f>
        <v>7.3322999999999999E-2</v>
      </c>
      <c r="BB32" s="576">
        <f t="shared" ref="BB32:BB34" si="51">AZ32*$BB$23</f>
        <v>4.0734999999999999E-3</v>
      </c>
      <c r="BC32" s="576">
        <f t="shared" ref="BC32:BC34" si="52">AZ32*$BC$23</f>
        <v>4.0734999999999999E-3</v>
      </c>
      <c r="BD32" s="574">
        <f>IFERROR(J32*$Z32*AA32/J$21,0)</f>
        <v>6.8270756435643565E-2</v>
      </c>
      <c r="BE32" s="575">
        <f t="shared" si="34"/>
        <v>3.7936871287128711E-3</v>
      </c>
      <c r="BF32" s="580">
        <f t="shared" si="35"/>
        <v>3.7936871287128711E-3</v>
      </c>
      <c r="BG32" s="574">
        <f t="shared" si="15"/>
        <v>7.3330565451819082E-2</v>
      </c>
      <c r="BH32" s="575">
        <f t="shared" si="16"/>
        <v>4.0748519105401407E-3</v>
      </c>
      <c r="BI32" s="580">
        <f t="shared" si="17"/>
        <v>4.0748519105401407E-3</v>
      </c>
      <c r="BJ32" s="285"/>
      <c r="BK32" s="290"/>
      <c r="BL32" s="573" t="s">
        <v>101</v>
      </c>
      <c r="BM32" s="574">
        <f>E117/1000</f>
        <v>0</v>
      </c>
      <c r="BN32" s="575">
        <f>BM32*$AN$23</f>
        <v>0</v>
      </c>
      <c r="BO32" s="576">
        <f t="shared" ref="BO32:BO62" si="53">BM32*$BB$23</f>
        <v>0</v>
      </c>
      <c r="BP32" s="576">
        <f t="shared" ref="BP32:BP62" si="54">BM32*$BC$23</f>
        <v>0</v>
      </c>
      <c r="BQ32" s="574">
        <f t="shared" si="38"/>
        <v>0</v>
      </c>
      <c r="BR32" s="575">
        <f t="shared" si="39"/>
        <v>0</v>
      </c>
      <c r="BS32" s="580">
        <f t="shared" si="40"/>
        <v>0</v>
      </c>
      <c r="BT32" s="574">
        <f t="shared" si="41"/>
        <v>0</v>
      </c>
      <c r="BU32" s="575">
        <f t="shared" si="42"/>
        <v>0</v>
      </c>
      <c r="BV32" s="580">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0.60899999999999999</v>
      </c>
      <c r="N33" s="322">
        <f t="shared" si="25"/>
        <v>3.4000000000000002E-2</v>
      </c>
      <c r="O33" s="322">
        <f t="shared" si="26"/>
        <v>3.4000000000000002E-2</v>
      </c>
      <c r="P33" s="322">
        <f t="shared" si="1"/>
        <v>0.60899999999999999</v>
      </c>
      <c r="Q33" s="322">
        <f t="shared" si="2"/>
        <v>3.4000000000000002E-2</v>
      </c>
      <c r="R33" s="322">
        <f t="shared" si="3"/>
        <v>3.4000000000000002E-2</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1.0243305718326936E-2</v>
      </c>
      <c r="AJ33" s="285"/>
      <c r="AK33" s="290"/>
      <c r="AL33" s="573" t="s">
        <v>53</v>
      </c>
      <c r="AM33" s="574">
        <f>H77/1000</f>
        <v>1.1507749999999999E-2</v>
      </c>
      <c r="AN33" s="575">
        <f t="shared" si="47"/>
        <v>1.0356974999999999E-2</v>
      </c>
      <c r="AO33" s="576">
        <f t="shared" si="48"/>
        <v>5.7538749999999997E-4</v>
      </c>
      <c r="AP33" s="576">
        <f t="shared" si="49"/>
        <v>5.7538749999999997E-4</v>
      </c>
      <c r="AQ33" s="596">
        <f t="shared" si="28"/>
        <v>1.0160199800199802E-2</v>
      </c>
      <c r="AR33" s="576">
        <f t="shared" si="29"/>
        <v>5.6708091908091931E-4</v>
      </c>
      <c r="AS33" s="577">
        <f t="shared" si="30"/>
        <v>5.6708091908091931E-4</v>
      </c>
      <c r="AT33" s="574">
        <f t="shared" si="50"/>
        <v>1.0367550816530411E-2</v>
      </c>
      <c r="AU33" s="575">
        <f t="shared" si="50"/>
        <v>5.7865399906216258E-4</v>
      </c>
      <c r="AV33" s="580">
        <f t="shared" si="50"/>
        <v>5.7865399906216258E-4</v>
      </c>
      <c r="AW33" s="285"/>
      <c r="AX33" s="290"/>
      <c r="AY33" s="573" t="s">
        <v>53</v>
      </c>
      <c r="AZ33" s="574">
        <f>H97/1000</f>
        <v>1.1341499999999999E-2</v>
      </c>
      <c r="BA33" s="575">
        <f>AZ33*$AN$23</f>
        <v>1.0207349999999999E-2</v>
      </c>
      <c r="BB33" s="576">
        <f t="shared" si="51"/>
        <v>5.67075E-4</v>
      </c>
      <c r="BC33" s="576">
        <f t="shared" si="52"/>
        <v>5.67075E-4</v>
      </c>
      <c r="BD33" s="574">
        <f t="shared" si="33"/>
        <v>1.000721584158416E-2</v>
      </c>
      <c r="BE33" s="575">
        <f t="shared" si="34"/>
        <v>5.6202772277227735E-4</v>
      </c>
      <c r="BF33" s="580">
        <f t="shared" si="35"/>
        <v>5.6202772277227735E-4</v>
      </c>
      <c r="BG33" s="574">
        <f t="shared" si="15"/>
        <v>1.0211444736310367E-2</v>
      </c>
      <c r="BH33" s="575">
        <f t="shared" si="16"/>
        <v>5.734976762982422E-4</v>
      </c>
      <c r="BI33" s="580">
        <f t="shared" si="17"/>
        <v>5.734976762982422E-4</v>
      </c>
      <c r="BJ33" s="285"/>
      <c r="BK33" s="290"/>
      <c r="BL33" s="573" t="s">
        <v>53</v>
      </c>
      <c r="BM33" s="574">
        <f>H117/1000</f>
        <v>1.07685E-2</v>
      </c>
      <c r="BN33" s="575">
        <f>BM33*$AN$23</f>
        <v>9.6916500000000013E-3</v>
      </c>
      <c r="BO33" s="576">
        <f t="shared" si="53"/>
        <v>5.3842500000000004E-4</v>
      </c>
      <c r="BP33" s="576">
        <f t="shared" si="54"/>
        <v>5.3842500000000004E-4</v>
      </c>
      <c r="BQ33" s="574">
        <f t="shared" si="38"/>
        <v>9.5076356435643567E-3</v>
      </c>
      <c r="BR33" s="575">
        <f t="shared" si="39"/>
        <v>5.3080396039603965E-4</v>
      </c>
      <c r="BS33" s="580">
        <f t="shared" si="40"/>
        <v>5.3080396039603965E-4</v>
      </c>
      <c r="BT33" s="574">
        <f t="shared" si="41"/>
        <v>9.7016690240452619E-3</v>
      </c>
      <c r="BU33" s="575">
        <f t="shared" si="42"/>
        <v>5.4163669428167313E-4</v>
      </c>
      <c r="BV33" s="580">
        <f t="shared" si="43"/>
        <v>5.4163669428167313E-4</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75.2</v>
      </c>
      <c r="N37" s="324">
        <f t="shared" si="25"/>
        <v>4.1779999999999999</v>
      </c>
      <c r="O37" s="324">
        <f t="shared" si="26"/>
        <v>4.1779999999999999</v>
      </c>
      <c r="P37" s="324">
        <f t="shared" si="1"/>
        <v>75.2</v>
      </c>
      <c r="Q37" s="324">
        <f t="shared" si="2"/>
        <v>4.1779999999999999</v>
      </c>
      <c r="R37" s="324">
        <f t="shared" si="3"/>
        <v>4.1779999999999999</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1.3310847529006393</v>
      </c>
      <c r="AJ37" s="285"/>
      <c r="AK37" s="352"/>
      <c r="AL37" s="581" t="s">
        <v>61</v>
      </c>
      <c r="AM37" s="582">
        <f>M77/1000</f>
        <v>1.7870400000000002</v>
      </c>
      <c r="AN37" s="575">
        <f t="shared" si="47"/>
        <v>1.6083360000000002</v>
      </c>
      <c r="AO37" s="576">
        <f t="shared" ref="AO37" si="58">AM37*$AO$23</f>
        <v>8.9352000000000015E-2</v>
      </c>
      <c r="AP37" s="576">
        <f t="shared" si="49"/>
        <v>8.9352000000000015E-2</v>
      </c>
      <c r="AQ37" s="596">
        <f t="shared" si="28"/>
        <v>1.4973614145854148</v>
      </c>
      <c r="AR37" s="576">
        <f t="shared" si="29"/>
        <v>8.3187620379620408E-2</v>
      </c>
      <c r="AS37" s="577">
        <f t="shared" si="30"/>
        <v>8.3187620379620408E-2</v>
      </c>
      <c r="AT37" s="582">
        <f t="shared" ref="AT37:AV41" si="59">IFERROR(AQ37/W37,0)</f>
        <v>1.6083366429488881</v>
      </c>
      <c r="AU37" s="583">
        <f t="shared" si="59"/>
        <v>8.9352975703136855E-2</v>
      </c>
      <c r="AV37" s="584">
        <f t="shared" si="59"/>
        <v>8.9352975703136855E-2</v>
      </c>
      <c r="AW37" s="285"/>
      <c r="AX37" s="352"/>
      <c r="AY37" s="581" t="s">
        <v>61</v>
      </c>
      <c r="AZ37" s="582">
        <f>M97/1000</f>
        <v>1.6264799999999999</v>
      </c>
      <c r="BA37" s="575">
        <f>AZ37*$AN$23</f>
        <v>1.463832</v>
      </c>
      <c r="BB37" s="576">
        <f t="shared" ref="BB37:BB62" si="60">AZ37*$BB$23</f>
        <v>8.1324000000000007E-2</v>
      </c>
      <c r="BC37" s="576">
        <f t="shared" ref="BC37:BC62" si="61">AZ37*$BC$23</f>
        <v>8.1324000000000007E-2</v>
      </c>
      <c r="BD37" s="582">
        <f t="shared" si="33"/>
        <v>1.3628391683168317</v>
      </c>
      <c r="BE37" s="583">
        <f t="shared" si="34"/>
        <v>7.5717623762376243E-2</v>
      </c>
      <c r="BF37" s="584">
        <f>IFERROR(L37*$Z37*AA37/L$21,0)</f>
        <v>7.5717623762376243E-2</v>
      </c>
      <c r="BG37" s="582">
        <f t="shared" ref="BG37:BG56" si="62">IFERROR(BD37/W37,0)</f>
        <v>1.4638444342823114</v>
      </c>
      <c r="BH37" s="583">
        <f t="shared" ref="BH37:BH56" si="63">IFERROR(BE37/X37,0)</f>
        <v>8.1329348831768261E-2</v>
      </c>
      <c r="BI37" s="584">
        <f t="shared" ref="BI37:BI56" si="64">IFERROR(BF37/Y37,0)</f>
        <v>8.1329348831768261E-2</v>
      </c>
      <c r="BJ37" s="285"/>
      <c r="BK37" s="352"/>
      <c r="BL37" s="581" t="s">
        <v>61</v>
      </c>
      <c r="BM37" s="582">
        <f>M117/1000</f>
        <v>1.4011200000000001</v>
      </c>
      <c r="BN37" s="575">
        <f>BM37*$AN$23</f>
        <v>1.2610080000000001</v>
      </c>
      <c r="BO37" s="576">
        <f t="shared" si="53"/>
        <v>7.0056000000000007E-2</v>
      </c>
      <c r="BP37" s="576">
        <f t="shared" si="54"/>
        <v>7.0056000000000007E-2</v>
      </c>
      <c r="BQ37" s="582">
        <f t="shared" si="38"/>
        <v>1.1740134653465348</v>
      </c>
      <c r="BR37" s="583">
        <f t="shared" si="39"/>
        <v>6.5226439603960393E-2</v>
      </c>
      <c r="BS37" s="584">
        <f t="shared" si="40"/>
        <v>6.5226439603960393E-2</v>
      </c>
      <c r="BT37" s="582">
        <f t="shared" ref="BT37:BT56" si="65">IFERROR(BQ37/W37,0)</f>
        <v>1.2610241303399945</v>
      </c>
      <c r="BU37" s="583">
        <f t="shared" ref="BU37:BU56" si="66">IFERROR(BR37/X37,0)</f>
        <v>7.0060622560644895E-2</v>
      </c>
      <c r="BV37" s="584">
        <f t="shared" ref="BV37:BV56" si="67">IFERROR(BS37/Y37,0)</f>
        <v>7.0060622560644895E-2</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ILDCO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ILDCO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ILDCO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36.847999999999999</v>
      </c>
      <c r="N46" s="324">
        <f t="shared" si="25"/>
        <v>2.048</v>
      </c>
      <c r="O46" s="324">
        <f t="shared" si="26"/>
        <v>2.048</v>
      </c>
      <c r="P46" s="324">
        <f t="shared" si="1"/>
        <v>36.847999999999999</v>
      </c>
      <c r="Q46" s="324">
        <f t="shared" si="2"/>
        <v>2.048</v>
      </c>
      <c r="R46" s="324">
        <f t="shared" si="3"/>
        <v>2.048</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0.66555572315599787</v>
      </c>
      <c r="AJ46" s="285"/>
      <c r="AK46" s="355"/>
      <c r="AL46" s="581" t="s">
        <v>61</v>
      </c>
      <c r="AM46" s="582">
        <f>M78/1000</f>
        <v>0.89352000000000009</v>
      </c>
      <c r="AN46" s="590">
        <f t="shared" si="73"/>
        <v>0.8041680000000001</v>
      </c>
      <c r="AO46" s="590">
        <f>AM46*(1-$AN$23)</f>
        <v>8.9351999999999987E-2</v>
      </c>
      <c r="AP46" s="590"/>
      <c r="AQ46" s="600">
        <f t="shared" si="28"/>
        <v>0.73370819580419588</v>
      </c>
      <c r="AR46" s="590">
        <f t="shared" si="29"/>
        <v>8.1533634365634378E-2</v>
      </c>
      <c r="AS46" s="591">
        <f t="shared" si="30"/>
        <v>0</v>
      </c>
      <c r="AT46" s="582">
        <f t="shared" si="74"/>
        <v>0.80416953002498515</v>
      </c>
      <c r="AU46" s="583">
        <f t="shared" si="74"/>
        <v>8.936368000792913E-2</v>
      </c>
      <c r="AV46" s="584">
        <f t="shared" si="74"/>
        <v>0</v>
      </c>
      <c r="AW46" s="285"/>
      <c r="AX46" s="355"/>
      <c r="AY46" s="581" t="s">
        <v>61</v>
      </c>
      <c r="AZ46" s="582">
        <f>M98/1000</f>
        <v>0.81323999999999996</v>
      </c>
      <c r="BA46" s="590">
        <f t="shared" si="75"/>
        <v>0.73191600000000001</v>
      </c>
      <c r="BB46" s="590">
        <f t="shared" si="60"/>
        <v>4.0662000000000004E-2</v>
      </c>
      <c r="BC46" s="590">
        <f t="shared" si="61"/>
        <v>4.0662000000000004E-2</v>
      </c>
      <c r="BD46" s="582">
        <f t="shared" si="33"/>
        <v>0.66779821782178217</v>
      </c>
      <c r="BE46" s="583">
        <f t="shared" si="34"/>
        <v>3.7109441584158416E-2</v>
      </c>
      <c r="BF46" s="584">
        <f t="shared" si="35"/>
        <v>3.7109441584158416E-2</v>
      </c>
      <c r="BG46" s="582">
        <f t="shared" si="62"/>
        <v>0.73192991716366229</v>
      </c>
      <c r="BH46" s="583">
        <f t="shared" si="63"/>
        <v>4.0673229996447111E-2</v>
      </c>
      <c r="BI46" s="584">
        <f t="shared" si="64"/>
        <v>4.0673229996447111E-2</v>
      </c>
      <c r="BJ46" s="285"/>
      <c r="BK46" s="355"/>
      <c r="BL46" s="581" t="s">
        <v>61</v>
      </c>
      <c r="BM46" s="582">
        <f>M118/1000</f>
        <v>0.70056000000000007</v>
      </c>
      <c r="BN46" s="590">
        <f t="shared" si="76"/>
        <v>0.63050400000000006</v>
      </c>
      <c r="BO46" s="590">
        <f t="shared" si="53"/>
        <v>3.5028000000000004E-2</v>
      </c>
      <c r="BP46" s="590">
        <f t="shared" si="54"/>
        <v>3.5028000000000004E-2</v>
      </c>
      <c r="BQ46" s="582">
        <f t="shared" si="38"/>
        <v>0.57526659801980196</v>
      </c>
      <c r="BR46" s="583">
        <f t="shared" si="39"/>
        <v>3.1973132673267332E-2</v>
      </c>
      <c r="BS46" s="584">
        <f t="shared" si="40"/>
        <v>3.1973132673267332E-2</v>
      </c>
      <c r="BT46" s="582">
        <f t="shared" si="65"/>
        <v>0.63051206516999714</v>
      </c>
      <c r="BU46" s="583">
        <f t="shared" si="66"/>
        <v>3.5043657986000717E-2</v>
      </c>
      <c r="BV46" s="584">
        <f t="shared" si="67"/>
        <v>3.5043657986000717E-2</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ILDSH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ILDSH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ILDSH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33.451999999999998</v>
      </c>
      <c r="N56" s="321">
        <f t="shared" si="25"/>
        <v>0</v>
      </c>
      <c r="O56" s="321">
        <f t="shared" si="26"/>
        <v>0</v>
      </c>
      <c r="P56" s="321">
        <f t="shared" si="1"/>
        <v>33.451999999999998</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0.5440090099009901</v>
      </c>
      <c r="AJ56" s="285"/>
      <c r="AK56" s="356"/>
      <c r="AL56" s="573" t="s">
        <v>103</v>
      </c>
      <c r="AM56" s="574">
        <f>N82/1000</f>
        <v>2.5209999999999999</v>
      </c>
      <c r="AN56" s="627">
        <f>AM56</f>
        <v>2.5209999999999999</v>
      </c>
      <c r="AO56" s="628">
        <v>0</v>
      </c>
      <c r="AP56" s="628">
        <v>0</v>
      </c>
      <c r="AQ56" s="596">
        <f t="shared" si="28"/>
        <v>2.4201753446553451</v>
      </c>
      <c r="AR56" s="576">
        <f t="shared" si="29"/>
        <v>0</v>
      </c>
      <c r="AS56" s="577">
        <f t="shared" si="30"/>
        <v>0</v>
      </c>
      <c r="AT56" s="574">
        <f t="shared" si="85"/>
        <v>2.5210159840159845</v>
      </c>
      <c r="AU56" s="575">
        <f t="shared" si="85"/>
        <v>0</v>
      </c>
      <c r="AV56" s="580">
        <f t="shared" si="85"/>
        <v>0</v>
      </c>
      <c r="AW56" s="285"/>
      <c r="AX56" s="356"/>
      <c r="AY56" s="573" t="s">
        <v>103</v>
      </c>
      <c r="AZ56" s="574">
        <f>N102/1000</f>
        <v>2.298</v>
      </c>
      <c r="BA56" s="627">
        <f>AZ56</f>
        <v>2.298</v>
      </c>
      <c r="BB56" s="628">
        <v>0</v>
      </c>
      <c r="BC56" s="628">
        <v>0</v>
      </c>
      <c r="BD56" s="574">
        <f t="shared" si="33"/>
        <v>2.2060837069306931</v>
      </c>
      <c r="BE56" s="575">
        <f t="shared" si="34"/>
        <v>0</v>
      </c>
      <c r="BF56" s="580">
        <f t="shared" si="35"/>
        <v>0</v>
      </c>
      <c r="BG56" s="574">
        <f t="shared" si="62"/>
        <v>2.2980038613861389</v>
      </c>
      <c r="BH56" s="575">
        <f t="shared" si="63"/>
        <v>0</v>
      </c>
      <c r="BI56" s="580">
        <f t="shared" si="64"/>
        <v>0</v>
      </c>
      <c r="BJ56" s="285"/>
      <c r="BK56" s="356"/>
      <c r="BL56" s="573" t="s">
        <v>103</v>
      </c>
      <c r="BM56" s="574">
        <f>N122/1000</f>
        <v>0.54400000000000004</v>
      </c>
      <c r="BN56" s="627">
        <f>BM56</f>
        <v>0.54400000000000004</v>
      </c>
      <c r="BO56" s="628">
        <v>0</v>
      </c>
      <c r="BP56" s="628">
        <v>0</v>
      </c>
      <c r="BQ56" s="574">
        <f t="shared" si="38"/>
        <v>0.52224864950495042</v>
      </c>
      <c r="BR56" s="575">
        <f t="shared" si="39"/>
        <v>0</v>
      </c>
      <c r="BS56" s="580">
        <f t="shared" si="40"/>
        <v>0</v>
      </c>
      <c r="BT56" s="574">
        <f t="shared" si="65"/>
        <v>0.54400900990098999</v>
      </c>
      <c r="BU56" s="575">
        <f t="shared" si="66"/>
        <v>0</v>
      </c>
      <c r="BV56" s="580">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15.347</v>
      </c>
      <c r="N58" s="324">
        <f t="shared" si="25"/>
        <v>0.85299999999999998</v>
      </c>
      <c r="O58" s="324">
        <f t="shared" si="26"/>
        <v>0.85299999999999998</v>
      </c>
      <c r="P58" s="324">
        <f t="shared" si="1"/>
        <v>15.347</v>
      </c>
      <c r="Q58" s="324">
        <f t="shared" si="2"/>
        <v>0.85299999999999998</v>
      </c>
      <c r="R58" s="324">
        <f t="shared" si="3"/>
        <v>0.85299999999999998</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0.2662236581552892</v>
      </c>
      <c r="AJ58" s="285"/>
      <c r="AK58" s="355"/>
      <c r="AL58" s="581" t="s">
        <v>61</v>
      </c>
      <c r="AM58" s="574">
        <f>M82/1000</f>
        <v>0.357408</v>
      </c>
      <c r="AN58" s="575">
        <f t="shared" si="77"/>
        <v>0.32166719999999999</v>
      </c>
      <c r="AO58" s="576">
        <f t="shared" si="78"/>
        <v>1.7870400000000002E-2</v>
      </c>
      <c r="AP58" s="576">
        <f t="shared" si="79"/>
        <v>1.7870400000000002E-2</v>
      </c>
      <c r="AQ58" s="596">
        <f t="shared" si="28"/>
        <v>0.30559360639360644</v>
      </c>
      <c r="AR58" s="576">
        <f t="shared" si="29"/>
        <v>1.6980923076923077E-2</v>
      </c>
      <c r="AS58" s="577">
        <f t="shared" si="30"/>
        <v>1.6980923076923077E-2</v>
      </c>
      <c r="AT58" s="574">
        <f t="shared" ref="AT58:AV62" si="87">IFERROR(AQ58/W58,0)</f>
        <v>0.32167748041432259</v>
      </c>
      <c r="AU58" s="575">
        <f t="shared" si="87"/>
        <v>1.7874655870445344E-2</v>
      </c>
      <c r="AV58" s="580">
        <f t="shared" si="87"/>
        <v>1.7874655870445344E-2</v>
      </c>
      <c r="AW58" s="285"/>
      <c r="AX58" s="355"/>
      <c r="AY58" s="581" t="s">
        <v>61</v>
      </c>
      <c r="AZ58" s="574">
        <f>M102/1000</f>
        <v>0.32529599999999997</v>
      </c>
      <c r="BA58" s="575">
        <f>AZ58*$AN$23</f>
        <v>0.29276639999999998</v>
      </c>
      <c r="BB58" s="576">
        <f t="shared" si="60"/>
        <v>1.6264799999999999E-2</v>
      </c>
      <c r="BC58" s="576">
        <f t="shared" si="61"/>
        <v>1.6264799999999999E-2</v>
      </c>
      <c r="BD58" s="574">
        <f t="shared" si="33"/>
        <v>0.2781412752475248</v>
      </c>
      <c r="BE58" s="575">
        <f t="shared" si="34"/>
        <v>1.5455762376237624E-2</v>
      </c>
      <c r="BF58" s="580">
        <f t="shared" si="35"/>
        <v>1.5455762376237624E-2</v>
      </c>
      <c r="BG58" s="574">
        <f t="shared" ref="BG58:BI62" si="88">IFERROR(BD58/W58,0)</f>
        <v>0.29278028973423664</v>
      </c>
      <c r="BH58" s="575">
        <f t="shared" si="88"/>
        <v>1.6269223553934342E-2</v>
      </c>
      <c r="BI58" s="580">
        <f t="shared" si="88"/>
        <v>1.6269223553934342E-2</v>
      </c>
      <c r="BJ58" s="285"/>
      <c r="BK58" s="355"/>
      <c r="BL58" s="581" t="s">
        <v>61</v>
      </c>
      <c r="BM58" s="574">
        <f>M122/1000</f>
        <v>0.28022400000000003</v>
      </c>
      <c r="BN58" s="575">
        <f>BM58*$AN$23</f>
        <v>0.25220160000000003</v>
      </c>
      <c r="BO58" s="576">
        <f t="shared" si="53"/>
        <v>1.4011200000000001E-2</v>
      </c>
      <c r="BP58" s="576">
        <f t="shared" si="54"/>
        <v>1.4011200000000001E-2</v>
      </c>
      <c r="BQ58" s="574">
        <f t="shared" si="38"/>
        <v>0.23959554059405941</v>
      </c>
      <c r="BR58" s="575">
        <f t="shared" si="39"/>
        <v>1.3316934653465347E-2</v>
      </c>
      <c r="BS58" s="580">
        <f t="shared" si="40"/>
        <v>1.3316934653465347E-2</v>
      </c>
      <c r="BT58" s="574">
        <f t="shared" ref="BT58:BV62" si="89">IFERROR(BQ58/W58,0)</f>
        <v>0.25220583220427306</v>
      </c>
      <c r="BU58" s="575">
        <f t="shared" si="89"/>
        <v>1.4017825951016156E-2</v>
      </c>
      <c r="BV58" s="580">
        <f t="shared" si="89"/>
        <v>1.4017825951016156E-2</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68.657000000000011</v>
      </c>
      <c r="N59" s="323">
        <f t="shared" si="25"/>
        <v>3.8149999999999999</v>
      </c>
      <c r="O59" s="323">
        <f t="shared" si="26"/>
        <v>3.8149999999999999</v>
      </c>
      <c r="P59" s="323">
        <f t="shared" si="1"/>
        <v>68.657000000000011</v>
      </c>
      <c r="Q59" s="323">
        <f t="shared" si="2"/>
        <v>3.8149999999999999</v>
      </c>
      <c r="R59" s="323">
        <f t="shared" si="3"/>
        <v>3.8149999999999999</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1.1314242534653467</v>
      </c>
      <c r="AJ59" s="285"/>
      <c r="AK59" s="545" t="str">
        <f ca="1">F59</f>
        <v>ILDLA</v>
      </c>
      <c r="AL59" s="592" t="s">
        <v>61</v>
      </c>
      <c r="AM59" s="593">
        <f>M80/1000</f>
        <v>1.5189840000000001</v>
      </c>
      <c r="AN59" s="594">
        <f t="shared" si="77"/>
        <v>1.3670856000000002</v>
      </c>
      <c r="AO59" s="597">
        <f t="shared" si="78"/>
        <v>7.5949200000000008E-2</v>
      </c>
      <c r="AP59" s="597">
        <f t="shared" si="79"/>
        <v>7.5949200000000008E-2</v>
      </c>
      <c r="AQ59" s="598">
        <f t="shared" si="28"/>
        <v>1.3670903256743261</v>
      </c>
      <c r="AR59" s="597">
        <f t="shared" si="29"/>
        <v>7.5957338661338664E-2</v>
      </c>
      <c r="AS59" s="599">
        <f t="shared" si="30"/>
        <v>7.5957338661338664E-2</v>
      </c>
      <c r="AT59" s="593">
        <f t="shared" si="87"/>
        <v>1.3670903256743261</v>
      </c>
      <c r="AU59" s="594">
        <f t="shared" si="87"/>
        <v>7.5957338661338664E-2</v>
      </c>
      <c r="AV59" s="595">
        <f t="shared" si="87"/>
        <v>7.5957338661338664E-2</v>
      </c>
      <c r="AW59" s="285"/>
      <c r="AX59" s="545" t="str">
        <f t="shared" ca="1" si="12"/>
        <v>ILDLA</v>
      </c>
      <c r="AY59" s="592" t="s">
        <v>61</v>
      </c>
      <c r="AZ59" s="593">
        <f>M100/1000</f>
        <v>1.3825080000000001</v>
      </c>
      <c r="BA59" s="594">
        <f>AZ59*$AN$23</f>
        <v>1.2442572000000001</v>
      </c>
      <c r="BB59" s="597">
        <f t="shared" si="60"/>
        <v>6.9125400000000004E-2</v>
      </c>
      <c r="BC59" s="597">
        <f t="shared" si="61"/>
        <v>6.9125400000000004E-2</v>
      </c>
      <c r="BD59" s="593">
        <f t="shared" si="33"/>
        <v>1.2442669306930696</v>
      </c>
      <c r="BE59" s="594">
        <f t="shared" si="34"/>
        <v>6.9129409900990091E-2</v>
      </c>
      <c r="BF59" s="595">
        <f t="shared" si="35"/>
        <v>6.9129409900990091E-2</v>
      </c>
      <c r="BG59" s="593">
        <f t="shared" si="88"/>
        <v>1.2442669306930696</v>
      </c>
      <c r="BH59" s="594">
        <f t="shared" si="88"/>
        <v>6.9129409900990091E-2</v>
      </c>
      <c r="BI59" s="595">
        <f t="shared" si="88"/>
        <v>6.9129409900990091E-2</v>
      </c>
      <c r="BJ59" s="285"/>
      <c r="BK59" s="545" t="str">
        <f ca="1">AK59</f>
        <v>ILDLA</v>
      </c>
      <c r="BL59" s="592" t="s">
        <v>61</v>
      </c>
      <c r="BM59" s="593">
        <f>M120/1000</f>
        <v>1.1909520000000002</v>
      </c>
      <c r="BN59" s="594">
        <f>BM59*$AN$23</f>
        <v>1.0718568000000002</v>
      </c>
      <c r="BO59" s="597">
        <f t="shared" si="53"/>
        <v>5.9547600000000013E-2</v>
      </c>
      <c r="BP59" s="597">
        <f t="shared" si="54"/>
        <v>5.9547600000000013E-2</v>
      </c>
      <c r="BQ59" s="593">
        <f t="shared" si="38"/>
        <v>1.0718649267326734</v>
      </c>
      <c r="BR59" s="594">
        <f t="shared" si="39"/>
        <v>5.9559326732673265E-2</v>
      </c>
      <c r="BS59" s="595">
        <f t="shared" si="40"/>
        <v>5.9559326732673265E-2</v>
      </c>
      <c r="BT59" s="593">
        <f t="shared" si="89"/>
        <v>1.0718649267326734</v>
      </c>
      <c r="BU59" s="594">
        <f t="shared" si="89"/>
        <v>5.9559326732673265E-2</v>
      </c>
      <c r="BV59" s="595">
        <f t="shared" si="89"/>
        <v>5.9559326732673265E-2</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197.893</v>
      </c>
      <c r="N60" s="324">
        <f t="shared" si="25"/>
        <v>10.994999999999999</v>
      </c>
      <c r="O60" s="324">
        <f t="shared" si="26"/>
        <v>10.994999999999999</v>
      </c>
      <c r="P60" s="324">
        <f t="shared" si="1"/>
        <v>197.893</v>
      </c>
      <c r="Q60" s="324">
        <f t="shared" si="2"/>
        <v>10.994999999999999</v>
      </c>
      <c r="R60" s="324">
        <f t="shared" si="3"/>
        <v>10.994999999999999</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3.2611346376237624</v>
      </c>
      <c r="AJ60" s="285"/>
      <c r="AK60" s="550" t="str">
        <f ca="1">F60</f>
        <v>ILDEM</v>
      </c>
      <c r="AL60" s="592" t="s">
        <v>61</v>
      </c>
      <c r="AM60" s="593">
        <f>M81/1000</f>
        <v>4.3782480000000001</v>
      </c>
      <c r="AN60" s="594">
        <f t="shared" si="77"/>
        <v>3.9404232000000001</v>
      </c>
      <c r="AO60" s="597">
        <f t="shared" si="78"/>
        <v>0.21891240000000001</v>
      </c>
      <c r="AP60" s="597">
        <f t="shared" si="79"/>
        <v>0.21891240000000001</v>
      </c>
      <c r="AQ60" s="598">
        <f t="shared" si="28"/>
        <v>3.9404247752247761</v>
      </c>
      <c r="AR60" s="597">
        <f t="shared" si="29"/>
        <v>0.2189247392607393</v>
      </c>
      <c r="AS60" s="599">
        <f t="shared" si="30"/>
        <v>0.2189247392607393</v>
      </c>
      <c r="AT60" s="593">
        <f t="shared" si="87"/>
        <v>3.9404247752247761</v>
      </c>
      <c r="AU60" s="594">
        <f t="shared" si="87"/>
        <v>0.2189247392607393</v>
      </c>
      <c r="AV60" s="595">
        <f t="shared" si="87"/>
        <v>0.2189247392607393</v>
      </c>
      <c r="AW60" s="285"/>
      <c r="AX60" s="550" t="str">
        <f t="shared" ca="1" si="12"/>
        <v>ILDEM</v>
      </c>
      <c r="AY60" s="592" t="s">
        <v>61</v>
      </c>
      <c r="AZ60" s="593">
        <f>M101/1000</f>
        <v>3.9848759999999999</v>
      </c>
      <c r="BA60" s="594">
        <f>AZ60*$AN$23</f>
        <v>3.5863884000000001</v>
      </c>
      <c r="BB60" s="597">
        <f t="shared" si="60"/>
        <v>0.1992438</v>
      </c>
      <c r="BC60" s="597">
        <f t="shared" si="61"/>
        <v>0.1992438</v>
      </c>
      <c r="BD60" s="593">
        <f t="shared" si="33"/>
        <v>3.5863925702970301</v>
      </c>
      <c r="BE60" s="594">
        <f t="shared" si="34"/>
        <v>0.19925443960396041</v>
      </c>
      <c r="BF60" s="595">
        <f t="shared" si="35"/>
        <v>0.19925443960396041</v>
      </c>
      <c r="BG60" s="593">
        <f t="shared" si="88"/>
        <v>3.5863925702970301</v>
      </c>
      <c r="BH60" s="594">
        <f t="shared" si="88"/>
        <v>0.19925443960396041</v>
      </c>
      <c r="BI60" s="595">
        <f t="shared" si="88"/>
        <v>0.19925443960396041</v>
      </c>
      <c r="BJ60" s="285"/>
      <c r="BK60" s="550" t="str">
        <f ca="1">AK60</f>
        <v>ILDEM</v>
      </c>
      <c r="BL60" s="592" t="s">
        <v>61</v>
      </c>
      <c r="BM60" s="593">
        <f>M121/1000</f>
        <v>3.432744</v>
      </c>
      <c r="BN60" s="594">
        <f>BM60*$AN$23</f>
        <v>3.0894696000000001</v>
      </c>
      <c r="BO60" s="597">
        <f t="shared" si="53"/>
        <v>0.17163720000000002</v>
      </c>
      <c r="BP60" s="597">
        <f t="shared" si="54"/>
        <v>0.17163720000000002</v>
      </c>
      <c r="BQ60" s="593">
        <f t="shared" si="38"/>
        <v>3.0894820039603959</v>
      </c>
      <c r="BR60" s="594">
        <f t="shared" si="39"/>
        <v>0.17165263366336633</v>
      </c>
      <c r="BS60" s="595">
        <f t="shared" si="40"/>
        <v>0.17165263366336633</v>
      </c>
      <c r="BT60" s="593">
        <f t="shared" si="89"/>
        <v>3.0894820039603959</v>
      </c>
      <c r="BU60" s="594">
        <f t="shared" si="89"/>
        <v>0.17165263366336633</v>
      </c>
      <c r="BV60" s="595">
        <f t="shared" si="89"/>
        <v>0.17165263366336633</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50" t="str">
        <f ca="1">F61</f>
        <v>ILDTF</v>
      </c>
      <c r="AL61" s="592" t="s">
        <v>59</v>
      </c>
      <c r="AM61" s="593">
        <f>F79/1000</f>
        <v>1.3726400000000001</v>
      </c>
      <c r="AN61" s="594">
        <f t="shared" si="77"/>
        <v>1.235376</v>
      </c>
      <c r="AO61" s="597">
        <f t="shared" si="78"/>
        <v>6.8632000000000012E-2</v>
      </c>
      <c r="AP61" s="597">
        <f t="shared" si="79"/>
        <v>6.8632000000000012E-2</v>
      </c>
      <c r="AQ61" s="598">
        <f t="shared" si="28"/>
        <v>1.2353857822177825</v>
      </c>
      <c r="AR61" s="597">
        <f t="shared" si="29"/>
        <v>6.863254345654346E-2</v>
      </c>
      <c r="AS61" s="599">
        <f t="shared" si="30"/>
        <v>6.863254345654346E-2</v>
      </c>
      <c r="AT61" s="593">
        <f t="shared" si="87"/>
        <v>1.2353857822177825</v>
      </c>
      <c r="AU61" s="594">
        <f t="shared" si="87"/>
        <v>6.863254345654346E-2</v>
      </c>
      <c r="AV61" s="595">
        <f t="shared" si="87"/>
        <v>6.863254345654346E-2</v>
      </c>
      <c r="AW61" s="285"/>
      <c r="AX61" s="550" t="str">
        <f t="shared" ca="1" si="12"/>
        <v>ILDTF</v>
      </c>
      <c r="AY61" s="592" t="s">
        <v>59</v>
      </c>
      <c r="AZ61" s="593">
        <f>F99/1000</f>
        <v>0.81346600000000002</v>
      </c>
      <c r="BA61" s="594">
        <f>AZ61*$AN$23</f>
        <v>0.73211940000000009</v>
      </c>
      <c r="BB61" s="597">
        <f t="shared" si="60"/>
        <v>4.0673300000000003E-2</v>
      </c>
      <c r="BC61" s="597">
        <f t="shared" si="61"/>
        <v>4.0673300000000003E-2</v>
      </c>
      <c r="BD61" s="593">
        <f t="shared" si="33"/>
        <v>0.73213478019801981</v>
      </c>
      <c r="BE61" s="594">
        <f t="shared" si="34"/>
        <v>4.0684562376237625E-2</v>
      </c>
      <c r="BF61" s="595">
        <f t="shared" si="35"/>
        <v>4.0684562376237625E-2</v>
      </c>
      <c r="BG61" s="593">
        <f t="shared" si="88"/>
        <v>0.73213478019801981</v>
      </c>
      <c r="BH61" s="594">
        <f t="shared" si="88"/>
        <v>4.0684562376237625E-2</v>
      </c>
      <c r="BI61" s="595">
        <f t="shared" si="88"/>
        <v>4.0684562376237625E-2</v>
      </c>
      <c r="BJ61" s="285"/>
      <c r="BK61" s="550" t="str">
        <f ca="1">AK61</f>
        <v>ILDTF</v>
      </c>
      <c r="BL61" s="592" t="s">
        <v>59</v>
      </c>
      <c r="BM61" s="593">
        <f>F119/1000</f>
        <v>0.55805100000000007</v>
      </c>
      <c r="BN61" s="594">
        <f>BM61*$AN$23</f>
        <v>0.50224590000000013</v>
      </c>
      <c r="BO61" s="597">
        <f t="shared" si="53"/>
        <v>2.7902550000000005E-2</v>
      </c>
      <c r="BP61" s="597">
        <f t="shared" si="54"/>
        <v>2.7902550000000005E-2</v>
      </c>
      <c r="BQ61" s="593">
        <f t="shared" si="38"/>
        <v>0.50224982970297027</v>
      </c>
      <c r="BR61" s="594">
        <f t="shared" si="39"/>
        <v>2.7914043564356436E-2</v>
      </c>
      <c r="BS61" s="595">
        <f t="shared" si="40"/>
        <v>2.7914043564356436E-2</v>
      </c>
      <c r="BT61" s="593">
        <f t="shared" si="89"/>
        <v>0.50224982970297027</v>
      </c>
      <c r="BU61" s="594">
        <f t="shared" si="89"/>
        <v>2.7914043564356436E-2</v>
      </c>
      <c r="BV61" s="595">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f t="shared" si="24"/>
        <v>1.863</v>
      </c>
      <c r="N62" s="323">
        <f t="shared" si="25"/>
        <v>0.104</v>
      </c>
      <c r="O62" s="323">
        <f t="shared" si="26"/>
        <v>0.104</v>
      </c>
      <c r="P62" s="323">
        <f t="shared" si="1"/>
        <v>1.863</v>
      </c>
      <c r="Q62" s="323">
        <f t="shared" si="2"/>
        <v>0.104</v>
      </c>
      <c r="R62" s="323">
        <f t="shared" si="3"/>
        <v>0.104</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3.0708570297029704E-2</v>
      </c>
      <c r="AJ62" s="285"/>
      <c r="AK62" s="550" t="str">
        <f ca="1">F62</f>
        <v>ILDFL</v>
      </c>
      <c r="AL62" s="546" t="s">
        <v>53</v>
      </c>
      <c r="AM62" s="547">
        <f>H79/1000</f>
        <v>3.4523249999999998E-2</v>
      </c>
      <c r="AN62" s="548">
        <f t="shared" si="77"/>
        <v>3.1070924999999999E-2</v>
      </c>
      <c r="AO62" s="549">
        <f t="shared" si="78"/>
        <v>1.7261625E-3</v>
      </c>
      <c r="AP62" s="549">
        <f t="shared" si="79"/>
        <v>1.7261625E-3</v>
      </c>
      <c r="AQ62" s="559">
        <f t="shared" si="28"/>
        <v>3.1079184815184818E-2</v>
      </c>
      <c r="AR62" s="549">
        <f t="shared" si="29"/>
        <v>1.732747252747253E-3</v>
      </c>
      <c r="AS62" s="555">
        <f t="shared" si="30"/>
        <v>1.732747252747253E-3</v>
      </c>
      <c r="AT62" s="560">
        <f t="shared" si="87"/>
        <v>3.1079184815184818E-2</v>
      </c>
      <c r="AU62" s="551">
        <f t="shared" si="87"/>
        <v>1.732747252747253E-3</v>
      </c>
      <c r="AV62" s="552">
        <f t="shared" si="87"/>
        <v>1.732747252747253E-3</v>
      </c>
      <c r="AW62" s="285"/>
      <c r="AX62" s="550" t="str">
        <f t="shared" ca="1" si="12"/>
        <v>ILDFL</v>
      </c>
      <c r="AY62" s="546" t="s">
        <v>53</v>
      </c>
      <c r="AZ62" s="547">
        <f>H99/1000</f>
        <v>3.4024500000000006E-2</v>
      </c>
      <c r="BA62" s="548">
        <f>AZ62*$AN$23</f>
        <v>3.0622050000000005E-2</v>
      </c>
      <c r="BB62" s="549">
        <f t="shared" si="60"/>
        <v>1.7012250000000004E-3</v>
      </c>
      <c r="BC62" s="549">
        <f t="shared" si="61"/>
        <v>1.7012250000000004E-3</v>
      </c>
      <c r="BD62" s="560">
        <f t="shared" si="33"/>
        <v>3.0630510891089112E-2</v>
      </c>
      <c r="BE62" s="551">
        <f t="shared" si="34"/>
        <v>1.7016950495049505E-3</v>
      </c>
      <c r="BF62" s="552">
        <f t="shared" si="35"/>
        <v>1.7016950495049505E-3</v>
      </c>
      <c r="BG62" s="560">
        <f t="shared" si="88"/>
        <v>3.0630510891089112E-2</v>
      </c>
      <c r="BH62" s="551">
        <f t="shared" si="88"/>
        <v>1.7016950495049505E-3</v>
      </c>
      <c r="BI62" s="552">
        <f t="shared" si="88"/>
        <v>1.7016950495049505E-3</v>
      </c>
      <c r="BJ62" s="285"/>
      <c r="BK62" s="550" t="str">
        <f ca="1">AK62</f>
        <v>ILDFL</v>
      </c>
      <c r="BL62" s="546" t="s">
        <v>53</v>
      </c>
      <c r="BM62" s="547">
        <f>H119/1000</f>
        <v>3.2305499999999994E-2</v>
      </c>
      <c r="BN62" s="548">
        <f>BM62*$AN$23</f>
        <v>2.9074949999999995E-2</v>
      </c>
      <c r="BO62" s="549">
        <f t="shared" si="53"/>
        <v>1.6152749999999998E-3</v>
      </c>
      <c r="BP62" s="549">
        <f t="shared" si="54"/>
        <v>1.6152749999999998E-3</v>
      </c>
      <c r="BQ62" s="560">
        <f t="shared" si="38"/>
        <v>2.9084934653465348E-2</v>
      </c>
      <c r="BR62" s="551">
        <f t="shared" si="39"/>
        <v>1.6236356435643563E-3</v>
      </c>
      <c r="BS62" s="552">
        <f t="shared" si="40"/>
        <v>1.6236356435643563E-3</v>
      </c>
      <c r="BT62" s="560">
        <f t="shared" si="89"/>
        <v>2.9084934653465348E-2</v>
      </c>
      <c r="BU62" s="551">
        <f t="shared" si="89"/>
        <v>1.6236356435643563E-3</v>
      </c>
      <c r="BV62" s="552">
        <f t="shared" si="89"/>
        <v>1.6236356435643563E-3</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23"/>
      <c r="AG66" s="522"/>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0</v>
      </c>
      <c r="K77" s="14">
        <f t="shared" si="93"/>
        <v>0</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0</v>
      </c>
      <c r="K83" s="18">
        <f t="shared" si="99"/>
        <v>0</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8935.2000000000007</v>
      </c>
      <c r="W87" s="117"/>
    </row>
    <row r="88" spans="3:24" ht="12.75" customHeight="1">
      <c r="O88" s="86"/>
      <c r="T88" s="122" t="str">
        <f>+'Energy matrix'!B16</f>
        <v>District Heating</v>
      </c>
      <c r="U88" s="122"/>
      <c r="V88" s="123">
        <f>+INDEX('Energy matrix'!C16:N16,1,$D$2)</f>
        <v>2521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24601.762000000002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f t="shared" si="110"/>
        <v>0</v>
      </c>
      <c r="K97" s="14">
        <f t="shared" si="110"/>
        <v>0</v>
      </c>
      <c r="L97" s="14">
        <f t="shared" si="110"/>
        <v>0</v>
      </c>
      <c r="M97" s="14">
        <f t="shared" si="110"/>
        <v>1626.48</v>
      </c>
      <c r="N97" s="14">
        <f t="shared" si="110"/>
        <v>0</v>
      </c>
      <c r="O97" s="86"/>
      <c r="R97" s="287"/>
      <c r="S97" s="287"/>
      <c r="T97" s="48" t="s">
        <v>209</v>
      </c>
      <c r="U97" s="48"/>
      <c r="V97" s="126" t="str">
        <f>+INDEX('Energy matrix'!C24:N24,1,$D$2)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813.24</v>
      </c>
      <c r="N98" s="14">
        <f t="shared" si="111"/>
        <v>0</v>
      </c>
      <c r="O98" s="86"/>
      <c r="R98" s="287"/>
      <c r="S98" s="287"/>
      <c r="T98" s="117" t="str">
        <f>'Energy matrix'!B25</f>
        <v>Coal</v>
      </c>
      <c r="U98" s="117"/>
      <c r="V98" s="118">
        <f>+INDEX('Energy matrix'!C25:N25,1,$D$2)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1382.508</v>
      </c>
      <c r="N100" s="14">
        <f t="shared" si="113"/>
        <v>0</v>
      </c>
      <c r="O100" s="86"/>
      <c r="R100" s="287"/>
      <c r="S100" s="287"/>
      <c r="T100" s="117" t="str">
        <f>'Energy matrix'!B27</f>
        <v>Diesel</v>
      </c>
      <c r="U100" s="117"/>
      <c r="V100" s="118">
        <f>+INDEX('Energy matrix'!C27:N27,1,$D$2)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3984.8759999999997</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325.29599999999999</v>
      </c>
      <c r="N102" s="14">
        <f t="shared" si="115"/>
        <v>2298</v>
      </c>
      <c r="O102" s="86"/>
      <c r="R102" s="287"/>
      <c r="S102" s="287"/>
      <c r="T102" s="117" t="str">
        <f>'Energy matrix'!B29</f>
        <v>LPG</v>
      </c>
      <c r="U102" s="117"/>
      <c r="V102" s="118">
        <f>+INDEX('Energy matrix'!C29:N29,1,$D$2)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f t="shared" si="116"/>
        <v>0</v>
      </c>
      <c r="K103" s="18">
        <f t="shared" si="116"/>
        <v>0</v>
      </c>
      <c r="L103" s="18">
        <f t="shared" si="116"/>
        <v>0</v>
      </c>
      <c r="M103" s="18">
        <f t="shared" si="116"/>
        <v>8132.4</v>
      </c>
      <c r="N103" s="18">
        <f t="shared" si="116"/>
        <v>2298</v>
      </c>
      <c r="O103" s="86"/>
      <c r="R103" s="287"/>
      <c r="S103" s="287"/>
      <c r="T103" s="117" t="str">
        <f>'Energy matrix'!B31</f>
        <v>Natural gas</v>
      </c>
      <c r="U103" s="117"/>
      <c r="V103" s="118">
        <f>+INDEX('Energy matrix'!C31:N31,1,$D$2)</f>
        <v>9849.6</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8132.4</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21473.934000000001</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f t="shared" si="127"/>
        <v>10.7685</v>
      </c>
      <c r="I117" s="14">
        <f t="shared" si="127"/>
        <v>8865.5460000000003</v>
      </c>
      <c r="J117" s="14">
        <f t="shared" si="127"/>
        <v>0</v>
      </c>
      <c r="K117" s="14">
        <f t="shared" si="127"/>
        <v>0</v>
      </c>
      <c r="L117" s="14">
        <f t="shared" si="127"/>
        <v>0</v>
      </c>
      <c r="M117" s="14">
        <f t="shared" si="127"/>
        <v>1401.1200000000001</v>
      </c>
      <c r="N117" s="14">
        <f t="shared" si="127"/>
        <v>0</v>
      </c>
      <c r="O117" s="86"/>
      <c r="T117" s="48" t="s">
        <v>209</v>
      </c>
      <c r="U117" s="48"/>
      <c r="V117" s="126" t="str">
        <f>+INDEX('Energy matrix'!C44:N44,1,$D$2)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700.56000000000006</v>
      </c>
      <c r="N118" s="14">
        <f t="shared" si="128"/>
        <v>0</v>
      </c>
      <c r="O118" s="86"/>
      <c r="T118" s="117" t="str">
        <f>'Energy matrix'!B45</f>
        <v>Coal</v>
      </c>
      <c r="U118" s="117"/>
      <c r="V118" s="118">
        <f>+INDEX('Energy matrix'!C45:N45,1,$D$2)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32.305499999999995</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1190.9520000000002</v>
      </c>
      <c r="N120" s="14">
        <f t="shared" si="130"/>
        <v>0</v>
      </c>
      <c r="O120" s="86"/>
      <c r="T120" s="117" t="str">
        <f>'Energy matrix'!B47</f>
        <v>Diesel</v>
      </c>
      <c r="U120" s="117"/>
      <c r="V120" s="118">
        <f>+INDEX('Energy matrix'!C47:N47,1,$D$2)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3432.7440000000001</v>
      </c>
      <c r="N121" s="14">
        <f t="shared" si="131"/>
        <v>0</v>
      </c>
      <c r="O121" s="86"/>
      <c r="T121" s="117" t="str">
        <f>'Energy matrix'!B48</f>
        <v>Gasoline</v>
      </c>
      <c r="U121" s="117"/>
      <c r="V121" s="118">
        <f>+INDEX('Energy matrix'!C48:N48,1,$D$2)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280.22400000000005</v>
      </c>
      <c r="N122" s="14">
        <f t="shared" si="132"/>
        <v>544</v>
      </c>
      <c r="O122" s="86"/>
      <c r="T122" s="117" t="str">
        <f>'Energy matrix'!B49</f>
        <v>LPG</v>
      </c>
      <c r="U122" s="117"/>
      <c r="V122" s="118">
        <f>+INDEX('Energy matrix'!C49:N49,1,$D$2)</f>
        <v>43.073999999999998</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f t="shared" si="133"/>
        <v>43.073999999999998</v>
      </c>
      <c r="I123" s="18">
        <f t="shared" si="133"/>
        <v>8865.5460000000003</v>
      </c>
      <c r="J123" s="18">
        <f t="shared" si="133"/>
        <v>0</v>
      </c>
      <c r="K123" s="18">
        <f t="shared" si="133"/>
        <v>0</v>
      </c>
      <c r="L123" s="18">
        <f t="shared" si="133"/>
        <v>0</v>
      </c>
      <c r="M123" s="18">
        <f t="shared" si="133"/>
        <v>7005.6</v>
      </c>
      <c r="N123" s="18">
        <f t="shared" si="133"/>
        <v>544</v>
      </c>
      <c r="O123" s="86"/>
      <c r="T123" s="117" t="str">
        <f>'Energy matrix'!B51</f>
        <v>Natural gas</v>
      </c>
      <c r="U123" s="117"/>
      <c r="V123" s="118">
        <f>+INDEX('Energy matrix'!C51:N51,1,$D$2)</f>
        <v>8865.5460000000003</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7005.6</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544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17196.823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18"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534</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24"/>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25">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A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38"/>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38"/>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62"/>
      <c r="BL18" s="291"/>
      <c r="BM18" s="293"/>
      <c r="BN18" s="293"/>
      <c r="BO18" s="293"/>
      <c r="BP18" s="293"/>
      <c r="BQ18" s="291"/>
      <c r="BR18" s="291"/>
      <c r="BS18" s="291"/>
      <c r="BT18" s="291"/>
      <c r="BU18" s="291"/>
      <c r="BV18" s="291"/>
    </row>
    <row r="19" spans="3:77" ht="12.75" customHeight="1">
      <c r="C19" s="287"/>
      <c r="D19" s="287"/>
      <c r="E19" s="287"/>
      <c r="G19" s="526" t="s">
        <v>62</v>
      </c>
      <c r="H19" s="526"/>
      <c r="I19" s="533"/>
      <c r="J19" s="526"/>
      <c r="K19" s="526"/>
      <c r="L19" s="533"/>
      <c r="M19" s="526"/>
      <c r="N19" s="526"/>
      <c r="O19" s="526"/>
      <c r="P19" s="288"/>
      <c r="Q19" s="285"/>
      <c r="R19" s="285"/>
      <c r="S19" s="397"/>
      <c r="T19" s="285"/>
      <c r="U19" s="285"/>
      <c r="V19" s="285"/>
      <c r="W19" s="285"/>
      <c r="X19" s="285"/>
      <c r="Y19" s="285"/>
      <c r="AB19" s="339"/>
      <c r="AC19" s="285"/>
      <c r="AD19" s="285"/>
      <c r="AE19" s="285"/>
      <c r="AF19" s="285"/>
      <c r="AG19" s="285"/>
      <c r="AH19" s="285"/>
      <c r="AI19" s="285"/>
      <c r="AJ19" s="285"/>
      <c r="AK19" s="662">
        <v>2010</v>
      </c>
      <c r="AL19" s="350"/>
      <c r="AM19" s="337"/>
      <c r="AN19" s="337"/>
      <c r="AO19" s="337"/>
      <c r="AP19" s="337"/>
      <c r="AQ19" s="350"/>
      <c r="AR19" s="350"/>
      <c r="AS19" s="350"/>
      <c r="AT19" s="350"/>
      <c r="AU19" s="350"/>
      <c r="AV19" s="351"/>
      <c r="AW19" s="285"/>
      <c r="AX19" s="662">
        <v>2015</v>
      </c>
      <c r="AY19" s="350"/>
      <c r="AZ19" s="337"/>
      <c r="BA19" s="337"/>
      <c r="BB19" s="337"/>
      <c r="BC19" s="337"/>
      <c r="BD19" s="350"/>
      <c r="BE19" s="350"/>
      <c r="BF19" s="350"/>
      <c r="BG19" s="350"/>
      <c r="BH19" s="350"/>
      <c r="BI19" s="351"/>
      <c r="BJ19" s="285"/>
      <c r="BK19" s="662">
        <v>2019</v>
      </c>
      <c r="BL19" s="350"/>
      <c r="BM19" s="337"/>
      <c r="BN19" s="337"/>
      <c r="BO19" s="337"/>
      <c r="BP19" s="337"/>
      <c r="BQ19" s="350"/>
      <c r="BR19" s="350"/>
      <c r="BS19" s="350"/>
      <c r="BT19" s="350"/>
      <c r="BU19" s="350"/>
      <c r="BV19" s="351"/>
      <c r="BW19" s="285"/>
      <c r="BX19" s="285"/>
      <c r="BY19" s="285"/>
    </row>
    <row r="20" spans="3:77" ht="12.75" customHeight="1">
      <c r="E20" s="25"/>
      <c r="G20" s="527">
        <v>2010</v>
      </c>
      <c r="H20" s="527"/>
      <c r="I20" s="534"/>
      <c r="J20" s="527">
        <v>2015</v>
      </c>
      <c r="K20" s="527"/>
      <c r="L20" s="534"/>
      <c r="M20" s="527">
        <v>2019</v>
      </c>
      <c r="N20" s="527"/>
      <c r="O20" s="527"/>
      <c r="P20" s="296"/>
      <c r="Q20" s="297"/>
      <c r="R20" s="297"/>
      <c r="S20" s="296"/>
      <c r="T20" s="295"/>
      <c r="U20" s="295"/>
      <c r="V20" s="285"/>
      <c r="W20" s="285"/>
      <c r="X20" s="298"/>
      <c r="Y20" s="298"/>
      <c r="Z20" s="298"/>
      <c r="AA20" s="298"/>
      <c r="AB20" s="349"/>
      <c r="AC20" s="287"/>
      <c r="AD20" s="287"/>
      <c r="AE20" s="287"/>
      <c r="AF20" s="287"/>
      <c r="AG20" s="287"/>
      <c r="AH20" s="285"/>
      <c r="AI20" s="285"/>
      <c r="AJ20" s="285"/>
      <c r="AK20" s="663"/>
      <c r="AL20" s="291"/>
      <c r="AM20" s="291"/>
      <c r="AN20" s="291"/>
      <c r="AO20" s="291"/>
      <c r="AP20" s="291"/>
      <c r="AQ20" s="291"/>
      <c r="AR20" s="291"/>
      <c r="AS20" s="291"/>
      <c r="AT20" s="291"/>
      <c r="AU20" s="291"/>
      <c r="AV20" s="292"/>
      <c r="AW20" s="285"/>
      <c r="AX20" s="663"/>
      <c r="AY20" s="291"/>
      <c r="AZ20" s="291"/>
      <c r="BA20" s="291"/>
      <c r="BB20" s="291"/>
      <c r="BC20" s="291"/>
      <c r="BD20" s="291"/>
      <c r="BE20" s="291"/>
      <c r="BF20" s="291"/>
      <c r="BG20" s="291"/>
      <c r="BH20" s="291"/>
      <c r="BI20" s="292"/>
      <c r="BJ20" s="285"/>
      <c r="BK20" s="663"/>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4"/>
      <c r="AL21" s="291"/>
      <c r="AM21" s="291"/>
      <c r="AN21" s="358" t="s">
        <v>96</v>
      </c>
      <c r="AO21" s="350"/>
      <c r="AP21" s="351"/>
      <c r="AQ21" s="291"/>
      <c r="AR21" s="291"/>
      <c r="AS21" s="291"/>
      <c r="AT21" s="291"/>
      <c r="AU21" s="291"/>
      <c r="AV21" s="292"/>
      <c r="AW21" s="285"/>
      <c r="AX21" s="664"/>
      <c r="AY21" s="291"/>
      <c r="AZ21" s="291"/>
      <c r="BA21" s="358" t="s">
        <v>96</v>
      </c>
      <c r="BB21" s="350"/>
      <c r="BC21" s="351"/>
      <c r="BD21" s="291"/>
      <c r="BE21" s="291"/>
      <c r="BF21" s="291"/>
      <c r="BG21" s="291"/>
      <c r="BH21" s="291"/>
      <c r="BI21" s="292"/>
      <c r="BJ21" s="285"/>
      <c r="BK21" s="664"/>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61"/>
      <c r="AL22" s="291"/>
      <c r="AM22" s="291"/>
      <c r="AN22" s="290" t="s">
        <v>424</v>
      </c>
      <c r="AO22" s="291" t="s">
        <v>425</v>
      </c>
      <c r="AP22" s="292" t="s">
        <v>525</v>
      </c>
      <c r="AQ22" s="291"/>
      <c r="AR22" s="291"/>
      <c r="AS22" s="291"/>
      <c r="AT22" s="291"/>
      <c r="AU22" s="291"/>
      <c r="AV22" s="292"/>
      <c r="AW22" s="285"/>
      <c r="AX22" s="561"/>
      <c r="AY22" s="291"/>
      <c r="AZ22" s="291"/>
      <c r="BA22" s="290" t="s">
        <v>424</v>
      </c>
      <c r="BB22" s="291" t="s">
        <v>425</v>
      </c>
      <c r="BC22" s="292" t="s">
        <v>525</v>
      </c>
      <c r="BD22" s="291"/>
      <c r="BE22" s="291"/>
      <c r="BF22" s="291"/>
      <c r="BG22" s="291"/>
      <c r="BH22" s="291"/>
      <c r="BI22" s="292"/>
      <c r="BJ22" s="285"/>
      <c r="BK22" s="561"/>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39" cm="1">
        <f t="array" ref="AO23">INDEX(RegSplit!$B$4:$AN$6,MATCH(AO22,RegSplit!$A$4:$A$6,0),MATCH($D$6&amp;AK19,RegSplit!$B$2:$AN$2&amp;RegSplit!$B$3:$AN$3,0))</f>
        <v>0.05</v>
      </c>
      <c r="AP23" s="539"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39" cm="1">
        <f t="array" ref="BB23">INDEX(RegSplit!$B$4:$AN$6,MATCH(BB22,RegSplit!$A$4:$A$6,0),MATCH($D$6&amp;AX19,RegSplit!$B$2:$AN$2&amp;RegSplit!$B$3:$AN$3,0))</f>
        <v>0.05</v>
      </c>
      <c r="BC23" s="539"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39" cm="1">
        <f t="array" ref="BO23">INDEX(RegSplit!$B$4:$AN$6,MATCH(BO22,RegSplit!$A$4:$A$6,0),MATCH($D$6&amp;BK19,RegSplit!$B$2:$AN$2&amp;RegSplit!$B$3:$AN$3,0))</f>
        <v>0.05</v>
      </c>
      <c r="BP23" s="539"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G24" s="285"/>
      <c r="AH24" s="285"/>
      <c r="AI24" s="285"/>
      <c r="AJ24" s="285"/>
      <c r="AK24" s="290"/>
      <c r="AL24" s="291"/>
      <c r="AM24" s="556" t="s">
        <v>300</v>
      </c>
      <c r="AN24" s="557"/>
      <c r="AO24" s="350"/>
      <c r="AP24" s="351"/>
      <c r="AQ24" s="556" t="s">
        <v>96</v>
      </c>
      <c r="AR24" s="557"/>
      <c r="AS24" s="558"/>
      <c r="AT24" s="556" t="s">
        <v>301</v>
      </c>
      <c r="AU24" s="557"/>
      <c r="AV24" s="558"/>
      <c r="AW24" s="285"/>
      <c r="AX24" s="290"/>
      <c r="AY24" s="291"/>
      <c r="AZ24" s="556" t="s">
        <v>300</v>
      </c>
      <c r="BA24" s="557"/>
      <c r="BB24" s="350"/>
      <c r="BC24" s="351"/>
      <c r="BD24" s="556" t="s">
        <v>96</v>
      </c>
      <c r="BE24" s="557"/>
      <c r="BF24" s="558"/>
      <c r="BG24" s="556" t="s">
        <v>301</v>
      </c>
      <c r="BH24" s="557"/>
      <c r="BI24" s="558"/>
      <c r="BJ24" s="285"/>
      <c r="BK24" s="290"/>
      <c r="BL24" s="291"/>
      <c r="BM24" s="556" t="s">
        <v>300</v>
      </c>
      <c r="BN24" s="557"/>
      <c r="BO24" s="350"/>
      <c r="BP24" s="351"/>
      <c r="BQ24" s="556" t="s">
        <v>96</v>
      </c>
      <c r="BR24" s="557"/>
      <c r="BS24" s="558"/>
      <c r="BT24" s="556" t="s">
        <v>301</v>
      </c>
      <c r="BU24" s="557"/>
      <c r="BV24" s="558"/>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J25" s="285"/>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W25" s="285"/>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J25" s="285"/>
      <c r="BK25" s="545"/>
      <c r="BL25" s="553" t="s">
        <v>44</v>
      </c>
      <c r="BM25" s="541" t="s">
        <v>105</v>
      </c>
      <c r="BN25" s="542" t="s">
        <v>424</v>
      </c>
      <c r="BO25" s="542" t="s">
        <v>425</v>
      </c>
      <c r="BP25" s="543" t="s">
        <v>525</v>
      </c>
      <c r="BQ25" s="541" t="s">
        <v>424</v>
      </c>
      <c r="BR25" s="542" t="s">
        <v>425</v>
      </c>
      <c r="BS25" s="543" t="s">
        <v>525</v>
      </c>
      <c r="BT25" s="541" t="s">
        <v>424</v>
      </c>
      <c r="BU25" s="542" t="s">
        <v>425</v>
      </c>
      <c r="BV25" s="543" t="s">
        <v>525</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1494.26</v>
      </c>
      <c r="N26" s="322">
        <f>ROUNDUP(BO26/($Z26*$AA26)*N$21*X26,3)</f>
        <v>83.015000000000001</v>
      </c>
      <c r="O26" s="322">
        <f>ROUNDUP(BP26/($Z26*$AA26)*O$21*Y26,3)</f>
        <v>83.015000000000001</v>
      </c>
      <c r="P26" s="322">
        <f t="shared" ref="P26:P62" si="1">M26</f>
        <v>1494.26</v>
      </c>
      <c r="Q26" s="322">
        <f t="shared" ref="Q26:Q62" si="2">N26</f>
        <v>83.015000000000001</v>
      </c>
      <c r="R26" s="322">
        <f t="shared" ref="R26:R62" si="3">O26</f>
        <v>83.015000000000001</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25.126765205091939</v>
      </c>
      <c r="AJ26" s="385"/>
      <c r="AK26" s="544"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44"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44" t="str">
        <f ca="1">AK26</f>
        <v>INDPH</v>
      </c>
      <c r="BL26" s="350" t="s">
        <v>97</v>
      </c>
      <c r="BM26" s="313">
        <f>I117/1000</f>
        <v>26.449200000000001</v>
      </c>
      <c r="BN26" s="310">
        <f>BM26*$AN$23</f>
        <v>23.804280000000002</v>
      </c>
      <c r="BO26" s="311">
        <f>BM26*$BB$23</f>
        <v>1.3224600000000002</v>
      </c>
      <c r="BP26" s="311">
        <f>BM26*$BC$23</f>
        <v>1.3224600000000002</v>
      </c>
      <c r="BQ26" s="313">
        <f>IFERROR(M26*$Z26*$AA26/M$21,0)</f>
        <v>23.328209584158415</v>
      </c>
      <c r="BR26" s="310">
        <f>IFERROR(N26*$Z26*$AA26/N$21,0)</f>
        <v>1.2960203168316831</v>
      </c>
      <c r="BS26" s="357">
        <f>IFERROR(O26*$Z26*$AA26/O$21,0)</f>
        <v>1.2960203168316831</v>
      </c>
      <c r="BT26" s="313">
        <f>IFERROR(BQ26/W26,0)</f>
        <v>23.804295494039199</v>
      </c>
      <c r="BU26" s="310">
        <f>IFERROR(BR26/X26,0)</f>
        <v>1.3224697110527379</v>
      </c>
      <c r="BV26" s="357">
        <f>IFERROR(BS26/Y26,0)</f>
        <v>1.3224697110527379</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54">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W29" s="285"/>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J29" s="285"/>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85"/>
      <c r="AK30" s="354"/>
      <c r="AL30" s="573" t="s">
        <v>107</v>
      </c>
      <c r="AM30" s="574"/>
      <c r="AN30" s="575"/>
      <c r="AO30" s="576"/>
      <c r="AP30" s="576"/>
      <c r="AQ30" s="596">
        <f t="shared" si="28"/>
        <v>0</v>
      </c>
      <c r="AR30" s="576">
        <f t="shared" si="29"/>
        <v>0</v>
      </c>
      <c r="AS30" s="577">
        <f t="shared" si="30"/>
        <v>0</v>
      </c>
      <c r="AT30" s="574"/>
      <c r="AU30" s="575"/>
      <c r="AV30" s="580"/>
      <c r="AW30" s="285"/>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J30" s="285"/>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85"/>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W31" s="285"/>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J31" s="285"/>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73" t="s">
        <v>101</v>
      </c>
      <c r="AM32" s="574">
        <f>E77/1000</f>
        <v>0</v>
      </c>
      <c r="AN32" s="575">
        <f t="shared" si="47"/>
        <v>0</v>
      </c>
      <c r="AO32" s="576">
        <f>AM32*$AO$23</f>
        <v>0</v>
      </c>
      <c r="AP32" s="576">
        <f t="shared" si="49"/>
        <v>0</v>
      </c>
      <c r="AQ32" s="596">
        <f t="shared" si="28"/>
        <v>0</v>
      </c>
      <c r="AR32" s="576">
        <f t="shared" si="29"/>
        <v>0</v>
      </c>
      <c r="AS32" s="577">
        <f t="shared" si="30"/>
        <v>0</v>
      </c>
      <c r="AT32" s="574">
        <f t="shared" si="50"/>
        <v>0</v>
      </c>
      <c r="AU32" s="575">
        <f t="shared" si="50"/>
        <v>0</v>
      </c>
      <c r="AV32" s="580">
        <f t="shared" si="50"/>
        <v>0</v>
      </c>
      <c r="AW32" s="285"/>
      <c r="AX32" s="290"/>
      <c r="AY32" s="573" t="s">
        <v>101</v>
      </c>
      <c r="AZ32" s="574">
        <f>E97/1000</f>
        <v>0</v>
      </c>
      <c r="BA32" s="575">
        <f>AZ32*$AN$23</f>
        <v>0</v>
      </c>
      <c r="BB32" s="576">
        <f t="shared" ref="BB32:BB34" si="51">AZ32*$BB$23</f>
        <v>0</v>
      </c>
      <c r="BC32" s="576">
        <f t="shared" ref="BC32:BC34" si="52">AZ32*$BC$23</f>
        <v>0</v>
      </c>
      <c r="BD32" s="574">
        <f>IFERROR(J32*$Z32*AA32/J$21,0)</f>
        <v>0</v>
      </c>
      <c r="BE32" s="575">
        <f t="shared" si="34"/>
        <v>0</v>
      </c>
      <c r="BF32" s="580">
        <f t="shared" si="35"/>
        <v>0</v>
      </c>
      <c r="BG32" s="574">
        <f t="shared" si="15"/>
        <v>0</v>
      </c>
      <c r="BH32" s="575">
        <f t="shared" si="16"/>
        <v>0</v>
      </c>
      <c r="BI32" s="580">
        <f t="shared" si="17"/>
        <v>0</v>
      </c>
      <c r="BJ32" s="285"/>
      <c r="BK32" s="290"/>
      <c r="BL32" s="573" t="s">
        <v>101</v>
      </c>
      <c r="BM32" s="574">
        <f>E117/1000</f>
        <v>0</v>
      </c>
      <c r="BN32" s="575">
        <f>BM32*$AN$23</f>
        <v>0</v>
      </c>
      <c r="BO32" s="576">
        <f t="shared" ref="BO32:BO62" si="53">BM32*$BB$23</f>
        <v>0</v>
      </c>
      <c r="BP32" s="576">
        <f t="shared" ref="BP32:BP62" si="54">BM32*$BC$23</f>
        <v>0</v>
      </c>
      <c r="BQ32" s="574">
        <f t="shared" si="38"/>
        <v>0</v>
      </c>
      <c r="BR32" s="575">
        <f t="shared" si="39"/>
        <v>0</v>
      </c>
      <c r="BS32" s="580">
        <f t="shared" si="40"/>
        <v>0</v>
      </c>
      <c r="BT32" s="574">
        <f t="shared" si="41"/>
        <v>0</v>
      </c>
      <c r="BU32" s="575">
        <f t="shared" si="42"/>
        <v>0</v>
      </c>
      <c r="BV32" s="580">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v>
      </c>
      <c r="AH33" s="236">
        <f t="shared" si="9"/>
        <v>0</v>
      </c>
      <c r="AI33" s="236">
        <f t="shared" si="10"/>
        <v>0</v>
      </c>
      <c r="AJ33" s="285"/>
      <c r="AK33" s="290"/>
      <c r="AL33" s="573" t="s">
        <v>53</v>
      </c>
      <c r="AM33" s="574">
        <f>H77/1000</f>
        <v>0</v>
      </c>
      <c r="AN33" s="575">
        <f t="shared" si="47"/>
        <v>0</v>
      </c>
      <c r="AO33" s="576">
        <f t="shared" si="48"/>
        <v>0</v>
      </c>
      <c r="AP33" s="576">
        <f t="shared" si="49"/>
        <v>0</v>
      </c>
      <c r="AQ33" s="596">
        <f t="shared" si="28"/>
        <v>0</v>
      </c>
      <c r="AR33" s="576">
        <f t="shared" si="29"/>
        <v>0</v>
      </c>
      <c r="AS33" s="577">
        <f t="shared" si="30"/>
        <v>0</v>
      </c>
      <c r="AT33" s="574">
        <f t="shared" si="50"/>
        <v>0</v>
      </c>
      <c r="AU33" s="575">
        <f t="shared" si="50"/>
        <v>0</v>
      </c>
      <c r="AV33" s="580">
        <f t="shared" si="50"/>
        <v>0</v>
      </c>
      <c r="AW33" s="285"/>
      <c r="AX33" s="290"/>
      <c r="AY33" s="573" t="s">
        <v>53</v>
      </c>
      <c r="AZ33" s="574">
        <f>H97/1000</f>
        <v>0</v>
      </c>
      <c r="BA33" s="575">
        <f>AZ33*$AN$23</f>
        <v>0</v>
      </c>
      <c r="BB33" s="576">
        <f t="shared" si="51"/>
        <v>0</v>
      </c>
      <c r="BC33" s="576">
        <f t="shared" si="52"/>
        <v>0</v>
      </c>
      <c r="BD33" s="574">
        <f t="shared" si="33"/>
        <v>0</v>
      </c>
      <c r="BE33" s="575">
        <f t="shared" si="34"/>
        <v>0</v>
      </c>
      <c r="BF33" s="580">
        <f t="shared" si="35"/>
        <v>0</v>
      </c>
      <c r="BG33" s="574">
        <f t="shared" si="15"/>
        <v>0</v>
      </c>
      <c r="BH33" s="575">
        <f t="shared" si="16"/>
        <v>0</v>
      </c>
      <c r="BI33" s="580">
        <f t="shared" si="17"/>
        <v>0</v>
      </c>
      <c r="BJ33" s="285"/>
      <c r="BK33" s="290"/>
      <c r="BL33" s="573" t="s">
        <v>53</v>
      </c>
      <c r="BM33" s="574">
        <f>H117/1000</f>
        <v>0</v>
      </c>
      <c r="BN33" s="575">
        <f>BM33*$AN$23</f>
        <v>0</v>
      </c>
      <c r="BO33" s="576">
        <f t="shared" si="53"/>
        <v>0</v>
      </c>
      <c r="BP33" s="576">
        <f t="shared" si="54"/>
        <v>0</v>
      </c>
      <c r="BQ33" s="574">
        <f t="shared" si="38"/>
        <v>0</v>
      </c>
      <c r="BR33" s="575">
        <f t="shared" si="39"/>
        <v>0</v>
      </c>
      <c r="BS33" s="580">
        <f t="shared" si="40"/>
        <v>0</v>
      </c>
      <c r="BT33" s="574">
        <f t="shared" si="41"/>
        <v>0</v>
      </c>
      <c r="BU33" s="575">
        <f t="shared" si="42"/>
        <v>0</v>
      </c>
      <c r="BV33" s="580">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W34" s="285"/>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J34" s="285"/>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W35" s="285"/>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J35" s="285"/>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73" t="s">
        <v>104</v>
      </c>
      <c r="AM36" s="574"/>
      <c r="AN36" s="627">
        <f>AM36</f>
        <v>0</v>
      </c>
      <c r="AO36" s="628">
        <v>0</v>
      </c>
      <c r="AP36" s="628">
        <v>0</v>
      </c>
      <c r="AQ36" s="596">
        <f t="shared" si="28"/>
        <v>0</v>
      </c>
      <c r="AR36" s="576">
        <f t="shared" si="29"/>
        <v>0</v>
      </c>
      <c r="AS36" s="577">
        <f t="shared" si="30"/>
        <v>0</v>
      </c>
      <c r="AT36" s="574"/>
      <c r="AU36" s="575"/>
      <c r="AV36" s="580"/>
      <c r="AW36" s="285"/>
      <c r="AX36" s="290"/>
      <c r="AY36" s="573" t="s">
        <v>104</v>
      </c>
      <c r="AZ36" s="574"/>
      <c r="BA36" s="627">
        <f>AZ36</f>
        <v>0</v>
      </c>
      <c r="BB36" s="628">
        <v>0</v>
      </c>
      <c r="BC36" s="628">
        <v>0</v>
      </c>
      <c r="BD36" s="574">
        <f t="shared" si="33"/>
        <v>0</v>
      </c>
      <c r="BE36" s="575">
        <f t="shared" si="34"/>
        <v>0</v>
      </c>
      <c r="BF36" s="580">
        <f t="shared" si="35"/>
        <v>0</v>
      </c>
      <c r="BG36" s="574"/>
      <c r="BH36" s="575"/>
      <c r="BI36" s="580"/>
      <c r="BJ36" s="285"/>
      <c r="BK36" s="290"/>
      <c r="BL36" s="573" t="s">
        <v>104</v>
      </c>
      <c r="BM36" s="574"/>
      <c r="BN36" s="627">
        <f>BM36</f>
        <v>0</v>
      </c>
      <c r="BO36" s="628">
        <v>0</v>
      </c>
      <c r="BP36" s="628">
        <v>0</v>
      </c>
      <c r="BQ36" s="574">
        <f t="shared" si="38"/>
        <v>0</v>
      </c>
      <c r="BR36" s="575">
        <f t="shared" si="39"/>
        <v>0</v>
      </c>
      <c r="BS36" s="580">
        <f t="shared" si="40"/>
        <v>0</v>
      </c>
      <c r="BT36" s="574"/>
      <c r="BU36" s="575"/>
      <c r="BV36" s="580"/>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81" t="s">
        <v>61</v>
      </c>
      <c r="AM37" s="582">
        <f>M77/1000</f>
        <v>0</v>
      </c>
      <c r="AN37" s="575">
        <f t="shared" si="47"/>
        <v>0</v>
      </c>
      <c r="AO37" s="576">
        <f t="shared" ref="AO37" si="58">AM37*$AO$23</f>
        <v>0</v>
      </c>
      <c r="AP37" s="576">
        <f t="shared" si="49"/>
        <v>0</v>
      </c>
      <c r="AQ37" s="596">
        <f t="shared" si="28"/>
        <v>0</v>
      </c>
      <c r="AR37" s="576">
        <f t="shared" si="29"/>
        <v>0</v>
      </c>
      <c r="AS37" s="577">
        <f t="shared" si="30"/>
        <v>0</v>
      </c>
      <c r="AT37" s="582">
        <f t="shared" ref="AT37:AV41" si="59">IFERROR(AQ37/W37,0)</f>
        <v>0</v>
      </c>
      <c r="AU37" s="583">
        <f t="shared" si="59"/>
        <v>0</v>
      </c>
      <c r="AV37" s="584">
        <f t="shared" si="59"/>
        <v>0</v>
      </c>
      <c r="AW37" s="285"/>
      <c r="AX37" s="352"/>
      <c r="AY37" s="581" t="s">
        <v>61</v>
      </c>
      <c r="AZ37" s="582">
        <f>M97/1000</f>
        <v>0</v>
      </c>
      <c r="BA37" s="575">
        <f>AZ37*$AN$23</f>
        <v>0</v>
      </c>
      <c r="BB37" s="576">
        <f t="shared" ref="BB37:BB62" si="60">AZ37*$BB$23</f>
        <v>0</v>
      </c>
      <c r="BC37" s="576">
        <f t="shared" ref="BC37:BC62" si="61">AZ37*$BC$23</f>
        <v>0</v>
      </c>
      <c r="BD37" s="582">
        <f t="shared" si="33"/>
        <v>0</v>
      </c>
      <c r="BE37" s="583">
        <f t="shared" si="34"/>
        <v>0</v>
      </c>
      <c r="BF37" s="584">
        <f>IFERROR(L37*$Z37*AA37/L$21,0)</f>
        <v>0</v>
      </c>
      <c r="BG37" s="582">
        <f t="shared" ref="BG37:BG56" si="62">IFERROR(BD37/W37,0)</f>
        <v>0</v>
      </c>
      <c r="BH37" s="583">
        <f t="shared" ref="BH37:BH56" si="63">IFERROR(BE37/X37,0)</f>
        <v>0</v>
      </c>
      <c r="BI37" s="584">
        <f t="shared" ref="BI37:BI56" si="64">IFERROR(BF37/Y37,0)</f>
        <v>0</v>
      </c>
      <c r="BJ37" s="285"/>
      <c r="BK37" s="352"/>
      <c r="BL37" s="581" t="s">
        <v>61</v>
      </c>
      <c r="BM37" s="582">
        <f>M117/1000</f>
        <v>0</v>
      </c>
      <c r="BN37" s="575">
        <f>BM37*$AN$23</f>
        <v>0</v>
      </c>
      <c r="BO37" s="576">
        <f t="shared" si="53"/>
        <v>0</v>
      </c>
      <c r="BP37" s="576">
        <f t="shared" si="54"/>
        <v>0</v>
      </c>
      <c r="BQ37" s="582">
        <f t="shared" si="38"/>
        <v>0</v>
      </c>
      <c r="BR37" s="583">
        <f t="shared" si="39"/>
        <v>0</v>
      </c>
      <c r="BS37" s="584">
        <f t="shared" si="40"/>
        <v>0</v>
      </c>
      <c r="BT37" s="582">
        <f t="shared" ref="BT37:BT56" si="65">IFERROR(BQ37/W37,0)</f>
        <v>0</v>
      </c>
      <c r="BU37" s="583">
        <f t="shared" ref="BU37:BU56" si="66">IFERROR(BR37/X37,0)</f>
        <v>0</v>
      </c>
      <c r="BV37" s="584">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44" t="str">
        <f ca="1">F38</f>
        <v>INDCO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W38" s="285"/>
      <c r="AX38" s="544" t="str">
        <f t="shared" ca="1" si="12"/>
        <v>INDCO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J38" s="285"/>
      <c r="BK38" s="544" t="str">
        <f ca="1">AK38</f>
        <v>INDCO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W39" s="285"/>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J39" s="285"/>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W40" s="285"/>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J40" s="285"/>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W41" s="285"/>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J41" s="285"/>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85"/>
      <c r="AK42" s="290"/>
      <c r="AL42" s="573" t="s">
        <v>107</v>
      </c>
      <c r="AM42" s="574"/>
      <c r="AN42" s="576"/>
      <c r="AO42" s="576"/>
      <c r="AP42" s="576"/>
      <c r="AQ42" s="596">
        <f t="shared" si="28"/>
        <v>0</v>
      </c>
      <c r="AR42" s="576">
        <f t="shared" si="29"/>
        <v>0</v>
      </c>
      <c r="AS42" s="577">
        <f t="shared" si="30"/>
        <v>0</v>
      </c>
      <c r="AT42" s="574"/>
      <c r="AU42" s="575"/>
      <c r="AV42" s="580"/>
      <c r="AW42" s="285"/>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J42" s="285"/>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W43" s="285"/>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J43" s="285"/>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W44" s="285"/>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J44" s="285"/>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W45" s="285"/>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J45" s="285"/>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81" t="s">
        <v>61</v>
      </c>
      <c r="AM46" s="582">
        <f>M78/1000</f>
        <v>0</v>
      </c>
      <c r="AN46" s="590">
        <f t="shared" si="73"/>
        <v>0</v>
      </c>
      <c r="AO46" s="590">
        <f>AM46*(1-$AN$23)</f>
        <v>0</v>
      </c>
      <c r="AP46" s="590"/>
      <c r="AQ46" s="600">
        <f t="shared" si="28"/>
        <v>0</v>
      </c>
      <c r="AR46" s="590">
        <f t="shared" si="29"/>
        <v>0</v>
      </c>
      <c r="AS46" s="591">
        <f t="shared" si="30"/>
        <v>0</v>
      </c>
      <c r="AT46" s="582">
        <f t="shared" si="74"/>
        <v>0</v>
      </c>
      <c r="AU46" s="583">
        <f t="shared" si="74"/>
        <v>0</v>
      </c>
      <c r="AV46" s="584">
        <f t="shared" si="74"/>
        <v>0</v>
      </c>
      <c r="AW46" s="285"/>
      <c r="AX46" s="355"/>
      <c r="AY46" s="581" t="s">
        <v>61</v>
      </c>
      <c r="AZ46" s="582">
        <f>M98/1000</f>
        <v>0</v>
      </c>
      <c r="BA46" s="590">
        <f t="shared" si="75"/>
        <v>0</v>
      </c>
      <c r="BB46" s="590">
        <f t="shared" si="60"/>
        <v>0</v>
      </c>
      <c r="BC46" s="590">
        <f t="shared" si="61"/>
        <v>0</v>
      </c>
      <c r="BD46" s="582">
        <f t="shared" si="33"/>
        <v>0</v>
      </c>
      <c r="BE46" s="583">
        <f t="shared" si="34"/>
        <v>0</v>
      </c>
      <c r="BF46" s="584">
        <f t="shared" si="35"/>
        <v>0</v>
      </c>
      <c r="BG46" s="582">
        <f t="shared" si="62"/>
        <v>0</v>
      </c>
      <c r="BH46" s="583">
        <f t="shared" si="63"/>
        <v>0</v>
      </c>
      <c r="BI46" s="584">
        <f t="shared" si="64"/>
        <v>0</v>
      </c>
      <c r="BJ46" s="285"/>
      <c r="BK46" s="355"/>
      <c r="BL46" s="581" t="s">
        <v>61</v>
      </c>
      <c r="BM46" s="582">
        <f>M118/1000</f>
        <v>0</v>
      </c>
      <c r="BN46" s="590">
        <f t="shared" si="76"/>
        <v>0</v>
      </c>
      <c r="BO46" s="590">
        <f t="shared" si="53"/>
        <v>0</v>
      </c>
      <c r="BP46" s="590">
        <f t="shared" si="54"/>
        <v>0</v>
      </c>
      <c r="BQ46" s="582">
        <f t="shared" si="38"/>
        <v>0</v>
      </c>
      <c r="BR46" s="583">
        <f t="shared" si="39"/>
        <v>0</v>
      </c>
      <c r="BS46" s="584">
        <f t="shared" si="40"/>
        <v>0</v>
      </c>
      <c r="BT46" s="582">
        <f t="shared" si="65"/>
        <v>0</v>
      </c>
      <c r="BU46" s="583">
        <f t="shared" si="66"/>
        <v>0</v>
      </c>
      <c r="BV46" s="584">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44" t="str">
        <f ca="1">F47</f>
        <v>INDSH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W47" s="285"/>
      <c r="AX47" s="544" t="str">
        <f t="shared" ca="1" si="12"/>
        <v>INDSH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J47" s="285"/>
      <c r="BK47" s="544" t="str">
        <f ca="1">AK47</f>
        <v>INDSH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W48" s="285"/>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J48" s="285"/>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W49" s="285"/>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J49" s="285"/>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W50" s="285"/>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J50" s="285"/>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85"/>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W51" s="285"/>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J51" s="285"/>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85"/>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W52" s="285"/>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J52" s="285"/>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W53" s="285"/>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J53" s="285"/>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W54" s="285"/>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J54" s="285"/>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W55" s="285"/>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J55" s="285"/>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0</v>
      </c>
      <c r="N56" s="321">
        <f t="shared" si="25"/>
        <v>0</v>
      </c>
      <c r="O56" s="321">
        <f t="shared" si="26"/>
        <v>0</v>
      </c>
      <c r="P56" s="321">
        <f t="shared" si="1"/>
        <v>0</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0</v>
      </c>
      <c r="AH56" s="236">
        <f t="shared" si="83"/>
        <v>0</v>
      </c>
      <c r="AI56" s="236">
        <f t="shared" si="84"/>
        <v>0</v>
      </c>
      <c r="AJ56" s="285"/>
      <c r="AK56" s="356"/>
      <c r="AL56" s="573" t="s">
        <v>103</v>
      </c>
      <c r="AM56" s="574">
        <f>N82/1000</f>
        <v>0</v>
      </c>
      <c r="AN56" s="627">
        <f>AM56</f>
        <v>0</v>
      </c>
      <c r="AO56" s="628">
        <v>0</v>
      </c>
      <c r="AP56" s="628">
        <v>0</v>
      </c>
      <c r="AQ56" s="596">
        <f t="shared" si="28"/>
        <v>0</v>
      </c>
      <c r="AR56" s="576">
        <f t="shared" si="29"/>
        <v>0</v>
      </c>
      <c r="AS56" s="577">
        <f t="shared" si="30"/>
        <v>0</v>
      </c>
      <c r="AT56" s="574">
        <f t="shared" si="85"/>
        <v>0</v>
      </c>
      <c r="AU56" s="575">
        <f t="shared" si="85"/>
        <v>0</v>
      </c>
      <c r="AV56" s="580">
        <f t="shared" si="85"/>
        <v>0</v>
      </c>
      <c r="AW56" s="285"/>
      <c r="AX56" s="356"/>
      <c r="AY56" s="573" t="s">
        <v>103</v>
      </c>
      <c r="AZ56" s="574">
        <f>N102/1000</f>
        <v>0</v>
      </c>
      <c r="BA56" s="627">
        <f>AZ56</f>
        <v>0</v>
      </c>
      <c r="BB56" s="628">
        <v>0</v>
      </c>
      <c r="BC56" s="628">
        <v>0</v>
      </c>
      <c r="BD56" s="574">
        <f t="shared" si="33"/>
        <v>0</v>
      </c>
      <c r="BE56" s="575">
        <f t="shared" si="34"/>
        <v>0</v>
      </c>
      <c r="BF56" s="580">
        <f t="shared" si="35"/>
        <v>0</v>
      </c>
      <c r="BG56" s="574">
        <f t="shared" si="62"/>
        <v>0</v>
      </c>
      <c r="BH56" s="575">
        <f t="shared" si="63"/>
        <v>0</v>
      </c>
      <c r="BI56" s="580">
        <f t="shared" si="64"/>
        <v>0</v>
      </c>
      <c r="BJ56" s="285"/>
      <c r="BK56" s="356"/>
      <c r="BL56" s="573" t="s">
        <v>103</v>
      </c>
      <c r="BM56" s="574">
        <f>N122/1000</f>
        <v>0</v>
      </c>
      <c r="BN56" s="627">
        <f>BM56</f>
        <v>0</v>
      </c>
      <c r="BO56" s="628">
        <v>0</v>
      </c>
      <c r="BP56" s="628">
        <v>0</v>
      </c>
      <c r="BQ56" s="574">
        <f t="shared" si="38"/>
        <v>0</v>
      </c>
      <c r="BR56" s="575">
        <f t="shared" si="39"/>
        <v>0</v>
      </c>
      <c r="BS56" s="580">
        <f t="shared" si="40"/>
        <v>0</v>
      </c>
      <c r="BT56" s="574">
        <f t="shared" si="65"/>
        <v>0</v>
      </c>
      <c r="BU56" s="575">
        <f t="shared" si="66"/>
        <v>0</v>
      </c>
      <c r="BV56" s="580">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73" t="s">
        <v>104</v>
      </c>
      <c r="AM57" s="574"/>
      <c r="AN57" s="627">
        <f>AM57</f>
        <v>0</v>
      </c>
      <c r="AO57" s="628">
        <v>0</v>
      </c>
      <c r="AP57" s="628">
        <v>0</v>
      </c>
      <c r="AQ57" s="596">
        <f t="shared" si="28"/>
        <v>0</v>
      </c>
      <c r="AR57" s="576">
        <f t="shared" si="29"/>
        <v>0</v>
      </c>
      <c r="AS57" s="577">
        <f t="shared" si="30"/>
        <v>0</v>
      </c>
      <c r="AT57" s="574"/>
      <c r="AU57" s="575"/>
      <c r="AV57" s="580"/>
      <c r="AW57" s="285"/>
      <c r="AX57" s="356"/>
      <c r="AY57" s="573" t="s">
        <v>104</v>
      </c>
      <c r="AZ57" s="574"/>
      <c r="BA57" s="627">
        <f>AZ57</f>
        <v>0</v>
      </c>
      <c r="BB57" s="628">
        <v>0</v>
      </c>
      <c r="BC57" s="628">
        <v>0</v>
      </c>
      <c r="BD57" s="574">
        <f t="shared" si="33"/>
        <v>0</v>
      </c>
      <c r="BE57" s="575">
        <f t="shared" si="34"/>
        <v>0</v>
      </c>
      <c r="BF57" s="580">
        <f t="shared" si="35"/>
        <v>0</v>
      </c>
      <c r="BG57" s="574"/>
      <c r="BH57" s="575"/>
      <c r="BI57" s="580"/>
      <c r="BJ57" s="285"/>
      <c r="BK57" s="356"/>
      <c r="BL57" s="573" t="s">
        <v>104</v>
      </c>
      <c r="BM57" s="574"/>
      <c r="BN57" s="627">
        <f>BM57</f>
        <v>0</v>
      </c>
      <c r="BO57" s="628">
        <v>0</v>
      </c>
      <c r="BP57" s="628">
        <v>0</v>
      </c>
      <c r="BQ57" s="574">
        <f t="shared" si="38"/>
        <v>0</v>
      </c>
      <c r="BR57" s="575">
        <f t="shared" si="39"/>
        <v>0</v>
      </c>
      <c r="BS57" s="580">
        <f t="shared" si="40"/>
        <v>0</v>
      </c>
      <c r="BT57" s="574"/>
      <c r="BU57" s="575"/>
      <c r="BV57" s="580"/>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37.997</v>
      </c>
      <c r="N58" s="324">
        <f t="shared" si="25"/>
        <v>2.1109999999999998</v>
      </c>
      <c r="O58" s="324">
        <f t="shared" si="26"/>
        <v>2.1109999999999998</v>
      </c>
      <c r="P58" s="324">
        <f t="shared" si="1"/>
        <v>37.997</v>
      </c>
      <c r="Q58" s="324">
        <f t="shared" si="2"/>
        <v>2.1109999999999998</v>
      </c>
      <c r="R58" s="324">
        <f t="shared" si="3"/>
        <v>2.1109999999999998</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0.65911719020323101</v>
      </c>
      <c r="AJ58" s="285"/>
      <c r="AK58" s="355"/>
      <c r="AL58" s="581" t="s">
        <v>61</v>
      </c>
      <c r="AM58" s="574">
        <f>M82/1000</f>
        <v>0.57240000000000002</v>
      </c>
      <c r="AN58" s="575">
        <f t="shared" si="77"/>
        <v>0.51516000000000006</v>
      </c>
      <c r="AO58" s="576">
        <f t="shared" si="78"/>
        <v>2.8620000000000003E-2</v>
      </c>
      <c r="AP58" s="576">
        <f t="shared" si="79"/>
        <v>2.8620000000000003E-2</v>
      </c>
      <c r="AQ58" s="596">
        <f t="shared" si="28"/>
        <v>0.48940658541458554</v>
      </c>
      <c r="AR58" s="576">
        <f t="shared" si="29"/>
        <v>2.7204131868131868E-2</v>
      </c>
      <c r="AS58" s="577">
        <f t="shared" si="30"/>
        <v>2.7204131868131868E-2</v>
      </c>
      <c r="AT58" s="574">
        <f t="shared" ref="AT58:AV62" si="87">IFERROR(AQ58/W58,0)</f>
        <v>0.51516482675219533</v>
      </c>
      <c r="AU58" s="575">
        <f t="shared" si="87"/>
        <v>2.8635928282244073E-2</v>
      </c>
      <c r="AV58" s="580">
        <f t="shared" si="87"/>
        <v>2.8635928282244073E-2</v>
      </c>
      <c r="AW58" s="285"/>
      <c r="AX58" s="355"/>
      <c r="AY58" s="581" t="s">
        <v>61</v>
      </c>
      <c r="AZ58" s="574">
        <f>M102/1000</f>
        <v>0.56808000000000003</v>
      </c>
      <c r="BA58" s="575">
        <f>AZ58*$AN$23</f>
        <v>0.51127200000000006</v>
      </c>
      <c r="BB58" s="576">
        <f t="shared" si="60"/>
        <v>2.8404000000000002E-2</v>
      </c>
      <c r="BC58" s="576">
        <f t="shared" si="61"/>
        <v>2.8404000000000002E-2</v>
      </c>
      <c r="BD58" s="574">
        <f t="shared" si="33"/>
        <v>0.48571684752475253</v>
      </c>
      <c r="BE58" s="575">
        <f t="shared" si="34"/>
        <v>2.6992942574257425E-2</v>
      </c>
      <c r="BF58" s="580">
        <f t="shared" si="35"/>
        <v>2.6992942574257425E-2</v>
      </c>
      <c r="BG58" s="574">
        <f t="shared" ref="BG58:BI62" si="88">IFERROR(BD58/W58,0)</f>
        <v>0.51128089213131844</v>
      </c>
      <c r="BH58" s="575">
        <f t="shared" si="88"/>
        <v>2.8413623762376237E-2</v>
      </c>
      <c r="BI58" s="580">
        <f t="shared" si="88"/>
        <v>2.8413623762376237E-2</v>
      </c>
      <c r="BJ58" s="285"/>
      <c r="BK58" s="355"/>
      <c r="BL58" s="581" t="s">
        <v>61</v>
      </c>
      <c r="BM58" s="574">
        <f>M122/1000</f>
        <v>0.69379200000000008</v>
      </c>
      <c r="BN58" s="575">
        <f>BM58*$AN$23</f>
        <v>0.6244128000000001</v>
      </c>
      <c r="BO58" s="576">
        <f t="shared" si="53"/>
        <v>3.4689600000000008E-2</v>
      </c>
      <c r="BP58" s="576">
        <f t="shared" si="54"/>
        <v>3.4689600000000008E-2</v>
      </c>
      <c r="BQ58" s="574">
        <f t="shared" si="38"/>
        <v>0.59320464950495055</v>
      </c>
      <c r="BR58" s="575">
        <f t="shared" si="39"/>
        <v>3.2956681188118807E-2</v>
      </c>
      <c r="BS58" s="580">
        <f t="shared" si="40"/>
        <v>3.2956681188118807E-2</v>
      </c>
      <c r="BT58" s="574">
        <f t="shared" ref="BT58:BV62" si="89">IFERROR(BQ58/W58,0)</f>
        <v>0.62442594684731645</v>
      </c>
      <c r="BU58" s="575">
        <f t="shared" si="89"/>
        <v>3.4691243355914538E-2</v>
      </c>
      <c r="BV58" s="580">
        <f t="shared" si="89"/>
        <v>3.4691243355914538E-2</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169.983</v>
      </c>
      <c r="N59" s="323">
        <f t="shared" si="25"/>
        <v>9.4439999999999991</v>
      </c>
      <c r="O59" s="323">
        <f t="shared" si="26"/>
        <v>9.4439999999999991</v>
      </c>
      <c r="P59" s="323">
        <f t="shared" si="1"/>
        <v>169.983</v>
      </c>
      <c r="Q59" s="323">
        <f t="shared" si="2"/>
        <v>9.4439999999999991</v>
      </c>
      <c r="R59" s="323">
        <f t="shared" si="3"/>
        <v>9.4439999999999991</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2.8011930059405943</v>
      </c>
      <c r="AJ59" s="285"/>
      <c r="AK59" s="545" t="str">
        <f ca="1">F59</f>
        <v>INDLA</v>
      </c>
      <c r="AL59" s="592" t="s">
        <v>61</v>
      </c>
      <c r="AM59" s="593">
        <f>M80/1000</f>
        <v>2.4327000000000001</v>
      </c>
      <c r="AN59" s="594">
        <f t="shared" si="77"/>
        <v>2.1894300000000002</v>
      </c>
      <c r="AO59" s="597">
        <f t="shared" si="78"/>
        <v>0.12163500000000001</v>
      </c>
      <c r="AP59" s="597">
        <f t="shared" si="79"/>
        <v>0.12163500000000001</v>
      </c>
      <c r="AQ59" s="598">
        <f t="shared" si="28"/>
        <v>2.1894364195804203</v>
      </c>
      <c r="AR59" s="597">
        <f t="shared" si="29"/>
        <v>0.12163885714285716</v>
      </c>
      <c r="AS59" s="599">
        <f t="shared" si="30"/>
        <v>0.12163885714285716</v>
      </c>
      <c r="AT59" s="593">
        <f t="shared" si="87"/>
        <v>2.1894364195804203</v>
      </c>
      <c r="AU59" s="594">
        <f t="shared" si="87"/>
        <v>0.12163885714285716</v>
      </c>
      <c r="AV59" s="595">
        <f t="shared" si="87"/>
        <v>0.12163885714285716</v>
      </c>
      <c r="AW59" s="285"/>
      <c r="AX59" s="545" t="str">
        <f t="shared" ca="1" si="12"/>
        <v>INDLA</v>
      </c>
      <c r="AY59" s="592" t="s">
        <v>61</v>
      </c>
      <c r="AZ59" s="593">
        <f>M100/1000</f>
        <v>2.4143400000000002</v>
      </c>
      <c r="BA59" s="594">
        <f>AZ59*$AN$23</f>
        <v>2.1729060000000002</v>
      </c>
      <c r="BB59" s="597">
        <f t="shared" si="60"/>
        <v>0.12071700000000002</v>
      </c>
      <c r="BC59" s="597">
        <f t="shared" si="61"/>
        <v>0.12071700000000002</v>
      </c>
      <c r="BD59" s="593">
        <f t="shared" si="33"/>
        <v>2.1729084594059405</v>
      </c>
      <c r="BE59" s="594">
        <f t="shared" si="34"/>
        <v>0.12072667722772279</v>
      </c>
      <c r="BF59" s="595">
        <f t="shared" si="35"/>
        <v>0.12072667722772279</v>
      </c>
      <c r="BG59" s="593">
        <f t="shared" si="88"/>
        <v>2.1729084594059405</v>
      </c>
      <c r="BH59" s="594">
        <f t="shared" si="88"/>
        <v>0.12072667722772279</v>
      </c>
      <c r="BI59" s="595">
        <f t="shared" si="88"/>
        <v>0.12072667722772279</v>
      </c>
      <c r="BJ59" s="285"/>
      <c r="BK59" s="545" t="str">
        <f ca="1">AK59</f>
        <v>INDLA</v>
      </c>
      <c r="BL59" s="592" t="s">
        <v>61</v>
      </c>
      <c r="BM59" s="593">
        <f>M120/1000</f>
        <v>2.9486159999999999</v>
      </c>
      <c r="BN59" s="594">
        <f>BM59*$AN$23</f>
        <v>2.6537544</v>
      </c>
      <c r="BO59" s="597">
        <f t="shared" si="53"/>
        <v>0.1474308</v>
      </c>
      <c r="BP59" s="597">
        <f t="shared" si="54"/>
        <v>0.1474308</v>
      </c>
      <c r="BQ59" s="593">
        <f t="shared" si="38"/>
        <v>2.6537544000000004</v>
      </c>
      <c r="BR59" s="594">
        <f t="shared" si="39"/>
        <v>0.14743860594059405</v>
      </c>
      <c r="BS59" s="595">
        <f t="shared" si="40"/>
        <v>0.14743860594059405</v>
      </c>
      <c r="BT59" s="593">
        <f t="shared" si="89"/>
        <v>2.6537544000000004</v>
      </c>
      <c r="BU59" s="594">
        <f t="shared" si="89"/>
        <v>0.14743860594059405</v>
      </c>
      <c r="BV59" s="595">
        <f t="shared" si="89"/>
        <v>0.14743860594059405</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789.92100000000005</v>
      </c>
      <c r="N60" s="324">
        <f t="shared" si="25"/>
        <v>43.884999999999998</v>
      </c>
      <c r="O60" s="324">
        <f t="shared" si="26"/>
        <v>43.884999999999998</v>
      </c>
      <c r="P60" s="324">
        <f t="shared" si="1"/>
        <v>789.92100000000005</v>
      </c>
      <c r="Q60" s="324">
        <f t="shared" si="2"/>
        <v>43.884999999999998</v>
      </c>
      <c r="R60" s="324">
        <f t="shared" si="3"/>
        <v>43.884999999999998</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13.017280205940596</v>
      </c>
      <c r="AJ60" s="285"/>
      <c r="AK60" s="550" t="str">
        <f ca="1">F60</f>
        <v>INDEM</v>
      </c>
      <c r="AL60" s="592" t="s">
        <v>61</v>
      </c>
      <c r="AM60" s="593">
        <f>M81/1000</f>
        <v>11.3049</v>
      </c>
      <c r="AN60" s="594">
        <f t="shared" si="77"/>
        <v>10.17441</v>
      </c>
      <c r="AO60" s="597">
        <f t="shared" si="78"/>
        <v>0.565245</v>
      </c>
      <c r="AP60" s="597">
        <f t="shared" si="79"/>
        <v>0.565245</v>
      </c>
      <c r="AQ60" s="598">
        <f t="shared" si="28"/>
        <v>10.174424079920081</v>
      </c>
      <c r="AR60" s="597">
        <f t="shared" si="29"/>
        <v>0.56525365834165842</v>
      </c>
      <c r="AS60" s="599">
        <f t="shared" si="30"/>
        <v>0.56525365834165842</v>
      </c>
      <c r="AT60" s="593">
        <f t="shared" si="87"/>
        <v>10.174424079920081</v>
      </c>
      <c r="AU60" s="594">
        <f t="shared" si="87"/>
        <v>0.56525365834165842</v>
      </c>
      <c r="AV60" s="595">
        <f t="shared" si="87"/>
        <v>0.56525365834165842</v>
      </c>
      <c r="AW60" s="285"/>
      <c r="AX60" s="550" t="str">
        <f t="shared" ca="1" si="12"/>
        <v>INDEM</v>
      </c>
      <c r="AY60" s="592" t="s">
        <v>61</v>
      </c>
      <c r="AZ60" s="593">
        <f>M101/1000</f>
        <v>11.219580000000001</v>
      </c>
      <c r="BA60" s="594">
        <f>AZ60*$AN$23</f>
        <v>10.097622000000001</v>
      </c>
      <c r="BB60" s="597">
        <f t="shared" si="60"/>
        <v>0.56097900000000001</v>
      </c>
      <c r="BC60" s="597">
        <f t="shared" si="61"/>
        <v>0.56097900000000001</v>
      </c>
      <c r="BD60" s="593">
        <f t="shared" si="33"/>
        <v>10.097624245544555</v>
      </c>
      <c r="BE60" s="594">
        <f t="shared" si="34"/>
        <v>0.56098172673267321</v>
      </c>
      <c r="BF60" s="595">
        <f t="shared" si="35"/>
        <v>0.56098172673267321</v>
      </c>
      <c r="BG60" s="593">
        <f t="shared" si="88"/>
        <v>10.097624245544555</v>
      </c>
      <c r="BH60" s="594">
        <f t="shared" si="88"/>
        <v>0.56098172673267321</v>
      </c>
      <c r="BI60" s="595">
        <f t="shared" si="88"/>
        <v>0.56098172673267321</v>
      </c>
      <c r="BJ60" s="285"/>
      <c r="BK60" s="550" t="str">
        <f ca="1">AK60</f>
        <v>INDEM</v>
      </c>
      <c r="BL60" s="592" t="s">
        <v>61</v>
      </c>
      <c r="BM60" s="593">
        <f>M121/1000</f>
        <v>13.702392</v>
      </c>
      <c r="BN60" s="594">
        <f>BM60*$AN$23</f>
        <v>12.332152799999999</v>
      </c>
      <c r="BO60" s="597">
        <f t="shared" si="53"/>
        <v>0.68511960000000005</v>
      </c>
      <c r="BP60" s="597">
        <f t="shared" si="54"/>
        <v>0.68511960000000005</v>
      </c>
      <c r="BQ60" s="593">
        <f t="shared" si="38"/>
        <v>12.332152800000001</v>
      </c>
      <c r="BR60" s="594">
        <f t="shared" si="39"/>
        <v>0.68512740594059396</v>
      </c>
      <c r="BS60" s="595">
        <f t="shared" si="40"/>
        <v>0.68512740594059396</v>
      </c>
      <c r="BT60" s="593">
        <f t="shared" si="89"/>
        <v>12.332152800000001</v>
      </c>
      <c r="BU60" s="594">
        <f t="shared" si="89"/>
        <v>0.68512740594059396</v>
      </c>
      <c r="BV60" s="595">
        <f t="shared" si="89"/>
        <v>0.68512740594059396</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50" t="str">
        <f ca="1">F61</f>
        <v>INDTF</v>
      </c>
      <c r="AL61" s="592" t="s">
        <v>59</v>
      </c>
      <c r="AM61" s="593">
        <f>SUM(D79:G79)/1000</f>
        <v>0</v>
      </c>
      <c r="AN61" s="594">
        <f>AM61*$AN$23</f>
        <v>0</v>
      </c>
      <c r="AO61" s="597">
        <f t="shared" si="78"/>
        <v>0</v>
      </c>
      <c r="AP61" s="597">
        <f t="shared" si="79"/>
        <v>0</v>
      </c>
      <c r="AQ61" s="598">
        <f t="shared" si="28"/>
        <v>0</v>
      </c>
      <c r="AR61" s="597">
        <f t="shared" si="29"/>
        <v>0</v>
      </c>
      <c r="AS61" s="599">
        <f t="shared" si="30"/>
        <v>0</v>
      </c>
      <c r="AT61" s="593">
        <f t="shared" si="87"/>
        <v>0</v>
      </c>
      <c r="AU61" s="594">
        <f t="shared" si="87"/>
        <v>0</v>
      </c>
      <c r="AV61" s="595">
        <f t="shared" si="87"/>
        <v>0</v>
      </c>
      <c r="AW61" s="285"/>
      <c r="AX61" s="550" t="str">
        <f t="shared" ca="1" si="12"/>
        <v>INDTF</v>
      </c>
      <c r="AY61" s="592" t="s">
        <v>59</v>
      </c>
      <c r="AZ61" s="593">
        <f>SUM(D99:G99)/1000</f>
        <v>0</v>
      </c>
      <c r="BA61" s="594">
        <f>AZ61*$AN$23</f>
        <v>0</v>
      </c>
      <c r="BB61" s="597">
        <f t="shared" si="60"/>
        <v>0</v>
      </c>
      <c r="BC61" s="597">
        <f t="shared" si="61"/>
        <v>0</v>
      </c>
      <c r="BD61" s="593">
        <f t="shared" si="33"/>
        <v>0</v>
      </c>
      <c r="BE61" s="594">
        <f t="shared" si="34"/>
        <v>0</v>
      </c>
      <c r="BF61" s="595">
        <f t="shared" si="35"/>
        <v>0</v>
      </c>
      <c r="BG61" s="593">
        <f t="shared" si="88"/>
        <v>0</v>
      </c>
      <c r="BH61" s="594">
        <f t="shared" si="88"/>
        <v>0</v>
      </c>
      <c r="BI61" s="595">
        <f t="shared" si="88"/>
        <v>0</v>
      </c>
      <c r="BJ61" s="285"/>
      <c r="BK61" s="550" t="str">
        <f ca="1">AK61</f>
        <v>INDTF</v>
      </c>
      <c r="BL61" s="592" t="s">
        <v>59</v>
      </c>
      <c r="BM61" s="593">
        <f>SUM(D119:G119)/1000</f>
        <v>56.315992999999999</v>
      </c>
      <c r="BN61" s="594">
        <f>BM61*$AN$23</f>
        <v>50.684393700000001</v>
      </c>
      <c r="BO61" s="597">
        <f t="shared" si="53"/>
        <v>2.8157996500000002</v>
      </c>
      <c r="BP61" s="597">
        <f t="shared" si="54"/>
        <v>2.8157996500000002</v>
      </c>
      <c r="BQ61" s="593">
        <f t="shared" si="38"/>
        <v>50.684393798019805</v>
      </c>
      <c r="BR61" s="594">
        <f t="shared" si="39"/>
        <v>2.8158057267326733</v>
      </c>
      <c r="BS61" s="595">
        <f t="shared" si="40"/>
        <v>2.8158057267326733</v>
      </c>
      <c r="BT61" s="593">
        <f t="shared" si="89"/>
        <v>50.684393798019805</v>
      </c>
      <c r="BU61" s="594">
        <f t="shared" si="89"/>
        <v>2.8158057267326733</v>
      </c>
      <c r="BV61" s="595">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50" t="str">
        <f ca="1">F62</f>
        <v>INDFL</v>
      </c>
      <c r="AL62" s="546" t="s">
        <v>53</v>
      </c>
      <c r="AM62" s="547">
        <f>H79/1000</f>
        <v>0</v>
      </c>
      <c r="AN62" s="548">
        <f t="shared" si="77"/>
        <v>0</v>
      </c>
      <c r="AO62" s="549">
        <f t="shared" si="78"/>
        <v>0</v>
      </c>
      <c r="AP62" s="549">
        <f t="shared" si="79"/>
        <v>0</v>
      </c>
      <c r="AQ62" s="559">
        <f t="shared" si="28"/>
        <v>0</v>
      </c>
      <c r="AR62" s="549">
        <f t="shared" si="29"/>
        <v>0</v>
      </c>
      <c r="AS62" s="555">
        <f t="shared" si="30"/>
        <v>0</v>
      </c>
      <c r="AT62" s="560">
        <f t="shared" si="87"/>
        <v>0</v>
      </c>
      <c r="AU62" s="551">
        <f t="shared" si="87"/>
        <v>0</v>
      </c>
      <c r="AV62" s="552">
        <f t="shared" si="87"/>
        <v>0</v>
      </c>
      <c r="AW62" s="285"/>
      <c r="AX62" s="550" t="str">
        <f t="shared" ca="1" si="12"/>
        <v>INDFL</v>
      </c>
      <c r="AY62" s="546" t="s">
        <v>53</v>
      </c>
      <c r="AZ62" s="547">
        <f>H99/1000</f>
        <v>0</v>
      </c>
      <c r="BA62" s="548">
        <f>AZ62*$AN$23</f>
        <v>0</v>
      </c>
      <c r="BB62" s="549">
        <f t="shared" si="60"/>
        <v>0</v>
      </c>
      <c r="BC62" s="549">
        <f t="shared" si="61"/>
        <v>0</v>
      </c>
      <c r="BD62" s="560">
        <f t="shared" si="33"/>
        <v>0</v>
      </c>
      <c r="BE62" s="551">
        <f t="shared" si="34"/>
        <v>0</v>
      </c>
      <c r="BF62" s="552">
        <f t="shared" si="35"/>
        <v>0</v>
      </c>
      <c r="BG62" s="560">
        <f t="shared" si="88"/>
        <v>0</v>
      </c>
      <c r="BH62" s="551">
        <f t="shared" si="88"/>
        <v>0</v>
      </c>
      <c r="BI62" s="552">
        <f t="shared" si="88"/>
        <v>0</v>
      </c>
      <c r="BJ62" s="285"/>
      <c r="BK62" s="550" t="str">
        <f ca="1">AK62</f>
        <v>INDFL</v>
      </c>
      <c r="BL62" s="546" t="s">
        <v>53</v>
      </c>
      <c r="BM62" s="547">
        <f>H119/1000</f>
        <v>0</v>
      </c>
      <c r="BN62" s="548">
        <f>BM62*$AN$23</f>
        <v>0</v>
      </c>
      <c r="BO62" s="549">
        <f t="shared" si="53"/>
        <v>0</v>
      </c>
      <c r="BP62" s="549">
        <f t="shared" si="54"/>
        <v>0</v>
      </c>
      <c r="BQ62" s="560">
        <f t="shared" si="38"/>
        <v>0</v>
      </c>
      <c r="BR62" s="551">
        <f t="shared" si="39"/>
        <v>0</v>
      </c>
      <c r="BS62" s="552">
        <f t="shared" si="40"/>
        <v>0</v>
      </c>
      <c r="BT62" s="560">
        <f t="shared" si="89"/>
        <v>0</v>
      </c>
      <c r="BU62" s="551">
        <f t="shared" si="89"/>
        <v>0</v>
      </c>
      <c r="BV62" s="552">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20"/>
      <c r="H64" s="521"/>
      <c r="I64" s="521"/>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22"/>
      <c r="AG66" s="522"/>
      <c r="AH66" s="522"/>
      <c r="AI66" s="522"/>
      <c r="AJ66" s="522"/>
      <c r="AK66" s="522"/>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matrix'!B13</f>
        <v>Biomass</v>
      </c>
      <c r="U85" s="117"/>
      <c r="V85" s="118">
        <f>+INDEX('Energy matrix'!C13:N13,1,$D$2)</f>
        <v>0</v>
      </c>
      <c r="W85" s="117"/>
    </row>
    <row r="86" spans="3:24" ht="12.75" customHeight="1">
      <c r="O86" s="86"/>
      <c r="T86" s="117" t="str">
        <f>+'Energy matrix'!B14</f>
        <v>Waste</v>
      </c>
      <c r="U86" s="117"/>
      <c r="V86" s="118">
        <f>+INDEX('Energy matrix'!C14:N14,1,$D$2)</f>
        <v>0</v>
      </c>
      <c r="W86" s="117"/>
    </row>
    <row r="87" spans="3:24" ht="12.75" customHeight="1">
      <c r="O87" s="86"/>
      <c r="T87" s="117" t="str">
        <f>+'Energy matrix'!B15</f>
        <v>Electricity</v>
      </c>
      <c r="U87" s="117"/>
      <c r="V87" s="118">
        <f>+INDEX('Energy matrix'!C15:N15,1,$D$2)</f>
        <v>14310</v>
      </c>
      <c r="W87" s="117"/>
    </row>
    <row r="88" spans="3:24" ht="12.75" customHeight="1">
      <c r="O88" s="86"/>
      <c r="T88" s="122" t="str">
        <f>+'Energy matrix'!B16</f>
        <v>District Heating</v>
      </c>
      <c r="U88" s="122"/>
      <c r="V88" s="123">
        <f>+INDEX('Energy matrix'!C16:N16,1,$D$2)</f>
        <v>0</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str">
        <f t="array" ref="E93">+IF(AND(UPPER(TRANSPOSE(T98:T108))=UPPER(MID(D96:N96,4,99))),"Ok","ERROR")</f>
        <v>Ok</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f t="shared" si="110"/>
        <v>0</v>
      </c>
      <c r="K97" s="14">
        <f t="shared" si="110"/>
        <v>0</v>
      </c>
      <c r="L97" s="14">
        <f t="shared" si="110"/>
        <v>0</v>
      </c>
      <c r="M97" s="14">
        <f t="shared" si="110"/>
        <v>0</v>
      </c>
      <c r="N97" s="14">
        <f t="shared" si="110"/>
        <v>0</v>
      </c>
      <c r="O97" s="86"/>
      <c r="R97" s="287"/>
      <c r="S97" s="287"/>
      <c r="T97" s="48" t="s">
        <v>209</v>
      </c>
      <c r="U97" s="48"/>
      <c r="V97" s="126" t="str">
        <f>+INDEX('Energy matrix'!C24:N24,1,$D$2)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f t="shared" si="111"/>
        <v>0</v>
      </c>
      <c r="K98" s="14">
        <f t="shared" si="111"/>
        <v>0</v>
      </c>
      <c r="L98" s="14">
        <f t="shared" si="111"/>
        <v>0</v>
      </c>
      <c r="M98" s="14">
        <f t="shared" si="111"/>
        <v>0</v>
      </c>
      <c r="N98" s="14">
        <f t="shared" si="111"/>
        <v>0</v>
      </c>
      <c r="O98" s="86"/>
      <c r="R98" s="287"/>
      <c r="S98" s="287"/>
      <c r="T98" s="117" t="str">
        <f>'Energy matrix'!B25</f>
        <v>Coal</v>
      </c>
      <c r="U98" s="117"/>
      <c r="V98" s="118">
        <f>+INDEX('Energy matrix'!C25:N25,1,$D$2)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f t="shared" si="112"/>
        <v>0</v>
      </c>
      <c r="K99" s="19">
        <f t="shared" si="112"/>
        <v>0</v>
      </c>
      <c r="L99" s="19">
        <f t="shared" si="112"/>
        <v>0</v>
      </c>
      <c r="M99" s="19">
        <f t="shared" si="112"/>
        <v>0</v>
      </c>
      <c r="N99" s="19">
        <f t="shared" si="112"/>
        <v>0</v>
      </c>
      <c r="O99" s="86"/>
      <c r="R99" s="287"/>
      <c r="S99" s="287"/>
      <c r="T99" s="117" t="str">
        <f>'Energy matrix'!B26</f>
        <v>Fuel Oil</v>
      </c>
      <c r="U99" s="117"/>
      <c r="V99" s="118">
        <f>+INDEX('Energy matrix'!C26:N26,1,$D$2)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f t="shared" si="113"/>
        <v>0</v>
      </c>
      <c r="K100" s="14">
        <f t="shared" si="113"/>
        <v>0</v>
      </c>
      <c r="L100" s="14">
        <f t="shared" si="113"/>
        <v>0</v>
      </c>
      <c r="M100" s="14">
        <f t="shared" si="113"/>
        <v>2414.34</v>
      </c>
      <c r="N100" s="14">
        <f t="shared" si="113"/>
        <v>0</v>
      </c>
      <c r="O100" s="86"/>
      <c r="R100" s="287"/>
      <c r="S100" s="287"/>
      <c r="T100" s="117" t="str">
        <f>'Energy matrix'!B27</f>
        <v>Diesel</v>
      </c>
      <c r="U100" s="117"/>
      <c r="V100" s="118">
        <f>+INDEX('Energy matrix'!C27:N27,1,$D$2)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f t="shared" si="114"/>
        <v>0</v>
      </c>
      <c r="K101" s="14">
        <f t="shared" si="114"/>
        <v>0</v>
      </c>
      <c r="L101" s="14">
        <f t="shared" si="114"/>
        <v>0</v>
      </c>
      <c r="M101" s="14">
        <f t="shared" si="114"/>
        <v>11219.58</v>
      </c>
      <c r="N101" s="14">
        <f t="shared" si="114"/>
        <v>0</v>
      </c>
      <c r="O101" s="86"/>
      <c r="R101" s="287"/>
      <c r="S101" s="287"/>
      <c r="T101" s="117" t="str">
        <f>'Energy matrix'!B28</f>
        <v>Gasoline</v>
      </c>
      <c r="U101" s="117"/>
      <c r="V101" s="118">
        <f>+INDEX('Energy matrix'!C28:N28,1,$D$2)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f t="shared" si="115"/>
        <v>0</v>
      </c>
      <c r="K102" s="14">
        <f t="shared" si="115"/>
        <v>0</v>
      </c>
      <c r="L102" s="14">
        <f t="shared" si="115"/>
        <v>0</v>
      </c>
      <c r="M102" s="14">
        <f t="shared" si="115"/>
        <v>568.08000000000004</v>
      </c>
      <c r="N102" s="14">
        <f t="shared" si="115"/>
        <v>0</v>
      </c>
      <c r="O102" s="86"/>
      <c r="R102" s="287"/>
      <c r="S102" s="287"/>
      <c r="T102" s="117" t="str">
        <f>'Energy matrix'!B29</f>
        <v>LPG</v>
      </c>
      <c r="U102" s="117"/>
      <c r="V102" s="118">
        <f>+INDEX('Energy matrix'!C29:N29,1,$D$2)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f t="shared" si="116"/>
        <v>0</v>
      </c>
      <c r="K103" s="18">
        <f t="shared" si="116"/>
        <v>0</v>
      </c>
      <c r="L103" s="18">
        <f t="shared" si="116"/>
        <v>0</v>
      </c>
      <c r="M103" s="18">
        <f t="shared" si="116"/>
        <v>14202</v>
      </c>
      <c r="N103" s="18">
        <f t="shared" si="116"/>
        <v>0</v>
      </c>
      <c r="O103" s="86"/>
      <c r="R103" s="287"/>
      <c r="S103" s="287"/>
      <c r="T103" s="117" t="str">
        <f>'Energy matrix'!B31</f>
        <v>Natural gas</v>
      </c>
      <c r="U103" s="117"/>
      <c r="V103" s="118">
        <f>+INDEX('Energy matrix'!C31:N31,1,$D$2)</f>
        <v>20875.5</v>
      </c>
      <c r="W103" s="117"/>
    </row>
    <row r="104" spans="3:24" s="285" customFormat="1" ht="12.75" customHeight="1">
      <c r="O104" s="86"/>
      <c r="R104" s="287"/>
      <c r="S104" s="287"/>
      <c r="T104" s="117" t="str">
        <f>'Energy matrix'!B32</f>
        <v>Biogas</v>
      </c>
      <c r="U104" s="117"/>
      <c r="V104" s="118">
        <f>+INDEX('Energy matrix'!C32:N32,1,$D$2)</f>
        <v>0</v>
      </c>
      <c r="W104" s="117"/>
    </row>
    <row r="105" spans="3:24" s="285" customFormat="1" ht="12.75" customHeight="1">
      <c r="O105" s="86"/>
      <c r="R105" s="287"/>
      <c r="S105" s="287"/>
      <c r="T105" s="117" t="str">
        <f>'Energy matrix'!B33</f>
        <v>Biomass</v>
      </c>
      <c r="U105" s="117"/>
      <c r="V105" s="118">
        <f>+INDEX('Energy matrix'!C33:N33,1,$D$2)</f>
        <v>0</v>
      </c>
      <c r="W105" s="117"/>
    </row>
    <row r="106" spans="3:24" s="285" customFormat="1" ht="12.75" customHeight="1">
      <c r="E106" s="63"/>
      <c r="F106" s="63"/>
      <c r="G106" s="288"/>
      <c r="H106" s="288"/>
      <c r="I106" s="288"/>
      <c r="J106" s="288"/>
      <c r="K106" s="288"/>
      <c r="O106" s="86"/>
      <c r="R106" s="287"/>
      <c r="S106" s="287"/>
      <c r="T106" s="117" t="str">
        <f>'Energy matrix'!B34</f>
        <v>Waste</v>
      </c>
      <c r="U106" s="117"/>
      <c r="V106" s="118">
        <f>+INDEX('Energy matrix'!C34:N34,1,$D$2)</f>
        <v>0</v>
      </c>
      <c r="W106" s="117"/>
    </row>
    <row r="107" spans="3:24" s="285" customFormat="1" ht="12.75" customHeight="1">
      <c r="E107" s="63"/>
      <c r="F107" s="63"/>
      <c r="G107" s="288"/>
      <c r="H107" s="288"/>
      <c r="I107" s="288"/>
      <c r="J107" s="288"/>
      <c r="K107" s="288"/>
      <c r="O107" s="86"/>
      <c r="R107" s="287"/>
      <c r="S107" s="287"/>
      <c r="T107" s="117" t="str">
        <f>'Energy matrix'!B35</f>
        <v>Electricity</v>
      </c>
      <c r="U107" s="117"/>
      <c r="V107" s="118">
        <f>+INDEX('Energy matrix'!C35:N35,1,$D$2)</f>
        <v>14202</v>
      </c>
      <c r="W107" s="117"/>
    </row>
    <row r="108" spans="3:24" s="285" customFormat="1" ht="12.75" customHeight="1">
      <c r="E108" s="63"/>
      <c r="F108" s="63"/>
      <c r="G108" s="288"/>
      <c r="H108" s="288"/>
      <c r="I108" s="288"/>
      <c r="J108" s="288"/>
      <c r="K108" s="288"/>
      <c r="O108" s="86"/>
      <c r="R108" s="287"/>
      <c r="S108" s="287"/>
      <c r="T108" s="122" t="str">
        <f>'Energy matrix'!B36</f>
        <v>District Heating</v>
      </c>
      <c r="U108" s="122"/>
      <c r="V108" s="123">
        <f>+INDEX('Energy matrix'!C36:N36,1,$D$2)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f>SUM(V98:V108)</f>
        <v>35077.5</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Ok</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matrix'!B43</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f t="shared" si="127"/>
        <v>0</v>
      </c>
      <c r="I117" s="14">
        <f t="shared" si="127"/>
        <v>26449.200000000001</v>
      </c>
      <c r="J117" s="14">
        <f t="shared" si="127"/>
        <v>0</v>
      </c>
      <c r="K117" s="14">
        <f t="shared" si="127"/>
        <v>0</v>
      </c>
      <c r="L117" s="14">
        <f t="shared" si="127"/>
        <v>0</v>
      </c>
      <c r="M117" s="14">
        <f t="shared" si="127"/>
        <v>0</v>
      </c>
      <c r="N117" s="14">
        <f t="shared" si="127"/>
        <v>0</v>
      </c>
      <c r="O117" s="86"/>
      <c r="T117" s="48" t="s">
        <v>209</v>
      </c>
      <c r="U117" s="48"/>
      <c r="V117" s="126" t="str">
        <f>+INDEX('Energy matrix'!C44:N44,1,$D$2)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matrix'!B45</f>
        <v>Coal</v>
      </c>
      <c r="U118" s="117"/>
      <c r="V118" s="118">
        <f>+INDEX('Energy matrix'!C45:N45,1,$D$2)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matrix'!B46</f>
        <v>Fuel Oil</v>
      </c>
      <c r="U119" s="117"/>
      <c r="V119" s="118">
        <f>+INDEX('Energy matrix'!C46:N46,1,$D$2)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2948.616</v>
      </c>
      <c r="N120" s="14">
        <f t="shared" si="130"/>
        <v>0</v>
      </c>
      <c r="O120" s="86"/>
      <c r="T120" s="117" t="str">
        <f>'Energy matrix'!B47</f>
        <v>Diesel</v>
      </c>
      <c r="U120" s="117"/>
      <c r="V120" s="118">
        <f>+INDEX('Energy matrix'!C47:N47,1,$D$2)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13702.392</v>
      </c>
      <c r="N121" s="14">
        <f t="shared" si="131"/>
        <v>0</v>
      </c>
      <c r="O121" s="86"/>
      <c r="T121" s="117" t="str">
        <f>'Energy matrix'!B48</f>
        <v>Gasoline</v>
      </c>
      <c r="U121" s="117"/>
      <c r="V121" s="118">
        <f>+INDEX('Energy matrix'!C48:N48,1,$D$2)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693.79200000000003</v>
      </c>
      <c r="N122" s="14">
        <f t="shared" si="132"/>
        <v>0</v>
      </c>
      <c r="O122" s="86"/>
      <c r="T122" s="117" t="str">
        <f>'Energy matrix'!B49</f>
        <v>LPG</v>
      </c>
      <c r="U122" s="117"/>
      <c r="V122" s="118">
        <f>+INDEX('Energy matrix'!C49:N49,1,$D$2)</f>
        <v>0</v>
      </c>
      <c r="W122" s="117"/>
    </row>
    <row r="123" spans="3:31" ht="12.75" customHeight="1">
      <c r="C123" s="17" t="s">
        <v>57</v>
      </c>
      <c r="D123" s="18">
        <f t="shared" ref="D123:N123" si="133">SUM(D117:D122)</f>
        <v>0</v>
      </c>
      <c r="E123" s="18">
        <f t="shared" si="133"/>
        <v>0</v>
      </c>
      <c r="F123" s="18">
        <f t="shared" si="133"/>
        <v>53229.48</v>
      </c>
      <c r="G123" s="18">
        <f t="shared" si="133"/>
        <v>3086.5129999999999</v>
      </c>
      <c r="H123" s="18">
        <f t="shared" si="133"/>
        <v>0</v>
      </c>
      <c r="I123" s="18">
        <f t="shared" si="133"/>
        <v>26449.200000000001</v>
      </c>
      <c r="J123" s="18">
        <f t="shared" si="133"/>
        <v>0</v>
      </c>
      <c r="K123" s="18">
        <f t="shared" si="133"/>
        <v>0</v>
      </c>
      <c r="L123" s="18">
        <f t="shared" si="133"/>
        <v>0</v>
      </c>
      <c r="M123" s="18">
        <f t="shared" si="133"/>
        <v>17344.800000000003</v>
      </c>
      <c r="N123" s="18">
        <f t="shared" si="133"/>
        <v>0</v>
      </c>
      <c r="O123" s="86"/>
      <c r="T123" s="117" t="str">
        <f>'Energy matrix'!B51</f>
        <v>Natural gas</v>
      </c>
      <c r="U123" s="117"/>
      <c r="V123" s="118">
        <f>+INDEX('Energy matrix'!C51:N51,1,$D$2)</f>
        <v>26449.200000000001</v>
      </c>
      <c r="W123" s="117"/>
    </row>
    <row r="124" spans="3:31" ht="12.75" customHeight="1">
      <c r="E124" s="25"/>
      <c r="F124" s="25"/>
      <c r="G124" s="25"/>
      <c r="H124" s="25"/>
      <c r="I124" s="25"/>
      <c r="J124" s="25"/>
      <c r="K124" s="25"/>
      <c r="O124" s="86"/>
      <c r="T124" s="117" t="str">
        <f>'Energy matrix'!B52</f>
        <v>Biogas</v>
      </c>
      <c r="U124" s="117"/>
      <c r="V124" s="118">
        <f>+INDEX('Energy matrix'!C52:N52,1,$D$2)</f>
        <v>0</v>
      </c>
      <c r="W124" s="117"/>
    </row>
    <row r="125" spans="3:31" ht="12.75" customHeight="1">
      <c r="E125" s="25"/>
      <c r="F125" s="25"/>
      <c r="G125" s="25"/>
      <c r="H125" s="25"/>
      <c r="I125" s="25"/>
      <c r="J125" s="25"/>
      <c r="K125" s="25"/>
      <c r="O125" s="86"/>
      <c r="T125" s="117" t="str">
        <f>'Energy matrix'!B53</f>
        <v>Biomass</v>
      </c>
      <c r="U125" s="117"/>
      <c r="V125" s="118">
        <f>+INDEX('Energy matrix'!C53:N53,1,$D$2)</f>
        <v>0</v>
      </c>
      <c r="W125" s="117"/>
    </row>
    <row r="126" spans="3:31" ht="12.75" customHeight="1">
      <c r="O126" s="86"/>
      <c r="T126" s="117" t="str">
        <f>'Energy matrix'!B54</f>
        <v>Waste</v>
      </c>
      <c r="U126" s="117"/>
      <c r="V126" s="118">
        <f>+INDEX('Energy matrix'!C54:N54,1,$D$2)</f>
        <v>0</v>
      </c>
      <c r="W126" s="117"/>
    </row>
    <row r="127" spans="3:31" ht="12.75" customHeight="1">
      <c r="O127" s="86"/>
      <c r="T127" s="117" t="str">
        <f>'Energy matrix'!B55</f>
        <v>Electricity</v>
      </c>
      <c r="U127" s="117"/>
      <c r="V127" s="118">
        <f>+INDEX('Energy matrix'!C55:N55,1,$D$2)</f>
        <v>17344.8</v>
      </c>
      <c r="W127" s="117"/>
    </row>
    <row r="128" spans="3:31" ht="12.75" customHeight="1">
      <c r="C128" s="25" t="s">
        <v>293</v>
      </c>
      <c r="D128" s="519"/>
      <c r="F128" s="25"/>
      <c r="G128" s="25"/>
      <c r="H128" s="25"/>
      <c r="I128" s="25"/>
      <c r="J128" s="25"/>
      <c r="K128" s="25"/>
      <c r="O128" s="86"/>
      <c r="T128" s="117" t="str">
        <f>'Energy matrix'!B56</f>
        <v>District Heating</v>
      </c>
      <c r="U128" s="122"/>
      <c r="V128" s="118">
        <f>+INDEX('Energy matrix'!C56:N56,1,$D$2)</f>
        <v>0</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100109.993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18"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534</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24"/>
      <c r="M151" s="22">
        <v>0</v>
      </c>
      <c r="N151" s="22">
        <v>0</v>
      </c>
      <c r="O151" s="22">
        <v>0</v>
      </c>
      <c r="P151" s="34"/>
      <c r="Q151" s="34"/>
      <c r="R151" s="25"/>
      <c r="S151" s="25"/>
      <c r="W151" s="285"/>
      <c r="X151" s="285"/>
      <c r="Z151" s="25"/>
      <c r="AA151" s="25"/>
    </row>
    <row r="152" spans="3:27">
      <c r="C152" s="15"/>
      <c r="D152" s="13" t="s">
        <v>536</v>
      </c>
      <c r="E152" s="22">
        <v>0</v>
      </c>
      <c r="F152" s="410">
        <v>1</v>
      </c>
      <c r="G152" s="22">
        <v>1</v>
      </c>
      <c r="H152" s="625">
        <v>1</v>
      </c>
      <c r="I152" s="22">
        <v>0.75</v>
      </c>
      <c r="J152" s="410"/>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38"/>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38"/>
      <c r="E18" s="287"/>
      <c r="L18" s="288"/>
      <c r="M18" s="288"/>
      <c r="N18" s="288"/>
      <c r="O18" s="288"/>
      <c r="P18" s="288"/>
      <c r="R18" s="285"/>
      <c r="S18" s="285"/>
      <c r="Z18" s="287"/>
      <c r="AA18" s="287"/>
      <c r="AB18" s="286"/>
      <c r="BK18" s="562"/>
      <c r="BL18" s="291"/>
      <c r="BM18" s="293"/>
      <c r="BN18" s="293"/>
      <c r="BO18" s="293"/>
      <c r="BP18" s="293"/>
      <c r="BQ18" s="291"/>
      <c r="BR18" s="291"/>
      <c r="BS18" s="291"/>
      <c r="BT18" s="291"/>
      <c r="BU18" s="291"/>
      <c r="BV18" s="291"/>
    </row>
    <row r="19" spans="3:74" ht="12.75" customHeight="1">
      <c r="C19" s="287"/>
      <c r="D19" s="287"/>
      <c r="E19" s="287"/>
      <c r="G19" s="526" t="s">
        <v>62</v>
      </c>
      <c r="H19" s="526"/>
      <c r="I19" s="533"/>
      <c r="J19" s="526"/>
      <c r="K19" s="526"/>
      <c r="L19" s="533"/>
      <c r="M19" s="526"/>
      <c r="N19" s="526"/>
      <c r="O19" s="526"/>
      <c r="P19" s="288"/>
      <c r="R19" s="285"/>
      <c r="S19" s="397"/>
      <c r="AB19" s="339"/>
      <c r="AK19" s="662">
        <v>2010</v>
      </c>
      <c r="AL19" s="350"/>
      <c r="AM19" s="337"/>
      <c r="AN19" s="337"/>
      <c r="AO19" s="337"/>
      <c r="AP19" s="337"/>
      <c r="AQ19" s="350"/>
      <c r="AR19" s="350"/>
      <c r="AS19" s="350"/>
      <c r="AT19" s="350"/>
      <c r="AU19" s="350"/>
      <c r="AV19" s="351"/>
      <c r="AX19" s="662">
        <v>2015</v>
      </c>
      <c r="AY19" s="350"/>
      <c r="AZ19" s="337"/>
      <c r="BA19" s="337"/>
      <c r="BB19" s="337"/>
      <c r="BC19" s="337"/>
      <c r="BD19" s="350"/>
      <c r="BE19" s="350"/>
      <c r="BF19" s="350"/>
      <c r="BG19" s="350"/>
      <c r="BH19" s="350"/>
      <c r="BI19" s="351"/>
      <c r="BK19" s="662">
        <v>2019</v>
      </c>
      <c r="BL19" s="350"/>
      <c r="BM19" s="337"/>
      <c r="BN19" s="337"/>
      <c r="BO19" s="337"/>
      <c r="BP19" s="337"/>
      <c r="BQ19" s="350"/>
      <c r="BR19" s="350"/>
      <c r="BS19" s="350"/>
      <c r="BT19" s="350"/>
      <c r="BU19" s="350"/>
      <c r="BV19" s="351"/>
    </row>
    <row r="20" spans="3:74" ht="12.75" customHeight="1">
      <c r="E20" s="285"/>
      <c r="G20" s="527">
        <v>2010</v>
      </c>
      <c r="H20" s="527"/>
      <c r="I20" s="534"/>
      <c r="J20" s="527">
        <v>2015</v>
      </c>
      <c r="K20" s="527"/>
      <c r="L20" s="534"/>
      <c r="M20" s="527">
        <v>2019</v>
      </c>
      <c r="N20" s="527"/>
      <c r="O20" s="527"/>
      <c r="P20" s="296"/>
      <c r="Q20" s="297"/>
      <c r="R20" s="297"/>
      <c r="S20" s="296"/>
      <c r="T20" s="449"/>
      <c r="U20" s="449"/>
      <c r="V20" s="287"/>
      <c r="X20" s="298"/>
      <c r="Y20" s="298"/>
      <c r="Z20" s="298"/>
      <c r="AA20" s="298"/>
      <c r="AB20" s="349"/>
      <c r="AC20" s="287"/>
      <c r="AD20" s="287"/>
      <c r="AE20" s="287"/>
      <c r="AF20" s="287"/>
      <c r="AG20" s="287"/>
      <c r="AH20" s="287"/>
      <c r="AI20" s="287"/>
      <c r="AJ20" s="287"/>
      <c r="AK20" s="663"/>
      <c r="AL20" s="291"/>
      <c r="AM20" s="291"/>
      <c r="AN20" s="291"/>
      <c r="AO20" s="291"/>
      <c r="AP20" s="291"/>
      <c r="AQ20" s="291"/>
      <c r="AR20" s="291"/>
      <c r="AS20" s="291"/>
      <c r="AT20" s="291"/>
      <c r="AU20" s="291"/>
      <c r="AV20" s="292"/>
      <c r="AX20" s="663"/>
      <c r="AY20" s="291"/>
      <c r="AZ20" s="291"/>
      <c r="BA20" s="291"/>
      <c r="BB20" s="291"/>
      <c r="BC20" s="291"/>
      <c r="BD20" s="291"/>
      <c r="BE20" s="291"/>
      <c r="BF20" s="291"/>
      <c r="BG20" s="291"/>
      <c r="BH20" s="291"/>
      <c r="BI20" s="292"/>
      <c r="BK20" s="663"/>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4"/>
      <c r="AL21" s="291"/>
      <c r="AM21" s="291"/>
      <c r="AN21" s="358" t="s">
        <v>96</v>
      </c>
      <c r="AO21" s="350"/>
      <c r="AP21" s="351"/>
      <c r="AQ21" s="291"/>
      <c r="AR21" s="291"/>
      <c r="AS21" s="291"/>
      <c r="AT21" s="291"/>
      <c r="AU21" s="291"/>
      <c r="AV21" s="292"/>
      <c r="AX21" s="664"/>
      <c r="AY21" s="291"/>
      <c r="AZ21" s="291"/>
      <c r="BA21" s="358" t="s">
        <v>96</v>
      </c>
      <c r="BB21" s="350"/>
      <c r="BC21" s="351"/>
      <c r="BD21" s="291"/>
      <c r="BE21" s="291"/>
      <c r="BF21" s="291"/>
      <c r="BG21" s="291"/>
      <c r="BH21" s="291"/>
      <c r="BI21" s="292"/>
      <c r="BK21" s="664"/>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61"/>
      <c r="AL22" s="291"/>
      <c r="AM22" s="291"/>
      <c r="AN22" s="290" t="s">
        <v>424</v>
      </c>
      <c r="AO22" s="291" t="s">
        <v>425</v>
      </c>
      <c r="AP22" s="292" t="s">
        <v>525</v>
      </c>
      <c r="AQ22" s="291"/>
      <c r="AR22" s="291"/>
      <c r="AS22" s="291"/>
      <c r="AT22" s="291"/>
      <c r="AU22" s="291"/>
      <c r="AV22" s="292"/>
      <c r="AX22" s="561"/>
      <c r="AY22" s="291"/>
      <c r="AZ22" s="291"/>
      <c r="BA22" s="290" t="s">
        <v>424</v>
      </c>
      <c r="BB22" s="291" t="s">
        <v>425</v>
      </c>
      <c r="BC22" s="292" t="s">
        <v>525</v>
      </c>
      <c r="BD22" s="291"/>
      <c r="BE22" s="291"/>
      <c r="BF22" s="291"/>
      <c r="BG22" s="291"/>
      <c r="BH22" s="291"/>
      <c r="BI22" s="292"/>
      <c r="BK22" s="561"/>
      <c r="BL22" s="291"/>
      <c r="BM22" s="291"/>
      <c r="BN22" s="290" t="s">
        <v>424</v>
      </c>
      <c r="BO22" s="291" t="s">
        <v>425</v>
      </c>
      <c r="BP22" s="292" t="s">
        <v>525</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22" cm="1">
        <f t="array" ref="AN23">INDEX(RegSplit!$B$4:$AN$6,MATCH(AN22,RegSplit!$A$4:$A$6,0),MATCH($D$6&amp;AK19,RegSplit!$B$2:$AN$2&amp;RegSplit!$B$3:$AN$3,0))</f>
        <v>0.9</v>
      </c>
      <c r="AO23" s="623" cm="1">
        <f t="array" ref="AO23">INDEX(RegSplit!$B$4:$AN$6,MATCH(AO22,RegSplit!$A$4:$A$6,0),MATCH($D$6&amp;AK19,RegSplit!$B$2:$AN$2&amp;RegSplit!$B$3:$AN$3,0))</f>
        <v>0.05</v>
      </c>
      <c r="AP23" s="623" cm="1">
        <f t="array" ref="AP23">INDEX(RegSplit!$B$4:$AN$6,MATCH(AP22,RegSplit!$A$4:$A$6,0),MATCH($D$6&amp;AK19,RegSplit!$B$2:$AN$2&amp;RegSplit!$B$3:$AN$3,0))</f>
        <v>0.05</v>
      </c>
      <c r="AQ23" s="291"/>
      <c r="AR23" s="291"/>
      <c r="AS23" s="291"/>
      <c r="AT23" s="291"/>
      <c r="AU23" s="291"/>
      <c r="AV23" s="292"/>
      <c r="AX23" s="290"/>
      <c r="AY23" s="293"/>
      <c r="AZ23" s="291"/>
      <c r="BA23" s="622" cm="1">
        <f t="array" ref="BA23">INDEX(RegSplit!$B$4:$AN$6,MATCH(BA22,RegSplit!$A$4:$A$6,0),MATCH($D$6&amp;AX19,RegSplit!$B$2:$AN$2&amp;RegSplit!$B$3:$AN$3,0))</f>
        <v>0.9</v>
      </c>
      <c r="BB23" s="623" cm="1">
        <f t="array" ref="BB23">INDEX(RegSplit!$B$4:$AN$6,MATCH(BB22,RegSplit!$A$4:$A$6,0),MATCH($D$6&amp;AX19,RegSplit!$B$2:$AN$2&amp;RegSplit!$B$3:$AN$3,0))</f>
        <v>0.05</v>
      </c>
      <c r="BC23" s="623" cm="1">
        <f t="array" ref="BC23">INDEX(RegSplit!$B$4:$AN$6,MATCH(BC22,RegSplit!$A$4:$A$6,0),MATCH($D$6&amp;AX19,RegSplit!$B$2:$AN$2&amp;RegSplit!$B$3:$AN$3,0))</f>
        <v>0.05</v>
      </c>
      <c r="BD23" s="291"/>
      <c r="BE23" s="291"/>
      <c r="BF23" s="291"/>
      <c r="BG23" s="291"/>
      <c r="BH23" s="291"/>
      <c r="BI23" s="292"/>
      <c r="BK23" s="290"/>
      <c r="BL23" s="293"/>
      <c r="BM23" s="291"/>
      <c r="BN23" s="622" cm="1">
        <f t="array" ref="BN23">INDEX(RegSplit!$B$4:$AN$6,MATCH(BN22,RegSplit!$A$4:$A$6,0),MATCH($D$6&amp;BK19,RegSplit!$B$2:$AN$2&amp;RegSplit!$B$3:$AN$3,0))</f>
        <v>0.9</v>
      </c>
      <c r="BO23" s="623" cm="1">
        <f t="array" ref="BO23">INDEX(RegSplit!$B$4:$AN$6,MATCH(BO22,RegSplit!$A$4:$A$6,0),MATCH($D$6&amp;BK19,RegSplit!$B$2:$AN$2&amp;RegSplit!$B$3:$AN$3,0))</f>
        <v>0.05</v>
      </c>
      <c r="BP23" s="623"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65" t="s">
        <v>423</v>
      </c>
      <c r="X24" s="566" t="s">
        <v>523</v>
      </c>
      <c r="Y24" s="567" t="s">
        <v>524</v>
      </c>
      <c r="Z24" s="51" t="s">
        <v>0</v>
      </c>
      <c r="AA24" s="51" t="s">
        <v>324</v>
      </c>
      <c r="AB24" s="568" t="s">
        <v>58</v>
      </c>
      <c r="AC24" s="569" t="s">
        <v>106</v>
      </c>
      <c r="AD24" s="569" t="s">
        <v>294</v>
      </c>
      <c r="AE24" s="570" t="s">
        <v>111</v>
      </c>
      <c r="AK24" s="290"/>
      <c r="AL24" s="291"/>
      <c r="AM24" s="556" t="s">
        <v>300</v>
      </c>
      <c r="AN24" s="557"/>
      <c r="AO24" s="350"/>
      <c r="AP24" s="351"/>
      <c r="AQ24" s="556" t="s">
        <v>96</v>
      </c>
      <c r="AR24" s="557"/>
      <c r="AS24" s="558"/>
      <c r="AT24" s="556" t="s">
        <v>301</v>
      </c>
      <c r="AU24" s="557"/>
      <c r="AV24" s="558"/>
      <c r="AX24" s="290"/>
      <c r="AY24" s="291"/>
      <c r="AZ24" s="556" t="s">
        <v>300</v>
      </c>
      <c r="BA24" s="540"/>
      <c r="BB24" s="291"/>
      <c r="BC24" s="292"/>
      <c r="BD24" s="556" t="s">
        <v>96</v>
      </c>
      <c r="BE24" s="557"/>
      <c r="BF24" s="558"/>
      <c r="BG24" s="556" t="s">
        <v>301</v>
      </c>
      <c r="BH24" s="557"/>
      <c r="BI24" s="558"/>
      <c r="BK24" s="290"/>
      <c r="BL24" s="291"/>
      <c r="BM24" s="556" t="s">
        <v>300</v>
      </c>
      <c r="BN24" s="557"/>
      <c r="BO24" s="350"/>
      <c r="BP24" s="351"/>
      <c r="BQ24" s="556" t="s">
        <v>96</v>
      </c>
      <c r="BR24" s="557"/>
      <c r="BS24" s="558"/>
      <c r="BT24" s="556" t="s">
        <v>301</v>
      </c>
      <c r="BU24" s="557"/>
      <c r="BV24" s="558"/>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63" t="s">
        <v>93</v>
      </c>
      <c r="AA25" s="563"/>
      <c r="AB25" s="564" t="s">
        <v>297</v>
      </c>
      <c r="AC25" s="564"/>
      <c r="AD25" s="564"/>
      <c r="AE25" s="564" t="s">
        <v>112</v>
      </c>
      <c r="AG25" s="285">
        <v>2010</v>
      </c>
      <c r="AH25" s="285">
        <v>2012</v>
      </c>
      <c r="AI25" s="285">
        <v>2014</v>
      </c>
      <c r="AK25" s="545"/>
      <c r="AL25" s="553" t="s">
        <v>44</v>
      </c>
      <c r="AM25" s="541" t="s">
        <v>105</v>
      </c>
      <c r="AN25" s="542" t="s">
        <v>424</v>
      </c>
      <c r="AO25" s="542" t="s">
        <v>425</v>
      </c>
      <c r="AP25" s="543" t="s">
        <v>525</v>
      </c>
      <c r="AQ25" s="541" t="s">
        <v>424</v>
      </c>
      <c r="AR25" s="542" t="s">
        <v>425</v>
      </c>
      <c r="AS25" s="543" t="s">
        <v>525</v>
      </c>
      <c r="AT25" s="541" t="s">
        <v>424</v>
      </c>
      <c r="AU25" s="542" t="s">
        <v>425</v>
      </c>
      <c r="AV25" s="543" t="s">
        <v>525</v>
      </c>
      <c r="AX25" s="545"/>
      <c r="AY25" s="553" t="s">
        <v>44</v>
      </c>
      <c r="AZ25" s="541" t="s">
        <v>298</v>
      </c>
      <c r="BA25" s="542" t="s">
        <v>424</v>
      </c>
      <c r="BB25" s="542" t="s">
        <v>425</v>
      </c>
      <c r="BC25" s="543" t="s">
        <v>525</v>
      </c>
      <c r="BD25" s="541" t="s">
        <v>424</v>
      </c>
      <c r="BE25" s="542" t="s">
        <v>425</v>
      </c>
      <c r="BF25" s="543" t="s">
        <v>525</v>
      </c>
      <c r="BG25" s="541" t="s">
        <v>424</v>
      </c>
      <c r="BH25" s="542" t="s">
        <v>425</v>
      </c>
      <c r="BI25" s="543" t="s">
        <v>525</v>
      </c>
      <c r="BK25" s="545"/>
      <c r="BL25" s="553" t="s">
        <v>44</v>
      </c>
      <c r="BM25" s="541" t="s">
        <v>105</v>
      </c>
      <c r="BN25" s="542" t="s">
        <v>424</v>
      </c>
      <c r="BO25" s="542" t="s">
        <v>425</v>
      </c>
      <c r="BP25" s="543" t="s">
        <v>525</v>
      </c>
      <c r="BQ25" s="541" t="s">
        <v>424</v>
      </c>
      <c r="BR25" s="542" t="s">
        <v>425</v>
      </c>
      <c r="BS25" s="543" t="s">
        <v>525</v>
      </c>
      <c r="BT25" s="541" t="s">
        <v>424</v>
      </c>
      <c r="BU25" s="542" t="s">
        <v>425</v>
      </c>
      <c r="BV25" s="543" t="s">
        <v>525</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1540.2749999999999</v>
      </c>
      <c r="H26" s="322">
        <f t="shared" ref="H26:I26" si="0">ROUNDUP(AO26/($Z26*$AA26)*H$21*X26,3)</f>
        <v>85.570999999999998</v>
      </c>
      <c r="I26" s="322">
        <f t="shared" si="0"/>
        <v>85.570999999999998</v>
      </c>
      <c r="J26" s="322">
        <f>ROUNDUP(BA26/($Z26*$AA26)*J$21*W26,3)</f>
        <v>1564.223</v>
      </c>
      <c r="K26" s="322">
        <f>ROUNDUP(BB26/($Z26*$AA26)*K$21*X26,3)</f>
        <v>86.902000000000001</v>
      </c>
      <c r="L26" s="322">
        <f>ROUNDUP(BC26/($Z26*$AA26)*L$21*Y26,3)</f>
        <v>86.902000000000001</v>
      </c>
      <c r="M26" s="322">
        <f>ROUNDUP(BN26/($Z26*$AA26)*M$21*W26,3)</f>
        <v>1677.6009999999999</v>
      </c>
      <c r="N26" s="322">
        <f>ROUNDUP(BO26/($Z26*$AA26)*N$21*X26,3)</f>
        <v>93.201000000000008</v>
      </c>
      <c r="O26" s="322">
        <f>ROUNDUP(BP26/($Z26*$AA26)*O$21*Y26,3)</f>
        <v>93.201000000000008</v>
      </c>
      <c r="P26" s="322">
        <f t="shared" ref="P26:P62" si="1">M26</f>
        <v>1677.6009999999999</v>
      </c>
      <c r="Q26" s="322">
        <f t="shared" ref="Q26:Q62" si="2">N26</f>
        <v>93.201000000000008</v>
      </c>
      <c r="R26" s="322">
        <f t="shared" ref="R26:R62" si="3">O26</f>
        <v>93.201000000000008</v>
      </c>
      <c r="S26" s="322">
        <f t="shared" ref="S26:S62" si="4">IF($AB26=20,0,M26/5)*IF(M26=0,0,1)</f>
        <v>0</v>
      </c>
      <c r="T26" s="322">
        <f t="shared" ref="T26:T62" si="5">IF($AB26=20,0,N26/5)*IF(N26=0,0,1)</f>
        <v>0</v>
      </c>
      <c r="U26" s="322">
        <f t="shared" ref="U26:U62" si="6">IF($AB26=20,0,O26/5)*IF(O26=0,0,1)</f>
        <v>0</v>
      </c>
      <c r="V26" s="322">
        <v>5</v>
      </c>
      <c r="W26" s="342">
        <f>I131</f>
        <v>0.98</v>
      </c>
      <c r="X26" s="571">
        <f t="shared" ref="X26:Y28" si="7">W26</f>
        <v>0.98</v>
      </c>
      <c r="Y26" s="571">
        <f t="shared" si="7"/>
        <v>0.98</v>
      </c>
      <c r="Z26" s="319">
        <f>3.6*8760/1000000</f>
        <v>3.1536000000000002E-2</v>
      </c>
      <c r="AA26" s="390">
        <v>0.5</v>
      </c>
      <c r="AB26" s="329">
        <v>20</v>
      </c>
      <c r="AC26" s="319"/>
      <c r="AD26" s="319"/>
      <c r="AE26" s="329"/>
      <c r="AG26" s="236">
        <f t="shared" ref="AG26:AG41" si="8">((G26*Z26*AA26/W26)+(H26*Z26*AA26/X26))/$G$21</f>
        <v>26.133396937756125</v>
      </c>
      <c r="AH26" s="236">
        <f t="shared" ref="AH26:AH41" si="9">((J26*Z26*AA26/W26)+(K26*Z26*AA26/X26))/$J$21</f>
        <v>26.303231966053747</v>
      </c>
      <c r="AI26" s="236">
        <f t="shared" ref="AI26:AI41" si="10">((M26*AA26*Z26/W26)+(N26*Z26*AA26/X26))/$M$21</f>
        <v>28.209745338452212</v>
      </c>
      <c r="AJ26" s="236"/>
      <c r="AK26" s="544" t="str">
        <f ca="1">F26</f>
        <v>IODPH</v>
      </c>
      <c r="AL26" s="350" t="s">
        <v>97</v>
      </c>
      <c r="AM26" s="313">
        <f>I77/1000</f>
        <v>27.50882</v>
      </c>
      <c r="AN26" s="310">
        <f>AM26*$AN$23</f>
        <v>24.757937999999999</v>
      </c>
      <c r="AO26" s="311">
        <f>AM26*$AO$23</f>
        <v>1.3754410000000001</v>
      </c>
      <c r="AP26" s="311">
        <f>AM26*$AP$23</f>
        <v>1.3754410000000001</v>
      </c>
      <c r="AQ26" s="312">
        <f>IFERROR(G26*$Z26*$AA26/G$21,0)</f>
        <v>24.262793406593406</v>
      </c>
      <c r="AR26" s="311">
        <f>IFERROR(H26*$Z26*$AA26/H$21,0)</f>
        <v>1.3479355924075924</v>
      </c>
      <c r="AS26" s="338">
        <f>IFERROR(I26*$Z26*$AA26/I$21,0)</f>
        <v>1.3479355924075924</v>
      </c>
      <c r="AT26" s="313">
        <f t="shared" ref="AT26:AV29" si="11">IFERROR(AQ26/W26,0)</f>
        <v>24.757952455707557</v>
      </c>
      <c r="AU26" s="310">
        <f t="shared" si="11"/>
        <v>1.3754444820485636</v>
      </c>
      <c r="AV26" s="357">
        <f t="shared" si="11"/>
        <v>1.3754444820485636</v>
      </c>
      <c r="AX26" s="544" t="str">
        <f t="shared" ref="AX26:AX62" ca="1" si="12">AK26</f>
        <v>IODPH</v>
      </c>
      <c r="AY26" s="350" t="s">
        <v>97</v>
      </c>
      <c r="AZ26" s="313">
        <f>I97/1000</f>
        <v>27.6876</v>
      </c>
      <c r="BA26" s="310">
        <f>AZ26*$AN$23</f>
        <v>24.918839999999999</v>
      </c>
      <c r="BB26" s="311">
        <f>AZ26*$BB$23</f>
        <v>1.3843800000000002</v>
      </c>
      <c r="BC26" s="311">
        <f>AZ26*$BC$23</f>
        <v>1.3843800000000002</v>
      </c>
      <c r="BD26" s="313">
        <f t="shared" ref="BD26" si="13">IFERROR(J26*$Z26*AA26/J$21,0)</f>
        <v>24.420463627722771</v>
      </c>
      <c r="BE26" s="310">
        <f t="shared" ref="BE26" si="14">IFERROR(K26*$Z26*AA26/K$21,0)</f>
        <v>1.3567036990099011</v>
      </c>
      <c r="BF26" s="357">
        <f>IFERROR(L26*$Z26*AA26/L$21,0)</f>
        <v>1.3567036990099011</v>
      </c>
      <c r="BG26" s="313">
        <f t="shared" ref="BG26:BG35" si="15">IFERROR(BD26/W26,0)</f>
        <v>24.918840436451809</v>
      </c>
      <c r="BH26" s="310">
        <f t="shared" ref="BH26:BH35" si="16">IFERROR(BE26/X26,0)</f>
        <v>1.3843915296019398</v>
      </c>
      <c r="BI26" s="357">
        <f t="shared" ref="BI26:BI35" si="17">IFERROR(BF26/Y26,0)</f>
        <v>1.3843915296019398</v>
      </c>
      <c r="BK26" s="544" t="str">
        <f ca="1">AK26</f>
        <v>IODPH</v>
      </c>
      <c r="BL26" s="350" t="s">
        <v>97</v>
      </c>
      <c r="BM26" s="313">
        <f>I117/1000</f>
        <v>29.694444000000001</v>
      </c>
      <c r="BN26" s="310">
        <f>BM26*$AN$23</f>
        <v>26.7249996</v>
      </c>
      <c r="BO26" s="311">
        <f>BM26*$BB$23</f>
        <v>1.4847222000000002</v>
      </c>
      <c r="BP26" s="311">
        <f>BM26*$BC$23</f>
        <v>1.4847222000000002</v>
      </c>
      <c r="BQ26" s="313">
        <f>IFERROR(M26*$Z26*$AA26/M$21,0)</f>
        <v>26.190507493069305</v>
      </c>
      <c r="BR26" s="310">
        <f>IFERROR(N26*$Z26*$AA26/N$21,0)</f>
        <v>1.4550429386138615</v>
      </c>
      <c r="BS26" s="357">
        <f>IFERROR(O26*$Z26*$AA26/O$21,0)</f>
        <v>1.4550429386138615</v>
      </c>
      <c r="BT26" s="313">
        <f>IFERROR(BQ26/W26,0)</f>
        <v>26.725007645989088</v>
      </c>
      <c r="BU26" s="310">
        <f>IFERROR(BR26/X26,0)</f>
        <v>1.4847376924631239</v>
      </c>
      <c r="BV26" s="357">
        <f>IFERROR(BS26/Y26,0)</f>
        <v>1.4847376924631239</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36">
        <f t="shared" si="7"/>
        <v>0.93099999999999994</v>
      </c>
      <c r="Y27" s="536">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54">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36">
        <f t="shared" si="7"/>
        <v>0.94079999999999997</v>
      </c>
      <c r="Y28" s="536">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54">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36">
        <f>$W$29</f>
        <v>0.83299999999999996</v>
      </c>
      <c r="Y29" s="536">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36"/>
      <c r="AK29" s="290"/>
      <c r="AL29" s="573" t="s">
        <v>99</v>
      </c>
      <c r="AM29" s="574">
        <f>K77/1000</f>
        <v>0</v>
      </c>
      <c r="AN29" s="575">
        <f>AM29*$AN$23</f>
        <v>0</v>
      </c>
      <c r="AO29" s="576">
        <f t="shared" si="27"/>
        <v>0</v>
      </c>
      <c r="AP29" s="576">
        <f>AM29*$AP$23</f>
        <v>0</v>
      </c>
      <c r="AQ29" s="596">
        <f t="shared" si="28"/>
        <v>0</v>
      </c>
      <c r="AR29" s="576">
        <f t="shared" si="29"/>
        <v>0</v>
      </c>
      <c r="AS29" s="577">
        <f t="shared" si="30"/>
        <v>0</v>
      </c>
      <c r="AT29" s="574">
        <f t="shared" si="11"/>
        <v>0</v>
      </c>
      <c r="AU29" s="575">
        <f t="shared" si="11"/>
        <v>0</v>
      </c>
      <c r="AV29" s="580">
        <f t="shared" si="11"/>
        <v>0</v>
      </c>
      <c r="AX29" s="290"/>
      <c r="AY29" s="573" t="s">
        <v>99</v>
      </c>
      <c r="AZ29" s="574">
        <f>K97/1000</f>
        <v>0</v>
      </c>
      <c r="BA29" s="575">
        <f>AZ29*$AN$23</f>
        <v>0</v>
      </c>
      <c r="BB29" s="576">
        <f t="shared" si="31"/>
        <v>0</v>
      </c>
      <c r="BC29" s="576">
        <f t="shared" si="32"/>
        <v>0</v>
      </c>
      <c r="BD29" s="574">
        <f t="shared" si="33"/>
        <v>0</v>
      </c>
      <c r="BE29" s="575">
        <f t="shared" si="34"/>
        <v>0</v>
      </c>
      <c r="BF29" s="580">
        <f t="shared" si="35"/>
        <v>0</v>
      </c>
      <c r="BG29" s="574">
        <f t="shared" si="15"/>
        <v>0</v>
      </c>
      <c r="BH29" s="575">
        <f t="shared" si="16"/>
        <v>0</v>
      </c>
      <c r="BI29" s="580">
        <f t="shared" si="17"/>
        <v>0</v>
      </c>
      <c r="BK29" s="290"/>
      <c r="BL29" s="573" t="s">
        <v>99</v>
      </c>
      <c r="BM29" s="574">
        <f>K117/1000</f>
        <v>0</v>
      </c>
      <c r="BN29" s="575">
        <f>BM29*$AN$23</f>
        <v>0</v>
      </c>
      <c r="BO29" s="576">
        <f t="shared" si="36"/>
        <v>0</v>
      </c>
      <c r="BP29" s="576">
        <f t="shared" si="37"/>
        <v>0</v>
      </c>
      <c r="BQ29" s="574">
        <f t="shared" si="38"/>
        <v>0</v>
      </c>
      <c r="BR29" s="575">
        <f t="shared" si="39"/>
        <v>0</v>
      </c>
      <c r="BS29" s="580">
        <f t="shared" si="40"/>
        <v>0</v>
      </c>
      <c r="BT29" s="574">
        <f t="shared" si="41"/>
        <v>0</v>
      </c>
      <c r="BU29" s="575">
        <f t="shared" si="42"/>
        <v>0</v>
      </c>
      <c r="BV29" s="580">
        <f t="shared" si="43"/>
        <v>0</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36">
        <f>$W$29</f>
        <v>0.83299999999999996</v>
      </c>
      <c r="Y30" s="536">
        <f>$W$29</f>
        <v>0.83299999999999996</v>
      </c>
      <c r="Z30" s="318"/>
      <c r="AA30" s="390"/>
      <c r="AB30" s="329"/>
      <c r="AC30" s="319">
        <f>1-AC29</f>
        <v>0.5</v>
      </c>
      <c r="AD30" s="319">
        <f>1-AD29</f>
        <v>0.5</v>
      </c>
      <c r="AE30" s="329">
        <v>5</v>
      </c>
      <c r="AG30" s="236">
        <f t="shared" si="8"/>
        <v>0</v>
      </c>
      <c r="AH30" s="236">
        <f t="shared" si="9"/>
        <v>0</v>
      </c>
      <c r="AI30" s="236">
        <f t="shared" si="10"/>
        <v>0</v>
      </c>
      <c r="AJ30" s="236"/>
      <c r="AK30" s="354"/>
      <c r="AL30" s="573" t="s">
        <v>107</v>
      </c>
      <c r="AM30" s="574"/>
      <c r="AN30" s="575"/>
      <c r="AO30" s="576"/>
      <c r="AP30" s="576"/>
      <c r="AQ30" s="596">
        <f t="shared" si="28"/>
        <v>0</v>
      </c>
      <c r="AR30" s="576">
        <f t="shared" si="29"/>
        <v>0</v>
      </c>
      <c r="AS30" s="577">
        <f t="shared" si="30"/>
        <v>0</v>
      </c>
      <c r="AT30" s="574"/>
      <c r="AU30" s="575"/>
      <c r="AV30" s="580"/>
      <c r="AX30" s="354"/>
      <c r="AY30" s="573" t="s">
        <v>107</v>
      </c>
      <c r="AZ30" s="574"/>
      <c r="BA30" s="575"/>
      <c r="BB30" s="576"/>
      <c r="BC30" s="576"/>
      <c r="BD30" s="574">
        <f t="shared" si="33"/>
        <v>0</v>
      </c>
      <c r="BE30" s="575">
        <f t="shared" si="34"/>
        <v>0</v>
      </c>
      <c r="BF30" s="580">
        <f t="shared" si="35"/>
        <v>0</v>
      </c>
      <c r="BG30" s="574">
        <f t="shared" si="15"/>
        <v>0</v>
      </c>
      <c r="BH30" s="575">
        <f t="shared" si="16"/>
        <v>0</v>
      </c>
      <c r="BI30" s="580">
        <f t="shared" si="17"/>
        <v>0</v>
      </c>
      <c r="BK30" s="354"/>
      <c r="BL30" s="573" t="s">
        <v>107</v>
      </c>
      <c r="BM30" s="574"/>
      <c r="BN30" s="575"/>
      <c r="BO30" s="576"/>
      <c r="BP30" s="576"/>
      <c r="BQ30" s="574">
        <f t="shared" si="38"/>
        <v>0</v>
      </c>
      <c r="BR30" s="575">
        <f t="shared" si="39"/>
        <v>0</v>
      </c>
      <c r="BS30" s="580">
        <f t="shared" si="40"/>
        <v>0</v>
      </c>
      <c r="BT30" s="574">
        <f t="shared" si="41"/>
        <v>0</v>
      </c>
      <c r="BU30" s="575">
        <f t="shared" si="42"/>
        <v>0</v>
      </c>
      <c r="BV30" s="580">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0</v>
      </c>
      <c r="H31" s="322">
        <f t="shared" si="19"/>
        <v>0</v>
      </c>
      <c r="I31" s="322">
        <f t="shared" si="20"/>
        <v>0</v>
      </c>
      <c r="J31" s="322">
        <f t="shared" si="21"/>
        <v>0</v>
      </c>
      <c r="K31" s="322">
        <f t="shared" si="22"/>
        <v>0</v>
      </c>
      <c r="L31" s="322">
        <f t="shared" si="23"/>
        <v>0</v>
      </c>
      <c r="M31" s="322">
        <f t="shared" si="24"/>
        <v>0</v>
      </c>
      <c r="N31" s="322">
        <f t="shared" si="25"/>
        <v>0</v>
      </c>
      <c r="O31" s="322">
        <f t="shared" si="26"/>
        <v>0</v>
      </c>
      <c r="P31" s="322">
        <f t="shared" si="1"/>
        <v>0</v>
      </c>
      <c r="Q31" s="322">
        <f t="shared" si="2"/>
        <v>0</v>
      </c>
      <c r="R31" s="322">
        <f t="shared" si="3"/>
        <v>0</v>
      </c>
      <c r="S31" s="322">
        <f t="shared" si="4"/>
        <v>0</v>
      </c>
      <c r="T31" s="322">
        <f t="shared" si="5"/>
        <v>0</v>
      </c>
      <c r="U31" s="322">
        <f t="shared" si="6"/>
        <v>0</v>
      </c>
      <c r="V31" s="322">
        <v>5</v>
      </c>
      <c r="W31" s="343">
        <f>J131</f>
        <v>0.98</v>
      </c>
      <c r="X31" s="536">
        <f t="shared" ref="X31:Y34" si="44">W31</f>
        <v>0.98</v>
      </c>
      <c r="Y31" s="536">
        <f t="shared" si="44"/>
        <v>0.98</v>
      </c>
      <c r="Z31" s="319">
        <f t="shared" ref="Z31:Z36" si="45">3.6*8760/1000000</f>
        <v>3.1536000000000002E-2</v>
      </c>
      <c r="AA31" s="390">
        <f t="shared" ref="AA31:AA41" si="46">$AA$26</f>
        <v>0.5</v>
      </c>
      <c r="AB31" s="329">
        <v>20</v>
      </c>
      <c r="AC31" s="319"/>
      <c r="AD31" s="319"/>
      <c r="AE31" s="329"/>
      <c r="AG31" s="236">
        <f t="shared" si="8"/>
        <v>0</v>
      </c>
      <c r="AH31" s="236">
        <f t="shared" si="9"/>
        <v>0</v>
      </c>
      <c r="AI31" s="236">
        <f t="shared" si="10"/>
        <v>0</v>
      </c>
      <c r="AJ31" s="236"/>
      <c r="AK31" s="290"/>
      <c r="AL31" s="573" t="s">
        <v>100</v>
      </c>
      <c r="AM31" s="574">
        <f>J77/1000</f>
        <v>0</v>
      </c>
      <c r="AN31" s="575">
        <f t="shared" ref="AN31:AN41" si="47">AM31*$AN$23</f>
        <v>0</v>
      </c>
      <c r="AO31" s="576">
        <f t="shared" ref="AO31:AO33" si="48">AM31*$AO$23</f>
        <v>0</v>
      </c>
      <c r="AP31" s="576">
        <f t="shared" ref="AP31:AP37" si="49">AM31*$AP$23</f>
        <v>0</v>
      </c>
      <c r="AQ31" s="596">
        <f t="shared" si="28"/>
        <v>0</v>
      </c>
      <c r="AR31" s="576">
        <f t="shared" si="29"/>
        <v>0</v>
      </c>
      <c r="AS31" s="577">
        <f>IFERROR(I31*$Z31*$AA31/I$21,0)</f>
        <v>0</v>
      </c>
      <c r="AT31" s="574">
        <f t="shared" ref="AT31:AV34" si="50">IFERROR(AQ31/W31,0)</f>
        <v>0</v>
      </c>
      <c r="AU31" s="575">
        <f t="shared" si="50"/>
        <v>0</v>
      </c>
      <c r="AV31" s="580">
        <f t="shared" si="50"/>
        <v>0</v>
      </c>
      <c r="AX31" s="290"/>
      <c r="AY31" s="573" t="s">
        <v>100</v>
      </c>
      <c r="AZ31" s="574">
        <f>J97/1000</f>
        <v>0</v>
      </c>
      <c r="BA31" s="575">
        <f>AZ31*$AN$23</f>
        <v>0</v>
      </c>
      <c r="BB31" s="576">
        <f>AZ31*$BB$23</f>
        <v>0</v>
      </c>
      <c r="BC31" s="576">
        <f>AZ31*$BC$23</f>
        <v>0</v>
      </c>
      <c r="BD31" s="574">
        <f t="shared" si="33"/>
        <v>0</v>
      </c>
      <c r="BE31" s="575">
        <f t="shared" si="34"/>
        <v>0</v>
      </c>
      <c r="BF31" s="580">
        <f t="shared" si="35"/>
        <v>0</v>
      </c>
      <c r="BG31" s="574">
        <f t="shared" si="15"/>
        <v>0</v>
      </c>
      <c r="BH31" s="575">
        <f t="shared" si="16"/>
        <v>0</v>
      </c>
      <c r="BI31" s="580">
        <f t="shared" si="17"/>
        <v>0</v>
      </c>
      <c r="BK31" s="290"/>
      <c r="BL31" s="573" t="s">
        <v>100</v>
      </c>
      <c r="BM31" s="574">
        <f>J117/1000</f>
        <v>0</v>
      </c>
      <c r="BN31" s="575">
        <f>BM31*$AN$23</f>
        <v>0</v>
      </c>
      <c r="BO31" s="576">
        <f>BM31*$BB$23</f>
        <v>0</v>
      </c>
      <c r="BP31" s="576">
        <f>BM31*$BC$23</f>
        <v>0</v>
      </c>
      <c r="BQ31" s="574">
        <f t="shared" si="38"/>
        <v>0</v>
      </c>
      <c r="BR31" s="575">
        <f t="shared" si="39"/>
        <v>0</v>
      </c>
      <c r="BS31" s="580">
        <f t="shared" si="40"/>
        <v>0</v>
      </c>
      <c r="BT31" s="574">
        <f t="shared" si="41"/>
        <v>0</v>
      </c>
      <c r="BU31" s="575">
        <f t="shared" si="42"/>
        <v>0</v>
      </c>
      <c r="BV31" s="580">
        <f t="shared" si="43"/>
        <v>0</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36">
        <f t="shared" si="44"/>
        <v>0.93099999999999994</v>
      </c>
      <c r="Y32" s="536">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73" t="s">
        <v>101</v>
      </c>
      <c r="AM32" s="574">
        <f>E77/1000</f>
        <v>0.36313200000000001</v>
      </c>
      <c r="AN32" s="575">
        <f t="shared" si="47"/>
        <v>0.32681880000000002</v>
      </c>
      <c r="AO32" s="576">
        <f>AM32*$AO$23</f>
        <v>1.8156600000000002E-2</v>
      </c>
      <c r="AP32" s="576">
        <f t="shared" si="49"/>
        <v>1.8156600000000002E-2</v>
      </c>
      <c r="AQ32" s="596">
        <f t="shared" si="28"/>
        <v>0.30427041758241763</v>
      </c>
      <c r="AR32" s="576">
        <f t="shared" si="29"/>
        <v>1.6917914085914084E-2</v>
      </c>
      <c r="AS32" s="577">
        <f t="shared" si="30"/>
        <v>1.6917914085914084E-2</v>
      </c>
      <c r="AT32" s="574">
        <f t="shared" si="50"/>
        <v>0.32682107151709738</v>
      </c>
      <c r="AU32" s="575">
        <f t="shared" si="50"/>
        <v>1.8171765935460885E-2</v>
      </c>
      <c r="AV32" s="580">
        <f t="shared" si="50"/>
        <v>1.8171765935460885E-2</v>
      </c>
      <c r="AX32" s="290"/>
      <c r="AY32" s="573" t="s">
        <v>101</v>
      </c>
      <c r="AZ32" s="574">
        <f>E97/1000</f>
        <v>8.1470000000000001E-2</v>
      </c>
      <c r="BA32" s="575">
        <f>AZ32*$AN$23</f>
        <v>7.3322999999999999E-2</v>
      </c>
      <c r="BB32" s="576">
        <f t="shared" ref="BB32:BB34" si="51">AZ32*$BB$23</f>
        <v>4.0734999999999999E-3</v>
      </c>
      <c r="BC32" s="576">
        <f t="shared" ref="BC32:BC34" si="52">AZ32*$BC$23</f>
        <v>4.0734999999999999E-3</v>
      </c>
      <c r="BD32" s="574">
        <f>IFERROR(J32*$Z32*AA32/J$21,0)</f>
        <v>6.8270756435643565E-2</v>
      </c>
      <c r="BE32" s="575">
        <f t="shared" si="34"/>
        <v>3.7936871287128711E-3</v>
      </c>
      <c r="BF32" s="580">
        <f t="shared" si="35"/>
        <v>3.7936871287128711E-3</v>
      </c>
      <c r="BG32" s="574">
        <f t="shared" si="15"/>
        <v>7.3330565451819082E-2</v>
      </c>
      <c r="BH32" s="575">
        <f t="shared" si="16"/>
        <v>4.0748519105401407E-3</v>
      </c>
      <c r="BI32" s="580">
        <f t="shared" si="17"/>
        <v>4.0748519105401407E-3</v>
      </c>
      <c r="BK32" s="290"/>
      <c r="BL32" s="573" t="s">
        <v>101</v>
      </c>
      <c r="BM32" s="574">
        <f>E117/1000</f>
        <v>4.0343000000000004E-2</v>
      </c>
      <c r="BN32" s="575">
        <f>BM32*$AN$23</f>
        <v>3.6308700000000006E-2</v>
      </c>
      <c r="BO32" s="576">
        <f t="shared" ref="BO32:BO62" si="53">BM32*$BB$23</f>
        <v>2.0171500000000001E-3</v>
      </c>
      <c r="BP32" s="576">
        <f t="shared" ref="BP32:BP62" si="54">BM32*$BC$23</f>
        <v>2.0171500000000001E-3</v>
      </c>
      <c r="BQ32" s="574">
        <f t="shared" si="38"/>
        <v>3.3815334653465347E-2</v>
      </c>
      <c r="BR32" s="575">
        <f t="shared" si="39"/>
        <v>1.8890376237623763E-3</v>
      </c>
      <c r="BS32" s="580">
        <f t="shared" si="40"/>
        <v>1.8890376237623763E-3</v>
      </c>
      <c r="BT32" s="574">
        <f t="shared" si="41"/>
        <v>3.632151949888867E-2</v>
      </c>
      <c r="BU32" s="575">
        <f t="shared" si="42"/>
        <v>2.029041486318342E-3</v>
      </c>
      <c r="BV32" s="580">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f t="shared" si="24"/>
        <v>6.0840000000000005</v>
      </c>
      <c r="N33" s="322">
        <f t="shared" si="25"/>
        <v>0.33800000000000002</v>
      </c>
      <c r="O33" s="322">
        <f t="shared" si="26"/>
        <v>0.33800000000000002</v>
      </c>
      <c r="P33" s="322">
        <f t="shared" si="1"/>
        <v>6.0840000000000005</v>
      </c>
      <c r="Q33" s="322">
        <f t="shared" si="2"/>
        <v>0.33800000000000002</v>
      </c>
      <c r="R33" s="322">
        <f t="shared" si="3"/>
        <v>0.33800000000000002</v>
      </c>
      <c r="S33" s="322">
        <f t="shared" si="4"/>
        <v>0</v>
      </c>
      <c r="T33" s="322">
        <f t="shared" si="5"/>
        <v>0</v>
      </c>
      <c r="U33" s="322">
        <f t="shared" si="6"/>
        <v>0</v>
      </c>
      <c r="V33" s="322">
        <v>5</v>
      </c>
      <c r="W33" s="343">
        <f>H131</f>
        <v>0.98</v>
      </c>
      <c r="X33" s="536">
        <f t="shared" si="44"/>
        <v>0.98</v>
      </c>
      <c r="Y33" s="536">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f t="shared" si="10"/>
        <v>0.10230561325520308</v>
      </c>
      <c r="AJ33" s="236"/>
      <c r="AK33" s="290"/>
      <c r="AL33" s="573" t="s">
        <v>53</v>
      </c>
      <c r="AM33" s="574">
        <f>H77/1000</f>
        <v>0.39126350000000004</v>
      </c>
      <c r="AN33" s="575">
        <f t="shared" si="47"/>
        <v>0.35213715000000007</v>
      </c>
      <c r="AO33" s="576">
        <f t="shared" si="48"/>
        <v>1.9563175000000002E-2</v>
      </c>
      <c r="AP33" s="576">
        <f t="shared" si="49"/>
        <v>1.9563175000000002E-2</v>
      </c>
      <c r="AQ33" s="596">
        <f t="shared" si="28"/>
        <v>0.34510024375624382</v>
      </c>
      <c r="AR33" s="576">
        <f t="shared" si="29"/>
        <v>1.9186237762237768E-2</v>
      </c>
      <c r="AS33" s="577">
        <f t="shared" si="30"/>
        <v>1.9186237762237768E-2</v>
      </c>
      <c r="AT33" s="574">
        <f t="shared" si="50"/>
        <v>0.35214310587371817</v>
      </c>
      <c r="AU33" s="575">
        <f t="shared" si="50"/>
        <v>1.9577793634936499E-2</v>
      </c>
      <c r="AV33" s="580">
        <f t="shared" si="50"/>
        <v>1.9577793634936499E-2</v>
      </c>
      <c r="AX33" s="290"/>
      <c r="AY33" s="573" t="s">
        <v>53</v>
      </c>
      <c r="AZ33" s="574">
        <f>H97/1000</f>
        <v>6.8049000000000012E-2</v>
      </c>
      <c r="BA33" s="575">
        <f>AZ33*$AN$23</f>
        <v>6.124410000000001E-2</v>
      </c>
      <c r="BB33" s="576">
        <f t="shared" si="51"/>
        <v>3.4024500000000009E-3</v>
      </c>
      <c r="BC33" s="576">
        <f t="shared" si="52"/>
        <v>3.4024500000000009E-3</v>
      </c>
      <c r="BD33" s="574">
        <f t="shared" si="33"/>
        <v>6.0027683168316831E-2</v>
      </c>
      <c r="BE33" s="575">
        <f t="shared" si="34"/>
        <v>3.3409425742574259E-3</v>
      </c>
      <c r="BF33" s="580">
        <f t="shared" si="35"/>
        <v>3.3409425742574259E-3</v>
      </c>
      <c r="BG33" s="574">
        <f t="shared" si="15"/>
        <v>6.1252737926853908E-2</v>
      </c>
      <c r="BH33" s="575">
        <f t="shared" si="16"/>
        <v>3.4091250757728835E-3</v>
      </c>
      <c r="BI33" s="580">
        <f t="shared" si="17"/>
        <v>3.4091250757728835E-3</v>
      </c>
      <c r="BK33" s="290"/>
      <c r="BL33" s="573" t="s">
        <v>53</v>
      </c>
      <c r="BM33" s="574">
        <f>H117/1000</f>
        <v>0.107685</v>
      </c>
      <c r="BN33" s="575">
        <f>BM33*$AN$23</f>
        <v>9.6916500000000003E-2</v>
      </c>
      <c r="BO33" s="576">
        <f t="shared" si="53"/>
        <v>5.3842500000000001E-3</v>
      </c>
      <c r="BP33" s="576">
        <f t="shared" si="54"/>
        <v>5.3842500000000001E-3</v>
      </c>
      <c r="BQ33" s="574">
        <f t="shared" si="38"/>
        <v>9.4982685148514864E-2</v>
      </c>
      <c r="BR33" s="575">
        <f t="shared" si="39"/>
        <v>5.2768158415841589E-3</v>
      </c>
      <c r="BS33" s="580">
        <f t="shared" si="40"/>
        <v>5.2768158415841589E-3</v>
      </c>
      <c r="BT33" s="574">
        <f t="shared" si="41"/>
        <v>9.6921107294402925E-2</v>
      </c>
      <c r="BU33" s="575">
        <f t="shared" si="42"/>
        <v>5.384505960800162E-3</v>
      </c>
      <c r="BV33" s="580">
        <f t="shared" si="43"/>
        <v>5.384505960800162E-3</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36">
        <f t="shared" si="44"/>
        <v>0.93099999999999994</v>
      </c>
      <c r="Y34" s="536">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36"/>
      <c r="AK34" s="290"/>
      <c r="AL34" s="573" t="s">
        <v>102</v>
      </c>
      <c r="AM34" s="574">
        <f>$L77/1000</f>
        <v>0</v>
      </c>
      <c r="AN34" s="575">
        <f t="shared" si="47"/>
        <v>0</v>
      </c>
      <c r="AO34" s="576">
        <f t="shared" ref="AO34" si="55">AM34*$AO$23</f>
        <v>0</v>
      </c>
      <c r="AP34" s="576">
        <f t="shared" si="49"/>
        <v>0</v>
      </c>
      <c r="AQ34" s="596">
        <f t="shared" si="28"/>
        <v>0</v>
      </c>
      <c r="AR34" s="576">
        <f t="shared" si="29"/>
        <v>0</v>
      </c>
      <c r="AS34" s="577">
        <f t="shared" si="30"/>
        <v>0</v>
      </c>
      <c r="AT34" s="574">
        <f t="shared" si="50"/>
        <v>0</v>
      </c>
      <c r="AU34" s="575">
        <f t="shared" si="50"/>
        <v>0</v>
      </c>
      <c r="AV34" s="580">
        <f t="shared" si="50"/>
        <v>0</v>
      </c>
      <c r="AX34" s="290"/>
      <c r="AY34" s="573" t="s">
        <v>102</v>
      </c>
      <c r="AZ34" s="574">
        <f>$L97/1000</f>
        <v>0</v>
      </c>
      <c r="BA34" s="575">
        <f>AZ34*$AN$23</f>
        <v>0</v>
      </c>
      <c r="BB34" s="576">
        <f t="shared" si="51"/>
        <v>0</v>
      </c>
      <c r="BC34" s="576">
        <f t="shared" si="52"/>
        <v>0</v>
      </c>
      <c r="BD34" s="574">
        <f t="shared" si="33"/>
        <v>0</v>
      </c>
      <c r="BE34" s="575">
        <f t="shared" si="34"/>
        <v>0</v>
      </c>
      <c r="BF34" s="580">
        <f t="shared" si="35"/>
        <v>0</v>
      </c>
      <c r="BG34" s="574">
        <f t="shared" si="15"/>
        <v>0</v>
      </c>
      <c r="BH34" s="575">
        <f t="shared" si="16"/>
        <v>0</v>
      </c>
      <c r="BI34" s="580">
        <f t="shared" si="17"/>
        <v>0</v>
      </c>
      <c r="BK34" s="290"/>
      <c r="BL34" s="573" t="s">
        <v>102</v>
      </c>
      <c r="BM34" s="574">
        <f>$L117/1000</f>
        <v>0</v>
      </c>
      <c r="BN34" s="575">
        <f>BM34*$AN$23</f>
        <v>0</v>
      </c>
      <c r="BO34" s="576">
        <f t="shared" si="53"/>
        <v>0</v>
      </c>
      <c r="BP34" s="576">
        <f t="shared" si="54"/>
        <v>0</v>
      </c>
      <c r="BQ34" s="574">
        <f t="shared" si="38"/>
        <v>0</v>
      </c>
      <c r="BR34" s="575">
        <f t="shared" si="39"/>
        <v>0</v>
      </c>
      <c r="BS34" s="580">
        <f t="shared" si="40"/>
        <v>0</v>
      </c>
      <c r="BT34" s="574">
        <f t="shared" si="41"/>
        <v>0</v>
      </c>
      <c r="BU34" s="575">
        <f t="shared" si="42"/>
        <v>0</v>
      </c>
      <c r="BV34" s="580">
        <f t="shared" si="43"/>
        <v>0</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36">
        <f>$W$35</f>
        <v>0.94079999999999997</v>
      </c>
      <c r="Y35" s="536">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73" t="s">
        <v>103</v>
      </c>
      <c r="AM35" s="574">
        <f>N77/1000</f>
        <v>0</v>
      </c>
      <c r="AN35" s="627">
        <f>AM35</f>
        <v>0</v>
      </c>
      <c r="AO35" s="628">
        <v>0</v>
      </c>
      <c r="AP35" s="628">
        <v>0</v>
      </c>
      <c r="AQ35" s="596">
        <f t="shared" si="28"/>
        <v>0</v>
      </c>
      <c r="AR35" s="576">
        <f t="shared" si="29"/>
        <v>0</v>
      </c>
      <c r="AS35" s="577">
        <f t="shared" si="30"/>
        <v>0</v>
      </c>
      <c r="AT35" s="574">
        <f>AN35-AQ35</f>
        <v>0</v>
      </c>
      <c r="AU35" s="575">
        <f>AO35-AR35</f>
        <v>0</v>
      </c>
      <c r="AV35" s="580">
        <f>AP35-AS35</f>
        <v>0</v>
      </c>
      <c r="AX35" s="290"/>
      <c r="AY35" s="573" t="s">
        <v>103</v>
      </c>
      <c r="AZ35" s="574">
        <f>N97/1000</f>
        <v>0</v>
      </c>
      <c r="BA35" s="627">
        <f>AZ35</f>
        <v>0</v>
      </c>
      <c r="BB35" s="628">
        <v>0</v>
      </c>
      <c r="BC35" s="628">
        <v>0</v>
      </c>
      <c r="BD35" s="574">
        <f t="shared" si="33"/>
        <v>0</v>
      </c>
      <c r="BE35" s="575">
        <f t="shared" si="34"/>
        <v>0</v>
      </c>
      <c r="BF35" s="580">
        <f t="shared" si="35"/>
        <v>0</v>
      </c>
      <c r="BG35" s="574">
        <f t="shared" si="15"/>
        <v>0</v>
      </c>
      <c r="BH35" s="575">
        <f t="shared" si="16"/>
        <v>0</v>
      </c>
      <c r="BI35" s="580">
        <f t="shared" si="17"/>
        <v>0</v>
      </c>
      <c r="BK35" s="290"/>
      <c r="BL35" s="573" t="s">
        <v>103</v>
      </c>
      <c r="BM35" s="574">
        <f>N117/1000</f>
        <v>0</v>
      </c>
      <c r="BN35" s="627">
        <f>BM35</f>
        <v>0</v>
      </c>
      <c r="BO35" s="628">
        <v>0</v>
      </c>
      <c r="BP35" s="628">
        <v>0</v>
      </c>
      <c r="BQ35" s="574">
        <f t="shared" si="38"/>
        <v>0</v>
      </c>
      <c r="BR35" s="575">
        <f t="shared" si="39"/>
        <v>0</v>
      </c>
      <c r="BS35" s="580">
        <f t="shared" si="40"/>
        <v>0</v>
      </c>
      <c r="BT35" s="574">
        <f t="shared" si="41"/>
        <v>0</v>
      </c>
      <c r="BU35" s="575">
        <f t="shared" si="42"/>
        <v>0</v>
      </c>
      <c r="BV35" s="580">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36">
        <f>$W$35</f>
        <v>0.94079999999999997</v>
      </c>
      <c r="Y36" s="536">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73" t="s">
        <v>104</v>
      </c>
      <c r="AM36" s="574"/>
      <c r="AN36" s="627">
        <f>AM36</f>
        <v>0</v>
      </c>
      <c r="AO36" s="628">
        <v>0</v>
      </c>
      <c r="AP36" s="628">
        <v>0</v>
      </c>
      <c r="AQ36" s="596">
        <f t="shared" si="28"/>
        <v>0</v>
      </c>
      <c r="AR36" s="576">
        <f t="shared" si="29"/>
        <v>0</v>
      </c>
      <c r="AS36" s="577">
        <f t="shared" si="30"/>
        <v>0</v>
      </c>
      <c r="AT36" s="574"/>
      <c r="AU36" s="575"/>
      <c r="AV36" s="580"/>
      <c r="AX36" s="290"/>
      <c r="AY36" s="573" t="s">
        <v>104</v>
      </c>
      <c r="AZ36" s="574"/>
      <c r="BA36" s="627">
        <f>AZ36</f>
        <v>0</v>
      </c>
      <c r="BB36" s="628">
        <v>0</v>
      </c>
      <c r="BC36" s="628">
        <v>0</v>
      </c>
      <c r="BD36" s="574">
        <f t="shared" si="33"/>
        <v>0</v>
      </c>
      <c r="BE36" s="575">
        <f t="shared" si="34"/>
        <v>0</v>
      </c>
      <c r="BF36" s="580">
        <f t="shared" si="35"/>
        <v>0</v>
      </c>
      <c r="BG36" s="574"/>
      <c r="BH36" s="575"/>
      <c r="BI36" s="580"/>
      <c r="BK36" s="290"/>
      <c r="BL36" s="573" t="s">
        <v>104</v>
      </c>
      <c r="BM36" s="574"/>
      <c r="BN36" s="627">
        <f>BM36</f>
        <v>0</v>
      </c>
      <c r="BO36" s="628">
        <v>0</v>
      </c>
      <c r="BP36" s="628">
        <v>0</v>
      </c>
      <c r="BQ36" s="574">
        <f t="shared" si="38"/>
        <v>0</v>
      </c>
      <c r="BR36" s="575">
        <f t="shared" si="39"/>
        <v>0</v>
      </c>
      <c r="BS36" s="580">
        <f t="shared" si="40"/>
        <v>0</v>
      </c>
      <c r="BT36" s="574"/>
      <c r="BU36" s="575"/>
      <c r="BV36" s="580"/>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327.22799999999995</v>
      </c>
      <c r="N37" s="324">
        <f t="shared" si="25"/>
        <v>18.18</v>
      </c>
      <c r="O37" s="324">
        <f t="shared" si="26"/>
        <v>18.18</v>
      </c>
      <c r="P37" s="324">
        <f t="shared" si="1"/>
        <v>327.22799999999995</v>
      </c>
      <c r="Q37" s="324">
        <f t="shared" si="2"/>
        <v>18.18</v>
      </c>
      <c r="R37" s="324">
        <f t="shared" si="3"/>
        <v>18.18</v>
      </c>
      <c r="S37" s="324">
        <f t="shared" si="4"/>
        <v>0</v>
      </c>
      <c r="T37" s="324">
        <f t="shared" si="5"/>
        <v>0</v>
      </c>
      <c r="U37" s="324">
        <f t="shared" si="6"/>
        <v>0</v>
      </c>
      <c r="V37" s="572">
        <v>5</v>
      </c>
      <c r="W37" s="345">
        <f>M131</f>
        <v>0.93099999999999994</v>
      </c>
      <c r="X37" s="537">
        <f t="shared" ref="X37:Y50" si="56">W37</f>
        <v>0.93099999999999994</v>
      </c>
      <c r="Y37" s="537">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5.7921253033574036</v>
      </c>
      <c r="AJ37" s="236"/>
      <c r="AK37" s="352"/>
      <c r="AL37" s="581" t="s">
        <v>61</v>
      </c>
      <c r="AM37" s="582">
        <f>M77/1000</f>
        <v>6.3003600000000004</v>
      </c>
      <c r="AN37" s="575">
        <f t="shared" si="47"/>
        <v>5.6703240000000008</v>
      </c>
      <c r="AO37" s="576">
        <f t="shared" ref="AO37" si="58">AM37*$AO$23</f>
        <v>0.31501800000000002</v>
      </c>
      <c r="AP37" s="576">
        <f t="shared" si="49"/>
        <v>0.31501800000000002</v>
      </c>
      <c r="AQ37" s="596">
        <f t="shared" si="28"/>
        <v>5.2790822937062938</v>
      </c>
      <c r="AR37" s="576">
        <f t="shared" si="29"/>
        <v>0.29329110089910093</v>
      </c>
      <c r="AS37" s="577">
        <f t="shared" si="30"/>
        <v>0.29329110089910093</v>
      </c>
      <c r="AT37" s="582">
        <f t="shared" ref="AT37:AV41" si="59">IFERROR(AQ37/W37,0)</f>
        <v>5.6703354389970935</v>
      </c>
      <c r="AU37" s="583">
        <f t="shared" si="59"/>
        <v>0.31502803533738016</v>
      </c>
      <c r="AV37" s="584">
        <f t="shared" si="59"/>
        <v>0.31502803533738016</v>
      </c>
      <c r="AX37" s="352"/>
      <c r="AY37" s="581" t="s">
        <v>61</v>
      </c>
      <c r="AZ37" s="582">
        <f>M97/1000</f>
        <v>6.2067600000000001</v>
      </c>
      <c r="BA37" s="575">
        <f>AZ37*$AN$23</f>
        <v>5.5860840000000005</v>
      </c>
      <c r="BB37" s="576">
        <f t="shared" ref="BB37:BB62" si="60">AZ37*$BB$23</f>
        <v>0.310338</v>
      </c>
      <c r="BC37" s="576">
        <f t="shared" ref="BC37:BC62" si="61">AZ37*$BC$23</f>
        <v>0.310338</v>
      </c>
      <c r="BD37" s="582">
        <f t="shared" si="33"/>
        <v>5.2006454732673264</v>
      </c>
      <c r="BE37" s="583">
        <f t="shared" si="34"/>
        <v>0.2889290851485149</v>
      </c>
      <c r="BF37" s="584">
        <f>IFERROR(L37*$Z37*AA37/L$21,0)</f>
        <v>0.2889290851485149</v>
      </c>
      <c r="BG37" s="582">
        <f t="shared" ref="BG37:BG56" si="62">IFERROR(BD37/W37,0)</f>
        <v>5.5860853633376228</v>
      </c>
      <c r="BH37" s="583">
        <f t="shared" ref="BH37:BH56" si="63">IFERROR(BE37/X37,0)</f>
        <v>0.31034273377928562</v>
      </c>
      <c r="BI37" s="584">
        <f t="shared" ref="BI37:BI56" si="64">IFERROR(BF37/Y37,0)</f>
        <v>0.31034273377928562</v>
      </c>
      <c r="BK37" s="352"/>
      <c r="BL37" s="581" t="s">
        <v>61</v>
      </c>
      <c r="BM37" s="582">
        <f>M117/1000</f>
        <v>6.0969600000000002</v>
      </c>
      <c r="BN37" s="575">
        <f>BM37*$AN$23</f>
        <v>5.4872640000000006</v>
      </c>
      <c r="BO37" s="576">
        <f t="shared" si="53"/>
        <v>0.30484800000000001</v>
      </c>
      <c r="BP37" s="576">
        <f t="shared" si="54"/>
        <v>0.30484800000000001</v>
      </c>
      <c r="BQ37" s="582">
        <f t="shared" si="38"/>
        <v>5.1086446574257423</v>
      </c>
      <c r="BR37" s="583">
        <f t="shared" si="39"/>
        <v>0.28382400000000002</v>
      </c>
      <c r="BS37" s="584">
        <f t="shared" si="40"/>
        <v>0.28382400000000002</v>
      </c>
      <c r="BT37" s="582">
        <f t="shared" ref="BT37:BT56" si="65">IFERROR(BQ37/W37,0)</f>
        <v>5.4872660122725483</v>
      </c>
      <c r="BU37" s="583">
        <f t="shared" ref="BU37:BU56" si="66">IFERROR(BR37/X37,0)</f>
        <v>0.30485929108485504</v>
      </c>
      <c r="BV37" s="584">
        <f t="shared" ref="BV37:BV56" si="67">IFERROR(BS37/Y37,0)</f>
        <v>0.30485929108485504</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36">
        <f t="shared" si="56"/>
        <v>0.96039999999999992</v>
      </c>
      <c r="Y38" s="536">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44" t="str">
        <f ca="1">F38</f>
        <v>IODCO</v>
      </c>
      <c r="AL38" s="585" t="s">
        <v>97</v>
      </c>
      <c r="AM38" s="586">
        <f>I78/1000</f>
        <v>0</v>
      </c>
      <c r="AN38" s="579">
        <f t="shared" si="47"/>
        <v>0</v>
      </c>
      <c r="AO38" s="579">
        <f>AM38*(1-$AN$23)</f>
        <v>0</v>
      </c>
      <c r="AP38" s="579"/>
      <c r="AQ38" s="578">
        <f t="shared" si="28"/>
        <v>0</v>
      </c>
      <c r="AR38" s="579">
        <f t="shared" si="29"/>
        <v>0</v>
      </c>
      <c r="AS38" s="587">
        <f t="shared" si="30"/>
        <v>0</v>
      </c>
      <c r="AT38" s="586">
        <f t="shared" si="59"/>
        <v>0</v>
      </c>
      <c r="AU38" s="588">
        <f t="shared" si="59"/>
        <v>0</v>
      </c>
      <c r="AV38" s="589">
        <f t="shared" si="59"/>
        <v>0</v>
      </c>
      <c r="AX38" s="544" t="str">
        <f t="shared" ca="1" si="12"/>
        <v>IODCO</v>
      </c>
      <c r="AY38" s="585" t="s">
        <v>97</v>
      </c>
      <c r="AZ38" s="586">
        <f>I98/1000</f>
        <v>0</v>
      </c>
      <c r="BA38" s="579">
        <f>AZ38*$AN$23</f>
        <v>0</v>
      </c>
      <c r="BB38" s="579">
        <f t="shared" si="60"/>
        <v>0</v>
      </c>
      <c r="BC38" s="579">
        <f t="shared" si="61"/>
        <v>0</v>
      </c>
      <c r="BD38" s="586">
        <f t="shared" si="33"/>
        <v>0</v>
      </c>
      <c r="BE38" s="588">
        <f t="shared" si="34"/>
        <v>0</v>
      </c>
      <c r="BF38" s="589">
        <f t="shared" si="35"/>
        <v>0</v>
      </c>
      <c r="BG38" s="586">
        <f t="shared" si="62"/>
        <v>0</v>
      </c>
      <c r="BH38" s="588">
        <f t="shared" si="63"/>
        <v>0</v>
      </c>
      <c r="BI38" s="589">
        <f t="shared" si="64"/>
        <v>0</v>
      </c>
      <c r="BK38" s="544" t="str">
        <f ca="1">AK38</f>
        <v>IODCO</v>
      </c>
      <c r="BL38" s="585" t="s">
        <v>97</v>
      </c>
      <c r="BM38" s="586">
        <f>I118/1000</f>
        <v>0</v>
      </c>
      <c r="BN38" s="579">
        <f>BM38*$AN$23</f>
        <v>0</v>
      </c>
      <c r="BO38" s="579">
        <f t="shared" si="53"/>
        <v>0</v>
      </c>
      <c r="BP38" s="579">
        <f t="shared" si="54"/>
        <v>0</v>
      </c>
      <c r="BQ38" s="586">
        <f t="shared" si="38"/>
        <v>0</v>
      </c>
      <c r="BR38" s="588">
        <f t="shared" si="39"/>
        <v>0</v>
      </c>
      <c r="BS38" s="589">
        <f t="shared" si="40"/>
        <v>0</v>
      </c>
      <c r="BT38" s="586">
        <f t="shared" si="65"/>
        <v>0</v>
      </c>
      <c r="BU38" s="588">
        <f t="shared" si="66"/>
        <v>0</v>
      </c>
      <c r="BV38" s="589">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36">
        <f t="shared" si="56"/>
        <v>0.91237999999999997</v>
      </c>
      <c r="Y39" s="536">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73" t="s">
        <v>98</v>
      </c>
      <c r="AM39" s="574">
        <f>D78/1000</f>
        <v>0</v>
      </c>
      <c r="AN39" s="576">
        <f t="shared" si="47"/>
        <v>0</v>
      </c>
      <c r="AO39" s="576">
        <f>AM39*(1-$AN$23)</f>
        <v>0</v>
      </c>
      <c r="AP39" s="576"/>
      <c r="AQ39" s="596">
        <f t="shared" si="28"/>
        <v>0</v>
      </c>
      <c r="AR39" s="576">
        <f t="shared" si="29"/>
        <v>0</v>
      </c>
      <c r="AS39" s="577">
        <f t="shared" si="30"/>
        <v>0</v>
      </c>
      <c r="AT39" s="574">
        <f t="shared" si="59"/>
        <v>0</v>
      </c>
      <c r="AU39" s="575">
        <f t="shared" si="59"/>
        <v>0</v>
      </c>
      <c r="AV39" s="580">
        <f t="shared" si="59"/>
        <v>0</v>
      </c>
      <c r="AX39" s="290"/>
      <c r="AY39" s="573" t="s">
        <v>98</v>
      </c>
      <c r="AZ39" s="574">
        <f>D98/1000</f>
        <v>0</v>
      </c>
      <c r="BA39" s="576">
        <f>AZ39*$AN$23</f>
        <v>0</v>
      </c>
      <c r="BB39" s="576">
        <f t="shared" si="60"/>
        <v>0</v>
      </c>
      <c r="BC39" s="576">
        <f t="shared" si="61"/>
        <v>0</v>
      </c>
      <c r="BD39" s="574">
        <f t="shared" si="33"/>
        <v>0</v>
      </c>
      <c r="BE39" s="575">
        <f t="shared" si="34"/>
        <v>0</v>
      </c>
      <c r="BF39" s="580">
        <f t="shared" si="35"/>
        <v>0</v>
      </c>
      <c r="BG39" s="574">
        <f t="shared" si="62"/>
        <v>0</v>
      </c>
      <c r="BH39" s="575">
        <f t="shared" si="63"/>
        <v>0</v>
      </c>
      <c r="BI39" s="580">
        <f t="shared" si="64"/>
        <v>0</v>
      </c>
      <c r="BK39" s="290"/>
      <c r="BL39" s="573" t="s">
        <v>98</v>
      </c>
      <c r="BM39" s="574">
        <f>D118/1000</f>
        <v>0</v>
      </c>
      <c r="BN39" s="576">
        <f>BM39*$AN$23</f>
        <v>0</v>
      </c>
      <c r="BO39" s="576">
        <f t="shared" si="53"/>
        <v>0</v>
      </c>
      <c r="BP39" s="576">
        <f t="shared" si="54"/>
        <v>0</v>
      </c>
      <c r="BQ39" s="574">
        <f t="shared" si="38"/>
        <v>0</v>
      </c>
      <c r="BR39" s="575">
        <f t="shared" si="39"/>
        <v>0</v>
      </c>
      <c r="BS39" s="580">
        <f t="shared" si="40"/>
        <v>0</v>
      </c>
      <c r="BT39" s="574">
        <f t="shared" si="65"/>
        <v>0</v>
      </c>
      <c r="BU39" s="575">
        <f t="shared" si="66"/>
        <v>0</v>
      </c>
      <c r="BV39" s="580">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36">
        <f t="shared" si="56"/>
        <v>0.92198399999999991</v>
      </c>
      <c r="Y40" s="536">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73" t="s">
        <v>59</v>
      </c>
      <c r="AM40" s="574">
        <f>F78/1000</f>
        <v>0</v>
      </c>
      <c r="AN40" s="576">
        <f t="shared" si="47"/>
        <v>0</v>
      </c>
      <c r="AO40" s="576">
        <f>AM40*(1-$AN$23)</f>
        <v>0</v>
      </c>
      <c r="AP40" s="576"/>
      <c r="AQ40" s="596">
        <f t="shared" si="28"/>
        <v>0</v>
      </c>
      <c r="AR40" s="576">
        <f t="shared" si="29"/>
        <v>0</v>
      </c>
      <c r="AS40" s="577">
        <f t="shared" si="30"/>
        <v>0</v>
      </c>
      <c r="AT40" s="574">
        <f t="shared" si="59"/>
        <v>0</v>
      </c>
      <c r="AU40" s="575">
        <f t="shared" si="59"/>
        <v>0</v>
      </c>
      <c r="AV40" s="580">
        <f t="shared" si="59"/>
        <v>0</v>
      </c>
      <c r="AX40" s="290"/>
      <c r="AY40" s="573" t="s">
        <v>59</v>
      </c>
      <c r="AZ40" s="574">
        <f>F98/1000</f>
        <v>0</v>
      </c>
      <c r="BA40" s="576">
        <f>AZ40*$AN$23</f>
        <v>0</v>
      </c>
      <c r="BB40" s="576">
        <f t="shared" si="60"/>
        <v>0</v>
      </c>
      <c r="BC40" s="576">
        <f t="shared" si="61"/>
        <v>0</v>
      </c>
      <c r="BD40" s="574">
        <f t="shared" si="33"/>
        <v>0</v>
      </c>
      <c r="BE40" s="575">
        <f t="shared" si="34"/>
        <v>0</v>
      </c>
      <c r="BF40" s="580">
        <f t="shared" si="35"/>
        <v>0</v>
      </c>
      <c r="BG40" s="574">
        <f t="shared" si="62"/>
        <v>0</v>
      </c>
      <c r="BH40" s="575">
        <f t="shared" si="63"/>
        <v>0</v>
      </c>
      <c r="BI40" s="580">
        <f t="shared" si="64"/>
        <v>0</v>
      </c>
      <c r="BK40" s="290"/>
      <c r="BL40" s="573" t="s">
        <v>59</v>
      </c>
      <c r="BM40" s="574">
        <f>F118/1000</f>
        <v>0</v>
      </c>
      <c r="BN40" s="576">
        <f>BM40*$AN$23</f>
        <v>0</v>
      </c>
      <c r="BO40" s="576">
        <f t="shared" si="53"/>
        <v>0</v>
      </c>
      <c r="BP40" s="576">
        <f t="shared" si="54"/>
        <v>0</v>
      </c>
      <c r="BQ40" s="574">
        <f t="shared" si="38"/>
        <v>0</v>
      </c>
      <c r="BR40" s="575">
        <f t="shared" si="39"/>
        <v>0</v>
      </c>
      <c r="BS40" s="580">
        <f t="shared" si="40"/>
        <v>0</v>
      </c>
      <c r="BT40" s="574">
        <f t="shared" si="65"/>
        <v>0</v>
      </c>
      <c r="BU40" s="575">
        <f t="shared" si="66"/>
        <v>0</v>
      </c>
      <c r="BV40" s="580">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36">
        <f t="shared" si="56"/>
        <v>0.81633999999999995</v>
      </c>
      <c r="Y41" s="536">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73" t="s">
        <v>99</v>
      </c>
      <c r="AM41" s="574">
        <f>K78/1000</f>
        <v>0</v>
      </c>
      <c r="AN41" s="576">
        <f t="shared" si="47"/>
        <v>0</v>
      </c>
      <c r="AO41" s="576">
        <f>AM41*(1-$AN$23)</f>
        <v>0</v>
      </c>
      <c r="AP41" s="576"/>
      <c r="AQ41" s="596">
        <f t="shared" si="28"/>
        <v>0</v>
      </c>
      <c r="AR41" s="576">
        <f t="shared" si="29"/>
        <v>0</v>
      </c>
      <c r="AS41" s="577">
        <f t="shared" si="30"/>
        <v>0</v>
      </c>
      <c r="AT41" s="574">
        <f t="shared" si="59"/>
        <v>0</v>
      </c>
      <c r="AU41" s="575">
        <f t="shared" si="59"/>
        <v>0</v>
      </c>
      <c r="AV41" s="580">
        <f t="shared" si="59"/>
        <v>0</v>
      </c>
      <c r="AX41" s="290"/>
      <c r="AY41" s="573" t="s">
        <v>99</v>
      </c>
      <c r="AZ41" s="574">
        <f>K98/1000</f>
        <v>0</v>
      </c>
      <c r="BA41" s="576">
        <f>AZ41*$AN$23</f>
        <v>0</v>
      </c>
      <c r="BB41" s="576">
        <f t="shared" si="60"/>
        <v>0</v>
      </c>
      <c r="BC41" s="576">
        <f t="shared" si="61"/>
        <v>0</v>
      </c>
      <c r="BD41" s="574">
        <f t="shared" si="33"/>
        <v>0</v>
      </c>
      <c r="BE41" s="575">
        <f t="shared" si="34"/>
        <v>0</v>
      </c>
      <c r="BF41" s="580">
        <f t="shared" si="35"/>
        <v>0</v>
      </c>
      <c r="BG41" s="574">
        <f t="shared" si="62"/>
        <v>0</v>
      </c>
      <c r="BH41" s="575">
        <f t="shared" si="63"/>
        <v>0</v>
      </c>
      <c r="BI41" s="580">
        <f t="shared" si="64"/>
        <v>0</v>
      </c>
      <c r="BK41" s="290"/>
      <c r="BL41" s="573" t="s">
        <v>99</v>
      </c>
      <c r="BM41" s="574">
        <f>K118/1000</f>
        <v>0</v>
      </c>
      <c r="BN41" s="576">
        <f>BM41*$AN$23</f>
        <v>0</v>
      </c>
      <c r="BO41" s="576">
        <f t="shared" si="53"/>
        <v>0</v>
      </c>
      <c r="BP41" s="576">
        <f t="shared" si="54"/>
        <v>0</v>
      </c>
      <c r="BQ41" s="574">
        <f t="shared" si="38"/>
        <v>0</v>
      </c>
      <c r="BR41" s="575">
        <f t="shared" si="39"/>
        <v>0</v>
      </c>
      <c r="BS41" s="580">
        <f t="shared" si="40"/>
        <v>0</v>
      </c>
      <c r="BT41" s="574">
        <f t="shared" si="65"/>
        <v>0</v>
      </c>
      <c r="BU41" s="575">
        <f t="shared" si="66"/>
        <v>0</v>
      </c>
      <c r="BV41" s="580">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36"/>
      <c r="Y42" s="536"/>
      <c r="Z42" s="326"/>
      <c r="AA42" s="392"/>
      <c r="AB42" s="331"/>
      <c r="AC42" s="319">
        <f>1-AC41</f>
        <v>0.5</v>
      </c>
      <c r="AD42" s="319">
        <f>1-AD41</f>
        <v>0.5</v>
      </c>
      <c r="AE42" s="329">
        <v>5</v>
      </c>
      <c r="AG42" s="236"/>
      <c r="AH42" s="236"/>
      <c r="AI42" s="236"/>
      <c r="AJ42" s="236"/>
      <c r="AK42" s="290"/>
      <c r="AL42" s="573" t="s">
        <v>107</v>
      </c>
      <c r="AM42" s="574"/>
      <c r="AN42" s="576"/>
      <c r="AO42" s="576"/>
      <c r="AP42" s="576"/>
      <c r="AQ42" s="596">
        <f t="shared" si="28"/>
        <v>0</v>
      </c>
      <c r="AR42" s="576">
        <f t="shared" si="29"/>
        <v>0</v>
      </c>
      <c r="AS42" s="577">
        <f t="shared" si="30"/>
        <v>0</v>
      </c>
      <c r="AT42" s="574"/>
      <c r="AU42" s="575"/>
      <c r="AV42" s="580"/>
      <c r="AX42" s="290"/>
      <c r="AY42" s="573" t="s">
        <v>107</v>
      </c>
      <c r="AZ42" s="574"/>
      <c r="BA42" s="576"/>
      <c r="BB42" s="576">
        <f t="shared" si="60"/>
        <v>0</v>
      </c>
      <c r="BC42" s="576">
        <f t="shared" si="61"/>
        <v>0</v>
      </c>
      <c r="BD42" s="574">
        <f t="shared" si="33"/>
        <v>0</v>
      </c>
      <c r="BE42" s="575">
        <f t="shared" si="34"/>
        <v>0</v>
      </c>
      <c r="BF42" s="580">
        <f t="shared" si="35"/>
        <v>0</v>
      </c>
      <c r="BG42" s="574">
        <f t="shared" si="62"/>
        <v>0</v>
      </c>
      <c r="BH42" s="575">
        <f t="shared" si="63"/>
        <v>0</v>
      </c>
      <c r="BI42" s="580">
        <f t="shared" si="64"/>
        <v>0</v>
      </c>
      <c r="BK42" s="290"/>
      <c r="BL42" s="573" t="s">
        <v>107</v>
      </c>
      <c r="BM42" s="574"/>
      <c r="BN42" s="576"/>
      <c r="BO42" s="576">
        <f t="shared" si="53"/>
        <v>0</v>
      </c>
      <c r="BP42" s="576">
        <f t="shared" si="54"/>
        <v>0</v>
      </c>
      <c r="BQ42" s="574">
        <f t="shared" si="38"/>
        <v>0</v>
      </c>
      <c r="BR42" s="575">
        <f t="shared" si="39"/>
        <v>0</v>
      </c>
      <c r="BS42" s="580">
        <f t="shared" si="40"/>
        <v>0</v>
      </c>
      <c r="BT42" s="574">
        <f t="shared" si="65"/>
        <v>0</v>
      </c>
      <c r="BU42" s="575">
        <f t="shared" si="66"/>
        <v>0</v>
      </c>
      <c r="BV42" s="580">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36">
        <f t="shared" ref="X43:Y45" si="68">W43</f>
        <v>0.91237999999999997</v>
      </c>
      <c r="Y43" s="536">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73" t="s">
        <v>101</v>
      </c>
      <c r="AM43" s="574">
        <f>E78/1000</f>
        <v>0</v>
      </c>
      <c r="AN43" s="576">
        <f t="shared" ref="AN43:AN48" si="73">AM43*$AN$23</f>
        <v>0</v>
      </c>
      <c r="AO43" s="576">
        <f>AM43*(1-$AN$23)</f>
        <v>0</v>
      </c>
      <c r="AP43" s="576"/>
      <c r="AQ43" s="596">
        <f t="shared" si="28"/>
        <v>0</v>
      </c>
      <c r="AR43" s="576">
        <f t="shared" si="29"/>
        <v>0</v>
      </c>
      <c r="AS43" s="577">
        <f t="shared" si="30"/>
        <v>0</v>
      </c>
      <c r="AT43" s="574">
        <f t="shared" ref="AT43:AV50" si="74">IFERROR(AQ43/W43,0)</f>
        <v>0</v>
      </c>
      <c r="AU43" s="575">
        <f t="shared" si="74"/>
        <v>0</v>
      </c>
      <c r="AV43" s="580">
        <f t="shared" si="74"/>
        <v>0</v>
      </c>
      <c r="AX43" s="290"/>
      <c r="AY43" s="573" t="s">
        <v>101</v>
      </c>
      <c r="AZ43" s="574">
        <f>E98/1000</f>
        <v>0</v>
      </c>
      <c r="BA43" s="576">
        <f t="shared" ref="BA43:BA50" si="75">AZ43*$AN$23</f>
        <v>0</v>
      </c>
      <c r="BB43" s="576">
        <f t="shared" si="60"/>
        <v>0</v>
      </c>
      <c r="BC43" s="576">
        <f t="shared" si="61"/>
        <v>0</v>
      </c>
      <c r="BD43" s="574">
        <f t="shared" si="33"/>
        <v>0</v>
      </c>
      <c r="BE43" s="575">
        <f t="shared" si="34"/>
        <v>0</v>
      </c>
      <c r="BF43" s="580">
        <f t="shared" si="35"/>
        <v>0</v>
      </c>
      <c r="BG43" s="574">
        <f t="shared" si="62"/>
        <v>0</v>
      </c>
      <c r="BH43" s="575">
        <f t="shared" si="63"/>
        <v>0</v>
      </c>
      <c r="BI43" s="580">
        <f t="shared" si="64"/>
        <v>0</v>
      </c>
      <c r="BK43" s="290"/>
      <c r="BL43" s="573" t="s">
        <v>101</v>
      </c>
      <c r="BM43" s="574">
        <f>E118/1000</f>
        <v>0</v>
      </c>
      <c r="BN43" s="576">
        <f t="shared" ref="BN43:BN50" si="76">BM43*$AN$23</f>
        <v>0</v>
      </c>
      <c r="BO43" s="576">
        <f t="shared" si="53"/>
        <v>0</v>
      </c>
      <c r="BP43" s="576">
        <f t="shared" si="54"/>
        <v>0</v>
      </c>
      <c r="BQ43" s="574">
        <f t="shared" si="38"/>
        <v>0</v>
      </c>
      <c r="BR43" s="575">
        <f t="shared" si="39"/>
        <v>0</v>
      </c>
      <c r="BS43" s="580">
        <f t="shared" si="40"/>
        <v>0</v>
      </c>
      <c r="BT43" s="574">
        <f t="shared" si="65"/>
        <v>0</v>
      </c>
      <c r="BU43" s="575">
        <f t="shared" si="66"/>
        <v>0</v>
      </c>
      <c r="BV43" s="580">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36">
        <f t="shared" si="68"/>
        <v>0.96039999999999992</v>
      </c>
      <c r="Y44" s="536">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73" t="s">
        <v>53</v>
      </c>
      <c r="AM44" s="574">
        <f>H78/1000</f>
        <v>0</v>
      </c>
      <c r="AN44" s="576">
        <f t="shared" si="73"/>
        <v>0</v>
      </c>
      <c r="AO44" s="576">
        <f>AM44*(1-$AN$23)</f>
        <v>0</v>
      </c>
      <c r="AP44" s="576"/>
      <c r="AQ44" s="596">
        <f t="shared" si="28"/>
        <v>0</v>
      </c>
      <c r="AR44" s="576">
        <f t="shared" si="29"/>
        <v>0</v>
      </c>
      <c r="AS44" s="577">
        <f t="shared" si="30"/>
        <v>0</v>
      </c>
      <c r="AT44" s="574">
        <f t="shared" si="74"/>
        <v>0</v>
      </c>
      <c r="AU44" s="575">
        <f t="shared" si="74"/>
        <v>0</v>
      </c>
      <c r="AV44" s="580">
        <f t="shared" si="74"/>
        <v>0</v>
      </c>
      <c r="AX44" s="290"/>
      <c r="AY44" s="573" t="s">
        <v>53</v>
      </c>
      <c r="AZ44" s="574">
        <f>H98/1000</f>
        <v>0</v>
      </c>
      <c r="BA44" s="576">
        <f t="shared" si="75"/>
        <v>0</v>
      </c>
      <c r="BB44" s="576">
        <f t="shared" si="60"/>
        <v>0</v>
      </c>
      <c r="BC44" s="576">
        <f t="shared" si="61"/>
        <v>0</v>
      </c>
      <c r="BD44" s="574">
        <f t="shared" si="33"/>
        <v>0</v>
      </c>
      <c r="BE44" s="575">
        <f t="shared" si="34"/>
        <v>0</v>
      </c>
      <c r="BF44" s="580">
        <f t="shared" si="35"/>
        <v>0</v>
      </c>
      <c r="BG44" s="574">
        <f t="shared" si="62"/>
        <v>0</v>
      </c>
      <c r="BH44" s="575">
        <f t="shared" si="63"/>
        <v>0</v>
      </c>
      <c r="BI44" s="580">
        <f t="shared" si="64"/>
        <v>0</v>
      </c>
      <c r="BK44" s="290"/>
      <c r="BL44" s="573" t="s">
        <v>53</v>
      </c>
      <c r="BM44" s="574">
        <f>H118/1000</f>
        <v>0</v>
      </c>
      <c r="BN44" s="576">
        <f t="shared" si="76"/>
        <v>0</v>
      </c>
      <c r="BO44" s="576">
        <f t="shared" si="53"/>
        <v>0</v>
      </c>
      <c r="BP44" s="576">
        <f t="shared" si="54"/>
        <v>0</v>
      </c>
      <c r="BQ44" s="574">
        <f t="shared" si="38"/>
        <v>0</v>
      </c>
      <c r="BR44" s="575">
        <f t="shared" si="39"/>
        <v>0</v>
      </c>
      <c r="BS44" s="580">
        <f t="shared" si="40"/>
        <v>0</v>
      </c>
      <c r="BT44" s="574">
        <f t="shared" si="65"/>
        <v>0</v>
      </c>
      <c r="BU44" s="575">
        <f t="shared" si="66"/>
        <v>0</v>
      </c>
      <c r="BV44" s="580">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36">
        <f t="shared" si="68"/>
        <v>0.91237999999999997</v>
      </c>
      <c r="Y45" s="536">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73" t="s">
        <v>102</v>
      </c>
      <c r="AM45" s="574">
        <f>$L78/1000</f>
        <v>0</v>
      </c>
      <c r="AN45" s="575">
        <f t="shared" si="73"/>
        <v>0</v>
      </c>
      <c r="AO45" s="576">
        <f>AM45*(1-$AN$23)</f>
        <v>0</v>
      </c>
      <c r="AP45" s="576"/>
      <c r="AQ45" s="596">
        <f t="shared" si="28"/>
        <v>0</v>
      </c>
      <c r="AR45" s="576">
        <f t="shared" si="29"/>
        <v>0</v>
      </c>
      <c r="AS45" s="577">
        <f t="shared" si="30"/>
        <v>0</v>
      </c>
      <c r="AT45" s="574">
        <f t="shared" si="74"/>
        <v>0</v>
      </c>
      <c r="AU45" s="575">
        <f t="shared" si="74"/>
        <v>0</v>
      </c>
      <c r="AV45" s="580">
        <f t="shared" si="74"/>
        <v>0</v>
      </c>
      <c r="AX45" s="290"/>
      <c r="AY45" s="573" t="s">
        <v>102</v>
      </c>
      <c r="AZ45" s="574">
        <f>$L98/1000</f>
        <v>0</v>
      </c>
      <c r="BA45" s="575">
        <f t="shared" si="75"/>
        <v>0</v>
      </c>
      <c r="BB45" s="576">
        <f t="shared" si="60"/>
        <v>0</v>
      </c>
      <c r="BC45" s="576">
        <f t="shared" si="61"/>
        <v>0</v>
      </c>
      <c r="BD45" s="574">
        <f t="shared" si="33"/>
        <v>0</v>
      </c>
      <c r="BE45" s="575">
        <f t="shared" si="34"/>
        <v>0</v>
      </c>
      <c r="BF45" s="580">
        <f t="shared" si="35"/>
        <v>0</v>
      </c>
      <c r="BG45" s="574">
        <f t="shared" si="62"/>
        <v>0</v>
      </c>
      <c r="BH45" s="575">
        <f t="shared" si="63"/>
        <v>0</v>
      </c>
      <c r="BI45" s="580">
        <f t="shared" si="64"/>
        <v>0</v>
      </c>
      <c r="BK45" s="290"/>
      <c r="BL45" s="573" t="s">
        <v>102</v>
      </c>
      <c r="BM45" s="574">
        <f>$L118/1000</f>
        <v>0</v>
      </c>
      <c r="BN45" s="575">
        <f t="shared" si="76"/>
        <v>0</v>
      </c>
      <c r="BO45" s="576">
        <f t="shared" si="53"/>
        <v>0</v>
      </c>
      <c r="BP45" s="576">
        <f t="shared" si="54"/>
        <v>0</v>
      </c>
      <c r="BQ45" s="574">
        <f t="shared" si="38"/>
        <v>0</v>
      </c>
      <c r="BR45" s="575">
        <f t="shared" si="39"/>
        <v>0</v>
      </c>
      <c r="BS45" s="580">
        <f t="shared" si="40"/>
        <v>0</v>
      </c>
      <c r="BT45" s="574">
        <f t="shared" si="65"/>
        <v>0</v>
      </c>
      <c r="BU45" s="575">
        <f t="shared" si="66"/>
        <v>0</v>
      </c>
      <c r="BV45" s="580">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320.68399999999997</v>
      </c>
      <c r="N46" s="324">
        <f t="shared" si="25"/>
        <v>17.816000000000003</v>
      </c>
      <c r="O46" s="324">
        <f t="shared" si="26"/>
        <v>17.816000000000003</v>
      </c>
      <c r="P46" s="324">
        <f t="shared" si="1"/>
        <v>320.68399999999997</v>
      </c>
      <c r="Q46" s="324">
        <f t="shared" si="2"/>
        <v>17.816000000000003</v>
      </c>
      <c r="R46" s="324">
        <f t="shared" si="3"/>
        <v>17.816000000000003</v>
      </c>
      <c r="S46" s="324">
        <f t="shared" si="4"/>
        <v>0</v>
      </c>
      <c r="T46" s="324">
        <f t="shared" si="5"/>
        <v>0</v>
      </c>
      <c r="U46" s="324">
        <f t="shared" si="6"/>
        <v>0</v>
      </c>
      <c r="V46" s="572">
        <v>5</v>
      </c>
      <c r="W46" s="345">
        <f>M132</f>
        <v>0.91237999999999997</v>
      </c>
      <c r="X46" s="537">
        <f t="shared" si="56"/>
        <v>0.91237999999999997</v>
      </c>
      <c r="Y46" s="537">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5.792128041143183</v>
      </c>
      <c r="AJ46" s="236"/>
      <c r="AK46" s="355"/>
      <c r="AL46" s="581" t="s">
        <v>61</v>
      </c>
      <c r="AM46" s="582">
        <f>M78/1000</f>
        <v>6.3003600000000004</v>
      </c>
      <c r="AN46" s="590">
        <f t="shared" si="73"/>
        <v>5.6703240000000008</v>
      </c>
      <c r="AO46" s="590">
        <f>AM46*(1-$AN$23)</f>
        <v>0.63003599999999993</v>
      </c>
      <c r="AP46" s="590"/>
      <c r="AQ46" s="600">
        <f t="shared" si="28"/>
        <v>5.1734949770229779</v>
      </c>
      <c r="AR46" s="590">
        <f t="shared" si="29"/>
        <v>0.57484677722277722</v>
      </c>
      <c r="AS46" s="591">
        <f t="shared" si="30"/>
        <v>0</v>
      </c>
      <c r="AT46" s="582">
        <f t="shared" si="74"/>
        <v>5.6703292235943117</v>
      </c>
      <c r="AU46" s="583">
        <f t="shared" si="74"/>
        <v>0.63005192707290514</v>
      </c>
      <c r="AV46" s="584">
        <f t="shared" si="74"/>
        <v>0</v>
      </c>
      <c r="AX46" s="355"/>
      <c r="AY46" s="581" t="s">
        <v>61</v>
      </c>
      <c r="AZ46" s="582">
        <f>M98/1000</f>
        <v>6.2067600000000001</v>
      </c>
      <c r="BA46" s="590">
        <f t="shared" si="75"/>
        <v>5.5860840000000005</v>
      </c>
      <c r="BB46" s="590">
        <f t="shared" si="60"/>
        <v>0.310338</v>
      </c>
      <c r="BC46" s="590">
        <f t="shared" si="61"/>
        <v>0.310338</v>
      </c>
      <c r="BD46" s="582">
        <f t="shared" si="33"/>
        <v>5.0966391207920791</v>
      </c>
      <c r="BE46" s="583">
        <f t="shared" si="34"/>
        <v>0.28315268910891089</v>
      </c>
      <c r="BF46" s="584">
        <f t="shared" si="35"/>
        <v>0.28315268910891089</v>
      </c>
      <c r="BG46" s="582">
        <f t="shared" si="62"/>
        <v>5.5860925500252954</v>
      </c>
      <c r="BH46" s="583">
        <f t="shared" si="63"/>
        <v>0.31034512934184322</v>
      </c>
      <c r="BI46" s="584">
        <f t="shared" si="64"/>
        <v>0.31034512934184322</v>
      </c>
      <c r="BK46" s="355"/>
      <c r="BL46" s="581" t="s">
        <v>61</v>
      </c>
      <c r="BM46" s="582">
        <f>M118/1000</f>
        <v>6.0969600000000002</v>
      </c>
      <c r="BN46" s="590">
        <f t="shared" si="76"/>
        <v>5.4872640000000006</v>
      </c>
      <c r="BO46" s="590">
        <f t="shared" si="53"/>
        <v>0.30484800000000001</v>
      </c>
      <c r="BP46" s="590">
        <f t="shared" si="54"/>
        <v>0.30484800000000001</v>
      </c>
      <c r="BQ46" s="582">
        <f t="shared" si="38"/>
        <v>5.0064805069306928</v>
      </c>
      <c r="BR46" s="583">
        <f t="shared" si="39"/>
        <v>0.2781412752475248</v>
      </c>
      <c r="BS46" s="584">
        <f t="shared" si="40"/>
        <v>0.2781412752475248</v>
      </c>
      <c r="BT46" s="582">
        <f t="shared" si="65"/>
        <v>5.4872755945227789</v>
      </c>
      <c r="BU46" s="583">
        <f t="shared" si="66"/>
        <v>0.30485244662040467</v>
      </c>
      <c r="BV46" s="584">
        <f t="shared" si="67"/>
        <v>0.30485244662040467</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36">
        <f t="shared" si="56"/>
        <v>1</v>
      </c>
      <c r="Y47" s="536">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44" t="str">
        <f ca="1">F47</f>
        <v>IODSH</v>
      </c>
      <c r="AL47" s="585" t="s">
        <v>97</v>
      </c>
      <c r="AM47" s="586">
        <f>I82/1000</f>
        <v>0</v>
      </c>
      <c r="AN47" s="588">
        <f t="shared" si="73"/>
        <v>0</v>
      </c>
      <c r="AO47" s="576">
        <f>AM47*$AO$23</f>
        <v>0</v>
      </c>
      <c r="AP47" s="576">
        <f>AM47*$AP$23</f>
        <v>0</v>
      </c>
      <c r="AQ47" s="596">
        <f t="shared" si="28"/>
        <v>0</v>
      </c>
      <c r="AR47" s="576">
        <f t="shared" si="29"/>
        <v>0</v>
      </c>
      <c r="AS47" s="577">
        <f t="shared" si="30"/>
        <v>0</v>
      </c>
      <c r="AT47" s="586">
        <f t="shared" si="74"/>
        <v>0</v>
      </c>
      <c r="AU47" s="588">
        <f t="shared" si="74"/>
        <v>0</v>
      </c>
      <c r="AV47" s="589">
        <f t="shared" si="74"/>
        <v>0</v>
      </c>
      <c r="AX47" s="544" t="str">
        <f t="shared" ca="1" si="12"/>
        <v>IODSH</v>
      </c>
      <c r="AY47" s="585" t="s">
        <v>97</v>
      </c>
      <c r="AZ47" s="586">
        <f>I102/1000</f>
        <v>0</v>
      </c>
      <c r="BA47" s="588">
        <f t="shared" si="75"/>
        <v>0</v>
      </c>
      <c r="BB47" s="576">
        <f t="shared" si="60"/>
        <v>0</v>
      </c>
      <c r="BC47" s="576">
        <f t="shared" si="61"/>
        <v>0</v>
      </c>
      <c r="BD47" s="586">
        <f t="shared" si="33"/>
        <v>0</v>
      </c>
      <c r="BE47" s="588">
        <f t="shared" si="34"/>
        <v>0</v>
      </c>
      <c r="BF47" s="589">
        <f t="shared" si="35"/>
        <v>0</v>
      </c>
      <c r="BG47" s="586">
        <f t="shared" si="62"/>
        <v>0</v>
      </c>
      <c r="BH47" s="588">
        <f t="shared" si="63"/>
        <v>0</v>
      </c>
      <c r="BI47" s="589">
        <f t="shared" si="64"/>
        <v>0</v>
      </c>
      <c r="BK47" s="544" t="str">
        <f ca="1">AK47</f>
        <v>IODSH</v>
      </c>
      <c r="BL47" s="585" t="s">
        <v>97</v>
      </c>
      <c r="BM47" s="586">
        <f>I122/1000</f>
        <v>0</v>
      </c>
      <c r="BN47" s="588">
        <f t="shared" si="76"/>
        <v>0</v>
      </c>
      <c r="BO47" s="576">
        <f t="shared" si="53"/>
        <v>0</v>
      </c>
      <c r="BP47" s="576">
        <f t="shared" si="54"/>
        <v>0</v>
      </c>
      <c r="BQ47" s="586">
        <f t="shared" si="38"/>
        <v>0</v>
      </c>
      <c r="BR47" s="588">
        <f t="shared" si="39"/>
        <v>0</v>
      </c>
      <c r="BS47" s="589">
        <f t="shared" si="40"/>
        <v>0</v>
      </c>
      <c r="BT47" s="586">
        <f t="shared" si="65"/>
        <v>0</v>
      </c>
      <c r="BU47" s="588">
        <f t="shared" si="66"/>
        <v>0</v>
      </c>
      <c r="BV47" s="589">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36">
        <f t="shared" si="56"/>
        <v>0.95</v>
      </c>
      <c r="Y48" s="536">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73" t="s">
        <v>98</v>
      </c>
      <c r="AM48" s="574">
        <f>D82/1000</f>
        <v>0</v>
      </c>
      <c r="AN48" s="575">
        <f t="shared" si="73"/>
        <v>0</v>
      </c>
      <c r="AO48" s="576">
        <f>AM48*$AO$23</f>
        <v>0</v>
      </c>
      <c r="AP48" s="576">
        <f>AM48*$AP$23</f>
        <v>0</v>
      </c>
      <c r="AQ48" s="596">
        <f t="shared" si="28"/>
        <v>0</v>
      </c>
      <c r="AR48" s="576">
        <f t="shared" si="29"/>
        <v>0</v>
      </c>
      <c r="AS48" s="577">
        <f t="shared" si="30"/>
        <v>0</v>
      </c>
      <c r="AT48" s="574">
        <f t="shared" si="74"/>
        <v>0</v>
      </c>
      <c r="AU48" s="575">
        <f t="shared" si="74"/>
        <v>0</v>
      </c>
      <c r="AV48" s="580">
        <f t="shared" si="74"/>
        <v>0</v>
      </c>
      <c r="AX48" s="356"/>
      <c r="AY48" s="573" t="s">
        <v>98</v>
      </c>
      <c r="AZ48" s="574">
        <f>D102/1000</f>
        <v>0</v>
      </c>
      <c r="BA48" s="575">
        <f t="shared" si="75"/>
        <v>0</v>
      </c>
      <c r="BB48" s="576">
        <f t="shared" si="60"/>
        <v>0</v>
      </c>
      <c r="BC48" s="576">
        <f t="shared" si="61"/>
        <v>0</v>
      </c>
      <c r="BD48" s="574">
        <f t="shared" si="33"/>
        <v>0</v>
      </c>
      <c r="BE48" s="575">
        <f t="shared" si="34"/>
        <v>0</v>
      </c>
      <c r="BF48" s="580">
        <f t="shared" si="35"/>
        <v>0</v>
      </c>
      <c r="BG48" s="574">
        <f t="shared" si="62"/>
        <v>0</v>
      </c>
      <c r="BH48" s="575">
        <f t="shared" si="63"/>
        <v>0</v>
      </c>
      <c r="BI48" s="580">
        <f t="shared" si="64"/>
        <v>0</v>
      </c>
      <c r="BK48" s="356"/>
      <c r="BL48" s="573" t="s">
        <v>98</v>
      </c>
      <c r="BM48" s="574">
        <f>D122/1000</f>
        <v>0</v>
      </c>
      <c r="BN48" s="575">
        <f t="shared" si="76"/>
        <v>0</v>
      </c>
      <c r="BO48" s="576">
        <f t="shared" si="53"/>
        <v>0</v>
      </c>
      <c r="BP48" s="576">
        <f t="shared" si="54"/>
        <v>0</v>
      </c>
      <c r="BQ48" s="574">
        <f t="shared" si="38"/>
        <v>0</v>
      </c>
      <c r="BR48" s="575">
        <f t="shared" si="39"/>
        <v>0</v>
      </c>
      <c r="BS48" s="580">
        <f t="shared" si="40"/>
        <v>0</v>
      </c>
      <c r="BT48" s="574">
        <f t="shared" si="65"/>
        <v>0</v>
      </c>
      <c r="BU48" s="575">
        <f t="shared" si="66"/>
        <v>0</v>
      </c>
      <c r="BV48" s="580">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36">
        <f t="shared" si="56"/>
        <v>0.96</v>
      </c>
      <c r="Y49" s="536">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73" t="s">
        <v>59</v>
      </c>
      <c r="AM49" s="574">
        <f>F82/1000</f>
        <v>0</v>
      </c>
      <c r="AN49" s="575">
        <f t="shared" ref="AN49:AN62" si="77">AM49*$AN$23</f>
        <v>0</v>
      </c>
      <c r="AO49" s="576">
        <f t="shared" ref="AO49:AO62" si="78">AM49*$AO$23</f>
        <v>0</v>
      </c>
      <c r="AP49" s="576">
        <f t="shared" ref="AP49:AP62" si="79">AM49*$AP$23</f>
        <v>0</v>
      </c>
      <c r="AQ49" s="596">
        <f t="shared" si="28"/>
        <v>0</v>
      </c>
      <c r="AR49" s="576">
        <f t="shared" si="29"/>
        <v>0</v>
      </c>
      <c r="AS49" s="577">
        <f t="shared" si="30"/>
        <v>0</v>
      </c>
      <c r="AT49" s="574">
        <f t="shared" si="74"/>
        <v>0</v>
      </c>
      <c r="AU49" s="575">
        <f t="shared" si="74"/>
        <v>0</v>
      </c>
      <c r="AV49" s="580">
        <f t="shared" si="74"/>
        <v>0</v>
      </c>
      <c r="AX49" s="356"/>
      <c r="AY49" s="573" t="s">
        <v>59</v>
      </c>
      <c r="AZ49" s="574">
        <f>F102/1000</f>
        <v>0</v>
      </c>
      <c r="BA49" s="575">
        <f t="shared" si="75"/>
        <v>0</v>
      </c>
      <c r="BB49" s="576">
        <f t="shared" si="60"/>
        <v>0</v>
      </c>
      <c r="BC49" s="576">
        <f t="shared" si="61"/>
        <v>0</v>
      </c>
      <c r="BD49" s="574">
        <f t="shared" si="33"/>
        <v>0</v>
      </c>
      <c r="BE49" s="575">
        <f t="shared" si="34"/>
        <v>0</v>
      </c>
      <c r="BF49" s="580">
        <f t="shared" si="35"/>
        <v>0</v>
      </c>
      <c r="BG49" s="574">
        <f t="shared" si="62"/>
        <v>0</v>
      </c>
      <c r="BH49" s="575">
        <f t="shared" si="63"/>
        <v>0</v>
      </c>
      <c r="BI49" s="580">
        <f t="shared" si="64"/>
        <v>0</v>
      </c>
      <c r="BK49" s="356"/>
      <c r="BL49" s="573" t="s">
        <v>59</v>
      </c>
      <c r="BM49" s="574">
        <f>F122/1000</f>
        <v>0</v>
      </c>
      <c r="BN49" s="575">
        <f t="shared" si="76"/>
        <v>0</v>
      </c>
      <c r="BO49" s="576">
        <f t="shared" si="53"/>
        <v>0</v>
      </c>
      <c r="BP49" s="576">
        <f t="shared" si="54"/>
        <v>0</v>
      </c>
      <c r="BQ49" s="574">
        <f t="shared" si="38"/>
        <v>0</v>
      </c>
      <c r="BR49" s="575">
        <f t="shared" si="39"/>
        <v>0</v>
      </c>
      <c r="BS49" s="580">
        <f t="shared" si="40"/>
        <v>0</v>
      </c>
      <c r="BT49" s="574">
        <f t="shared" si="65"/>
        <v>0</v>
      </c>
      <c r="BU49" s="575">
        <f t="shared" si="66"/>
        <v>0</v>
      </c>
      <c r="BV49" s="580">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36">
        <f t="shared" si="56"/>
        <v>0.85</v>
      </c>
      <c r="Y50" s="536">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73" t="s">
        <v>99</v>
      </c>
      <c r="AM50" s="574">
        <f>K82/1000</f>
        <v>0</v>
      </c>
      <c r="AN50" s="575">
        <f t="shared" si="77"/>
        <v>0</v>
      </c>
      <c r="AO50" s="576">
        <f t="shared" si="78"/>
        <v>0</v>
      </c>
      <c r="AP50" s="576">
        <f t="shared" si="79"/>
        <v>0</v>
      </c>
      <c r="AQ50" s="596">
        <f t="shared" si="28"/>
        <v>0</v>
      </c>
      <c r="AR50" s="576">
        <f t="shared" si="29"/>
        <v>0</v>
      </c>
      <c r="AS50" s="577">
        <f t="shared" si="30"/>
        <v>0</v>
      </c>
      <c r="AT50" s="574">
        <f t="shared" si="74"/>
        <v>0</v>
      </c>
      <c r="AU50" s="575">
        <f t="shared" si="74"/>
        <v>0</v>
      </c>
      <c r="AV50" s="580">
        <f t="shared" si="74"/>
        <v>0</v>
      </c>
      <c r="AX50" s="356"/>
      <c r="AY50" s="573" t="s">
        <v>99</v>
      </c>
      <c r="AZ50" s="574">
        <f>K102/1000</f>
        <v>0</v>
      </c>
      <c r="BA50" s="575">
        <f t="shared" si="75"/>
        <v>0</v>
      </c>
      <c r="BB50" s="576">
        <f t="shared" si="60"/>
        <v>0</v>
      </c>
      <c r="BC50" s="576">
        <f t="shared" si="61"/>
        <v>0</v>
      </c>
      <c r="BD50" s="574">
        <f t="shared" si="33"/>
        <v>0</v>
      </c>
      <c r="BE50" s="575">
        <f t="shared" si="34"/>
        <v>0</v>
      </c>
      <c r="BF50" s="580">
        <f t="shared" si="35"/>
        <v>0</v>
      </c>
      <c r="BG50" s="574">
        <f t="shared" si="62"/>
        <v>0</v>
      </c>
      <c r="BH50" s="575">
        <f t="shared" si="63"/>
        <v>0</v>
      </c>
      <c r="BI50" s="580">
        <f t="shared" si="64"/>
        <v>0</v>
      </c>
      <c r="BK50" s="356"/>
      <c r="BL50" s="573" t="s">
        <v>99</v>
      </c>
      <c r="BM50" s="574">
        <f>K122/1000</f>
        <v>0</v>
      </c>
      <c r="BN50" s="575">
        <f t="shared" si="76"/>
        <v>0</v>
      </c>
      <c r="BO50" s="576">
        <f t="shared" si="53"/>
        <v>0</v>
      </c>
      <c r="BP50" s="576">
        <f t="shared" si="54"/>
        <v>0</v>
      </c>
      <c r="BQ50" s="574">
        <f t="shared" si="38"/>
        <v>0</v>
      </c>
      <c r="BR50" s="575">
        <f t="shared" si="39"/>
        <v>0</v>
      </c>
      <c r="BS50" s="580">
        <f t="shared" si="40"/>
        <v>0</v>
      </c>
      <c r="BT50" s="574">
        <f t="shared" si="65"/>
        <v>0</v>
      </c>
      <c r="BU50" s="575">
        <f t="shared" si="66"/>
        <v>0</v>
      </c>
      <c r="BV50" s="580">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36"/>
      <c r="Y51" s="536"/>
      <c r="Z51" s="319"/>
      <c r="AA51" s="392"/>
      <c r="AB51" s="331"/>
      <c r="AC51" s="319">
        <f>1-AC50</f>
        <v>0.5</v>
      </c>
      <c r="AD51" s="319">
        <f>1-AD50</f>
        <v>0.5</v>
      </c>
      <c r="AE51" s="331">
        <v>5</v>
      </c>
      <c r="AG51" s="236"/>
      <c r="AH51" s="236"/>
      <c r="AI51" s="236"/>
      <c r="AJ51" s="236"/>
      <c r="AK51" s="356"/>
      <c r="AL51" s="573" t="s">
        <v>107</v>
      </c>
      <c r="AM51" s="574"/>
      <c r="AN51" s="575">
        <f t="shared" si="77"/>
        <v>0</v>
      </c>
      <c r="AO51" s="576">
        <f t="shared" si="78"/>
        <v>0</v>
      </c>
      <c r="AP51" s="576">
        <f t="shared" si="79"/>
        <v>0</v>
      </c>
      <c r="AQ51" s="596">
        <f t="shared" si="28"/>
        <v>0</v>
      </c>
      <c r="AR51" s="576">
        <f t="shared" si="29"/>
        <v>0</v>
      </c>
      <c r="AS51" s="577">
        <f t="shared" si="30"/>
        <v>0</v>
      </c>
      <c r="AT51" s="574"/>
      <c r="AU51" s="575"/>
      <c r="AV51" s="580"/>
      <c r="AX51" s="356"/>
      <c r="AY51" s="573" t="s">
        <v>107</v>
      </c>
      <c r="AZ51" s="574"/>
      <c r="BA51" s="575"/>
      <c r="BB51" s="576">
        <f t="shared" si="60"/>
        <v>0</v>
      </c>
      <c r="BC51" s="576">
        <f t="shared" si="61"/>
        <v>0</v>
      </c>
      <c r="BD51" s="574">
        <f t="shared" si="33"/>
        <v>0</v>
      </c>
      <c r="BE51" s="575">
        <f t="shared" si="34"/>
        <v>0</v>
      </c>
      <c r="BF51" s="580">
        <f t="shared" si="35"/>
        <v>0</v>
      </c>
      <c r="BG51" s="574">
        <f t="shared" si="62"/>
        <v>0</v>
      </c>
      <c r="BH51" s="575">
        <f t="shared" si="63"/>
        <v>0</v>
      </c>
      <c r="BI51" s="580">
        <f t="shared" si="64"/>
        <v>0</v>
      </c>
      <c r="BK51" s="356"/>
      <c r="BL51" s="573" t="s">
        <v>107</v>
      </c>
      <c r="BM51" s="574"/>
      <c r="BN51" s="575"/>
      <c r="BO51" s="576">
        <f t="shared" si="53"/>
        <v>0</v>
      </c>
      <c r="BP51" s="576">
        <f t="shared" si="54"/>
        <v>0</v>
      </c>
      <c r="BQ51" s="574">
        <f t="shared" si="38"/>
        <v>0</v>
      </c>
      <c r="BR51" s="575">
        <f t="shared" si="39"/>
        <v>0</v>
      </c>
      <c r="BS51" s="580">
        <f t="shared" si="40"/>
        <v>0</v>
      </c>
      <c r="BT51" s="574">
        <f t="shared" si="65"/>
        <v>0</v>
      </c>
      <c r="BU51" s="575">
        <f t="shared" si="66"/>
        <v>0</v>
      </c>
      <c r="BV51" s="580">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f t="shared" si="21"/>
        <v>0</v>
      </c>
      <c r="K52" s="322">
        <f t="shared" si="22"/>
        <v>0</v>
      </c>
      <c r="L52" s="322">
        <f t="shared" si="23"/>
        <v>0</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36">
        <f t="shared" ref="X52:Y58" si="80">W52</f>
        <v>1</v>
      </c>
      <c r="Y52" s="536">
        <f t="shared" si="80"/>
        <v>1</v>
      </c>
      <c r="Z52" s="319">
        <f>3.6*8760/1000000</f>
        <v>3.1536000000000002E-2</v>
      </c>
      <c r="AA52" s="392">
        <f t="shared" ref="AA52:AA60" si="81">$AA$26</f>
        <v>0.5</v>
      </c>
      <c r="AB52" s="331">
        <v>20</v>
      </c>
      <c r="AC52" s="326"/>
      <c r="AD52" s="319"/>
      <c r="AE52" s="331"/>
      <c r="AG52" s="236">
        <f t="shared" ref="AG52:AG62" si="82">((G52*Z52*AA52/W52)+(H52*Z52*AA52/X52))/$G$21</f>
        <v>0</v>
      </c>
      <c r="AH52" s="236">
        <f t="shared" ref="AH52:AH62" si="83">((J52*Z52*AA52/W52)+(K52*Z52*AA52/X52))/$J$21</f>
        <v>0</v>
      </c>
      <c r="AI52" s="236">
        <f t="shared" ref="AI52:AI62" si="84">((M52*AA52*Z52/W52)+(N52*Z52*AA52/X52))/$M$21</f>
        <v>0</v>
      </c>
      <c r="AJ52" s="236"/>
      <c r="AK52" s="356"/>
      <c r="AL52" s="573" t="s">
        <v>100</v>
      </c>
      <c r="AM52" s="574">
        <f>J82/1000</f>
        <v>0</v>
      </c>
      <c r="AN52" s="575">
        <f t="shared" si="77"/>
        <v>0</v>
      </c>
      <c r="AO52" s="576">
        <f t="shared" si="78"/>
        <v>0</v>
      </c>
      <c r="AP52" s="576">
        <f t="shared" si="79"/>
        <v>0</v>
      </c>
      <c r="AQ52" s="596">
        <f t="shared" si="28"/>
        <v>0</v>
      </c>
      <c r="AR52" s="576">
        <f t="shared" si="29"/>
        <v>0</v>
      </c>
      <c r="AS52" s="577">
        <f t="shared" si="30"/>
        <v>0</v>
      </c>
      <c r="AT52" s="574">
        <f t="shared" ref="AT52:AV56" si="85">IFERROR(AQ52/W52,0)</f>
        <v>0</v>
      </c>
      <c r="AU52" s="575">
        <f t="shared" si="85"/>
        <v>0</v>
      </c>
      <c r="AV52" s="580">
        <f t="shared" si="85"/>
        <v>0</v>
      </c>
      <c r="AX52" s="356"/>
      <c r="AY52" s="573" t="s">
        <v>100</v>
      </c>
      <c r="AZ52" s="574">
        <f>J102/1000</f>
        <v>0</v>
      </c>
      <c r="BA52" s="575">
        <f>AZ52*$AN$23</f>
        <v>0</v>
      </c>
      <c r="BB52" s="576">
        <f t="shared" si="60"/>
        <v>0</v>
      </c>
      <c r="BC52" s="576">
        <f t="shared" si="61"/>
        <v>0</v>
      </c>
      <c r="BD52" s="574">
        <f t="shared" si="33"/>
        <v>0</v>
      </c>
      <c r="BE52" s="575">
        <f t="shared" si="34"/>
        <v>0</v>
      </c>
      <c r="BF52" s="580">
        <f t="shared" si="35"/>
        <v>0</v>
      </c>
      <c r="BG52" s="574">
        <f t="shared" si="62"/>
        <v>0</v>
      </c>
      <c r="BH52" s="575">
        <f t="shared" si="63"/>
        <v>0</v>
      </c>
      <c r="BI52" s="580">
        <f t="shared" si="64"/>
        <v>0</v>
      </c>
      <c r="BK52" s="356"/>
      <c r="BL52" s="573" t="s">
        <v>100</v>
      </c>
      <c r="BM52" s="574">
        <f>J122/1000</f>
        <v>0</v>
      </c>
      <c r="BN52" s="575">
        <f>BM52*$AN$23</f>
        <v>0</v>
      </c>
      <c r="BO52" s="576">
        <f t="shared" si="53"/>
        <v>0</v>
      </c>
      <c r="BP52" s="576">
        <f t="shared" si="54"/>
        <v>0</v>
      </c>
      <c r="BQ52" s="574">
        <f t="shared" si="38"/>
        <v>0</v>
      </c>
      <c r="BR52" s="575">
        <f t="shared" si="39"/>
        <v>0</v>
      </c>
      <c r="BS52" s="580">
        <f t="shared" si="40"/>
        <v>0</v>
      </c>
      <c r="BT52" s="574">
        <f t="shared" si="65"/>
        <v>0</v>
      </c>
      <c r="BU52" s="575">
        <f t="shared" si="66"/>
        <v>0</v>
      </c>
      <c r="BV52" s="580">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36">
        <f t="shared" si="80"/>
        <v>0.95</v>
      </c>
      <c r="Y53" s="536">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73" t="s">
        <v>101</v>
      </c>
      <c r="AM53" s="574">
        <f>E82/1000</f>
        <v>0</v>
      </c>
      <c r="AN53" s="575">
        <f t="shared" si="77"/>
        <v>0</v>
      </c>
      <c r="AO53" s="576">
        <f t="shared" si="78"/>
        <v>0</v>
      </c>
      <c r="AP53" s="576">
        <f t="shared" si="79"/>
        <v>0</v>
      </c>
      <c r="AQ53" s="596">
        <f t="shared" si="28"/>
        <v>0</v>
      </c>
      <c r="AR53" s="576">
        <f t="shared" si="29"/>
        <v>0</v>
      </c>
      <c r="AS53" s="577">
        <f t="shared" si="30"/>
        <v>0</v>
      </c>
      <c r="AT53" s="574">
        <f t="shared" si="85"/>
        <v>0</v>
      </c>
      <c r="AU53" s="575">
        <f t="shared" si="85"/>
        <v>0</v>
      </c>
      <c r="AV53" s="580">
        <f t="shared" si="85"/>
        <v>0</v>
      </c>
      <c r="AX53" s="356"/>
      <c r="AY53" s="573" t="s">
        <v>101</v>
      </c>
      <c r="AZ53" s="574">
        <f>E102/1000</f>
        <v>0</v>
      </c>
      <c r="BA53" s="575">
        <f>AZ53*$AN$23</f>
        <v>0</v>
      </c>
      <c r="BB53" s="576">
        <f t="shared" si="60"/>
        <v>0</v>
      </c>
      <c r="BC53" s="576">
        <f t="shared" si="61"/>
        <v>0</v>
      </c>
      <c r="BD53" s="574">
        <f t="shared" si="33"/>
        <v>0</v>
      </c>
      <c r="BE53" s="575">
        <f t="shared" si="34"/>
        <v>0</v>
      </c>
      <c r="BF53" s="580">
        <f t="shared" si="35"/>
        <v>0</v>
      </c>
      <c r="BG53" s="574">
        <f t="shared" si="62"/>
        <v>0</v>
      </c>
      <c r="BH53" s="575">
        <f t="shared" si="63"/>
        <v>0</v>
      </c>
      <c r="BI53" s="580">
        <f t="shared" si="64"/>
        <v>0</v>
      </c>
      <c r="BK53" s="356"/>
      <c r="BL53" s="573" t="s">
        <v>101</v>
      </c>
      <c r="BM53" s="574">
        <f>E122/1000</f>
        <v>0</v>
      </c>
      <c r="BN53" s="575">
        <f>BM53*$AN$23</f>
        <v>0</v>
      </c>
      <c r="BO53" s="576">
        <f t="shared" si="53"/>
        <v>0</v>
      </c>
      <c r="BP53" s="576">
        <f t="shared" si="54"/>
        <v>0</v>
      </c>
      <c r="BQ53" s="574">
        <f t="shared" si="38"/>
        <v>0</v>
      </c>
      <c r="BR53" s="575">
        <f t="shared" si="39"/>
        <v>0</v>
      </c>
      <c r="BS53" s="580">
        <f t="shared" si="40"/>
        <v>0</v>
      </c>
      <c r="BT53" s="574">
        <f t="shared" si="65"/>
        <v>0</v>
      </c>
      <c r="BU53" s="575">
        <f t="shared" si="66"/>
        <v>0</v>
      </c>
      <c r="BV53" s="580">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36">
        <f t="shared" si="80"/>
        <v>1</v>
      </c>
      <c r="Y54" s="536">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73" t="s">
        <v>53</v>
      </c>
      <c r="AM54" s="574">
        <f>H82/1000</f>
        <v>0</v>
      </c>
      <c r="AN54" s="575">
        <f t="shared" si="77"/>
        <v>0</v>
      </c>
      <c r="AO54" s="576">
        <f t="shared" si="78"/>
        <v>0</v>
      </c>
      <c r="AP54" s="576">
        <f t="shared" si="79"/>
        <v>0</v>
      </c>
      <c r="AQ54" s="596">
        <f t="shared" si="28"/>
        <v>0</v>
      </c>
      <c r="AR54" s="576">
        <f t="shared" si="29"/>
        <v>0</v>
      </c>
      <c r="AS54" s="577">
        <f t="shared" si="30"/>
        <v>0</v>
      </c>
      <c r="AT54" s="574">
        <f t="shared" si="85"/>
        <v>0</v>
      </c>
      <c r="AU54" s="575">
        <f t="shared" si="85"/>
        <v>0</v>
      </c>
      <c r="AV54" s="580">
        <f t="shared" si="85"/>
        <v>0</v>
      </c>
      <c r="AX54" s="356"/>
      <c r="AY54" s="573" t="s">
        <v>53</v>
      </c>
      <c r="AZ54" s="574">
        <f>H102/1000</f>
        <v>0</v>
      </c>
      <c r="BA54" s="575">
        <f>AZ54*$AN$23</f>
        <v>0</v>
      </c>
      <c r="BB54" s="576">
        <f t="shared" si="60"/>
        <v>0</v>
      </c>
      <c r="BC54" s="576">
        <f t="shared" si="61"/>
        <v>0</v>
      </c>
      <c r="BD54" s="574">
        <f t="shared" si="33"/>
        <v>0</v>
      </c>
      <c r="BE54" s="575">
        <f t="shared" si="34"/>
        <v>0</v>
      </c>
      <c r="BF54" s="580">
        <f t="shared" si="35"/>
        <v>0</v>
      </c>
      <c r="BG54" s="574">
        <f t="shared" si="62"/>
        <v>0</v>
      </c>
      <c r="BH54" s="575">
        <f t="shared" si="63"/>
        <v>0</v>
      </c>
      <c r="BI54" s="580">
        <f t="shared" si="64"/>
        <v>0</v>
      </c>
      <c r="BK54" s="356"/>
      <c r="BL54" s="573" t="s">
        <v>53</v>
      </c>
      <c r="BM54" s="574">
        <f>H122/1000</f>
        <v>0</v>
      </c>
      <c r="BN54" s="575">
        <f>BM54*$AN$23</f>
        <v>0</v>
      </c>
      <c r="BO54" s="576">
        <f t="shared" si="53"/>
        <v>0</v>
      </c>
      <c r="BP54" s="576">
        <f t="shared" si="54"/>
        <v>0</v>
      </c>
      <c r="BQ54" s="574">
        <f t="shared" si="38"/>
        <v>0</v>
      </c>
      <c r="BR54" s="575">
        <f t="shared" si="39"/>
        <v>0</v>
      </c>
      <c r="BS54" s="580">
        <f t="shared" si="40"/>
        <v>0</v>
      </c>
      <c r="BT54" s="574">
        <f t="shared" si="65"/>
        <v>0</v>
      </c>
      <c r="BU54" s="575">
        <f t="shared" si="66"/>
        <v>0</v>
      </c>
      <c r="BV54" s="580">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36">
        <f t="shared" si="80"/>
        <v>0.95</v>
      </c>
      <c r="Y55" s="536">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73" t="s">
        <v>102</v>
      </c>
      <c r="AM55" s="574">
        <f>$L82/1000</f>
        <v>0</v>
      </c>
      <c r="AN55" s="575">
        <f t="shared" si="77"/>
        <v>0</v>
      </c>
      <c r="AO55" s="576">
        <f t="shared" si="78"/>
        <v>0</v>
      </c>
      <c r="AP55" s="576">
        <f t="shared" si="79"/>
        <v>0</v>
      </c>
      <c r="AQ55" s="596">
        <f t="shared" si="28"/>
        <v>0</v>
      </c>
      <c r="AR55" s="576">
        <f t="shared" si="29"/>
        <v>0</v>
      </c>
      <c r="AS55" s="577">
        <f t="shared" si="30"/>
        <v>0</v>
      </c>
      <c r="AT55" s="574">
        <f t="shared" si="85"/>
        <v>0</v>
      </c>
      <c r="AU55" s="575">
        <f t="shared" si="85"/>
        <v>0</v>
      </c>
      <c r="AV55" s="580">
        <f t="shared" si="85"/>
        <v>0</v>
      </c>
      <c r="AX55" s="356"/>
      <c r="AY55" s="573" t="s">
        <v>102</v>
      </c>
      <c r="AZ55" s="574">
        <f>$L102/1000</f>
        <v>0</v>
      </c>
      <c r="BA55" s="575">
        <f>AZ55*$AN$23</f>
        <v>0</v>
      </c>
      <c r="BB55" s="576">
        <f t="shared" si="60"/>
        <v>0</v>
      </c>
      <c r="BC55" s="576">
        <f t="shared" si="61"/>
        <v>0</v>
      </c>
      <c r="BD55" s="574">
        <f t="shared" si="33"/>
        <v>0</v>
      </c>
      <c r="BE55" s="575">
        <f t="shared" si="34"/>
        <v>0</v>
      </c>
      <c r="BF55" s="580">
        <f t="shared" si="35"/>
        <v>0</v>
      </c>
      <c r="BG55" s="574">
        <f t="shared" si="62"/>
        <v>0</v>
      </c>
      <c r="BH55" s="575">
        <f t="shared" si="63"/>
        <v>0</v>
      </c>
      <c r="BI55" s="580">
        <f t="shared" si="64"/>
        <v>0</v>
      </c>
      <c r="BK55" s="356"/>
      <c r="BL55" s="573" t="s">
        <v>102</v>
      </c>
      <c r="BM55" s="574">
        <f>$L122/1000</f>
        <v>0</v>
      </c>
      <c r="BN55" s="575">
        <f>BM55*$AN$23</f>
        <v>0</v>
      </c>
      <c r="BO55" s="576">
        <f t="shared" si="53"/>
        <v>0</v>
      </c>
      <c r="BP55" s="576">
        <f t="shared" si="54"/>
        <v>0</v>
      </c>
      <c r="BQ55" s="574">
        <f t="shared" si="38"/>
        <v>0</v>
      </c>
      <c r="BR55" s="575">
        <f t="shared" si="39"/>
        <v>0</v>
      </c>
      <c r="BS55" s="580">
        <f t="shared" si="40"/>
        <v>0</v>
      </c>
      <c r="BT55" s="574">
        <f t="shared" si="65"/>
        <v>0</v>
      </c>
      <c r="BU55" s="575">
        <f t="shared" si="66"/>
        <v>0</v>
      </c>
      <c r="BV55" s="580">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404.923</v>
      </c>
      <c r="N56" s="321">
        <f t="shared" si="25"/>
        <v>0</v>
      </c>
      <c r="O56" s="321">
        <f t="shared" si="26"/>
        <v>0</v>
      </c>
      <c r="P56" s="321">
        <f t="shared" si="1"/>
        <v>404.923</v>
      </c>
      <c r="Q56" s="321">
        <f t="shared" si="2"/>
        <v>0</v>
      </c>
      <c r="R56" s="321">
        <f t="shared" si="3"/>
        <v>0</v>
      </c>
      <c r="S56" s="321">
        <f t="shared" si="4"/>
        <v>0</v>
      </c>
      <c r="T56" s="321">
        <f t="shared" si="5"/>
        <v>0</v>
      </c>
      <c r="U56" s="321">
        <f t="shared" si="6"/>
        <v>0</v>
      </c>
      <c r="V56" s="321">
        <v>5</v>
      </c>
      <c r="W56" s="343">
        <f>$N$136</f>
        <v>0.96</v>
      </c>
      <c r="X56" s="536">
        <f>$W$56</f>
        <v>0.96</v>
      </c>
      <c r="Y56" s="536">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6.5850101732673281</v>
      </c>
      <c r="AJ56" s="236"/>
      <c r="AK56" s="356"/>
      <c r="AL56" s="573" t="s">
        <v>103</v>
      </c>
      <c r="AM56" s="574">
        <f>N82/1000</f>
        <v>6.4340000000000002</v>
      </c>
      <c r="AN56" s="627">
        <f>AM56</f>
        <v>6.4340000000000002</v>
      </c>
      <c r="AO56" s="628">
        <v>0</v>
      </c>
      <c r="AP56" s="628">
        <v>0</v>
      </c>
      <c r="AQ56" s="596">
        <f t="shared" si="28"/>
        <v>6.1766453706293705</v>
      </c>
      <c r="AR56" s="576">
        <f t="shared" si="29"/>
        <v>0</v>
      </c>
      <c r="AS56" s="577">
        <f t="shared" si="30"/>
        <v>0</v>
      </c>
      <c r="AT56" s="574">
        <f t="shared" si="85"/>
        <v>6.4340055944055941</v>
      </c>
      <c r="AU56" s="575">
        <f t="shared" si="85"/>
        <v>0</v>
      </c>
      <c r="AV56" s="580">
        <f t="shared" si="85"/>
        <v>0</v>
      </c>
      <c r="AX56" s="356"/>
      <c r="AY56" s="573" t="s">
        <v>103</v>
      </c>
      <c r="AZ56" s="574">
        <f>N102/1000</f>
        <v>6.65</v>
      </c>
      <c r="BA56" s="627">
        <f>AZ56</f>
        <v>6.65</v>
      </c>
      <c r="BB56" s="628">
        <v>0</v>
      </c>
      <c r="BC56" s="628">
        <v>0</v>
      </c>
      <c r="BD56" s="574">
        <f t="shared" si="33"/>
        <v>6.3840104554455444</v>
      </c>
      <c r="BE56" s="575">
        <f t="shared" si="34"/>
        <v>0</v>
      </c>
      <c r="BF56" s="580">
        <f t="shared" si="35"/>
        <v>0</v>
      </c>
      <c r="BG56" s="574">
        <f t="shared" si="62"/>
        <v>6.6500108910891091</v>
      </c>
      <c r="BH56" s="575">
        <f t="shared" si="63"/>
        <v>0</v>
      </c>
      <c r="BI56" s="580">
        <f t="shared" si="64"/>
        <v>0</v>
      </c>
      <c r="BK56" s="356"/>
      <c r="BL56" s="573" t="s">
        <v>103</v>
      </c>
      <c r="BM56" s="574">
        <f>N122/1000</f>
        <v>6.585</v>
      </c>
      <c r="BN56" s="627">
        <f>BM56</f>
        <v>6.585</v>
      </c>
      <c r="BO56" s="628">
        <v>0</v>
      </c>
      <c r="BP56" s="628">
        <v>0</v>
      </c>
      <c r="BQ56" s="574">
        <f t="shared" si="38"/>
        <v>6.3216097663366346</v>
      </c>
      <c r="BR56" s="575">
        <f t="shared" si="39"/>
        <v>0</v>
      </c>
      <c r="BS56" s="580">
        <f t="shared" si="40"/>
        <v>0</v>
      </c>
      <c r="BT56" s="574">
        <f t="shared" si="65"/>
        <v>6.5850101732673281</v>
      </c>
      <c r="BU56" s="575">
        <f t="shared" si="66"/>
        <v>0</v>
      </c>
      <c r="BV56" s="580">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36">
        <f>$W$56</f>
        <v>0.96</v>
      </c>
      <c r="Y57" s="536">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73" t="s">
        <v>104</v>
      </c>
      <c r="AM57" s="574"/>
      <c r="AN57" s="627">
        <f>AM57</f>
        <v>0</v>
      </c>
      <c r="AO57" s="628">
        <v>0</v>
      </c>
      <c r="AP57" s="628">
        <v>0</v>
      </c>
      <c r="AQ57" s="596">
        <f t="shared" si="28"/>
        <v>0</v>
      </c>
      <c r="AR57" s="576">
        <f t="shared" si="29"/>
        <v>0</v>
      </c>
      <c r="AS57" s="577">
        <f t="shared" si="30"/>
        <v>0</v>
      </c>
      <c r="AT57" s="574"/>
      <c r="AU57" s="575"/>
      <c r="AV57" s="580"/>
      <c r="AX57" s="356"/>
      <c r="AY57" s="573" t="s">
        <v>104</v>
      </c>
      <c r="AZ57" s="574"/>
      <c r="BA57" s="627">
        <f>AZ57</f>
        <v>0</v>
      </c>
      <c r="BB57" s="628">
        <v>0</v>
      </c>
      <c r="BC57" s="628">
        <v>0</v>
      </c>
      <c r="BD57" s="574">
        <f t="shared" si="33"/>
        <v>0</v>
      </c>
      <c r="BE57" s="575">
        <f t="shared" si="34"/>
        <v>0</v>
      </c>
      <c r="BF57" s="580">
        <f t="shared" si="35"/>
        <v>0</v>
      </c>
      <c r="BG57" s="574"/>
      <c r="BH57" s="575"/>
      <c r="BI57" s="580"/>
      <c r="BK57" s="356"/>
      <c r="BL57" s="573" t="s">
        <v>104</v>
      </c>
      <c r="BM57" s="574"/>
      <c r="BN57" s="627">
        <f>BM57</f>
        <v>0</v>
      </c>
      <c r="BO57" s="628">
        <v>0</v>
      </c>
      <c r="BP57" s="628">
        <v>0</v>
      </c>
      <c r="BQ57" s="574">
        <f t="shared" si="38"/>
        <v>0</v>
      </c>
      <c r="BR57" s="575">
        <f t="shared" si="39"/>
        <v>0</v>
      </c>
      <c r="BS57" s="580">
        <f t="shared" si="40"/>
        <v>0</v>
      </c>
      <c r="BT57" s="574"/>
      <c r="BU57" s="575"/>
      <c r="BV57" s="580"/>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100.17200000000001</v>
      </c>
      <c r="N58" s="324">
        <f t="shared" si="25"/>
        <v>5.5660000000000007</v>
      </c>
      <c r="O58" s="324">
        <f t="shared" si="26"/>
        <v>5.5660000000000007</v>
      </c>
      <c r="P58" s="324">
        <f t="shared" si="1"/>
        <v>100.17200000000001</v>
      </c>
      <c r="Q58" s="324">
        <f t="shared" si="2"/>
        <v>5.5660000000000007</v>
      </c>
      <c r="R58" s="324">
        <f t="shared" si="3"/>
        <v>5.5660000000000007</v>
      </c>
      <c r="S58" s="324">
        <f t="shared" si="4"/>
        <v>0</v>
      </c>
      <c r="T58" s="324">
        <f t="shared" si="5"/>
        <v>0</v>
      </c>
      <c r="U58" s="324">
        <f t="shared" si="6"/>
        <v>0</v>
      </c>
      <c r="V58" s="572">
        <v>5</v>
      </c>
      <c r="W58" s="345">
        <f>M136</f>
        <v>0.95</v>
      </c>
      <c r="X58" s="537">
        <f t="shared" si="80"/>
        <v>0.95</v>
      </c>
      <c r="Y58" s="537">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1.7376516769150603</v>
      </c>
      <c r="AJ58" s="236"/>
      <c r="AK58" s="355"/>
      <c r="AL58" s="581" t="s">
        <v>61</v>
      </c>
      <c r="AM58" s="574">
        <f>M82/1000</f>
        <v>1.8901079999999999</v>
      </c>
      <c r="AN58" s="575">
        <f t="shared" si="77"/>
        <v>1.7010972</v>
      </c>
      <c r="AO58" s="576">
        <f t="shared" si="78"/>
        <v>9.4505400000000003E-2</v>
      </c>
      <c r="AP58" s="576">
        <f t="shared" si="79"/>
        <v>9.4505400000000003E-2</v>
      </c>
      <c r="AQ58" s="596">
        <f t="shared" si="28"/>
        <v>1.6160546013986017</v>
      </c>
      <c r="AR58" s="576">
        <f t="shared" si="29"/>
        <v>8.9787812187812205E-2</v>
      </c>
      <c r="AS58" s="577">
        <f t="shared" si="30"/>
        <v>8.9787812187812205E-2</v>
      </c>
      <c r="AT58" s="574">
        <f t="shared" ref="AT58:AV62" si="87">IFERROR(AQ58/W58,0)</f>
        <v>1.7011101067353702</v>
      </c>
      <c r="AU58" s="575">
        <f t="shared" si="87"/>
        <v>9.4513486513486539E-2</v>
      </c>
      <c r="AV58" s="580">
        <f t="shared" si="87"/>
        <v>9.4513486513486539E-2</v>
      </c>
      <c r="AX58" s="355"/>
      <c r="AY58" s="581" t="s">
        <v>61</v>
      </c>
      <c r="AZ58" s="574">
        <f>M102/1000</f>
        <v>1.8620279999999998</v>
      </c>
      <c r="BA58" s="575">
        <f>AZ58*$AN$23</f>
        <v>1.6758251999999998</v>
      </c>
      <c r="BB58" s="576">
        <f t="shared" si="60"/>
        <v>9.3101400000000001E-2</v>
      </c>
      <c r="BC58" s="576">
        <f t="shared" si="61"/>
        <v>9.3101400000000001E-2</v>
      </c>
      <c r="BD58" s="574">
        <f t="shared" si="33"/>
        <v>1.592037196039604</v>
      </c>
      <c r="BE58" s="575">
        <f t="shared" si="34"/>
        <v>8.8456918811881197E-2</v>
      </c>
      <c r="BF58" s="580">
        <f t="shared" si="35"/>
        <v>8.8456918811881197E-2</v>
      </c>
      <c r="BG58" s="574">
        <f t="shared" ref="BG58:BI62" si="88">IFERROR(BD58/W58,0)</f>
        <v>1.6758286274101095</v>
      </c>
      <c r="BH58" s="575">
        <f t="shared" si="88"/>
        <v>9.3112546117769687E-2</v>
      </c>
      <c r="BI58" s="580">
        <f t="shared" si="88"/>
        <v>9.3112546117769687E-2</v>
      </c>
      <c r="BK58" s="355"/>
      <c r="BL58" s="581" t="s">
        <v>61</v>
      </c>
      <c r="BM58" s="574">
        <f>M122/1000</f>
        <v>1.829088</v>
      </c>
      <c r="BN58" s="575">
        <f>BM58*$AN$23</f>
        <v>1.6461792000000002</v>
      </c>
      <c r="BO58" s="576">
        <f t="shared" si="53"/>
        <v>9.1454400000000005E-2</v>
      </c>
      <c r="BP58" s="576">
        <f t="shared" si="54"/>
        <v>9.1454400000000005E-2</v>
      </c>
      <c r="BQ58" s="574">
        <f t="shared" si="38"/>
        <v>1.5638733623762378</v>
      </c>
      <c r="BR58" s="575">
        <f t="shared" si="39"/>
        <v>8.6895730693069329E-2</v>
      </c>
      <c r="BS58" s="580">
        <f t="shared" si="40"/>
        <v>8.6895730693069329E-2</v>
      </c>
      <c r="BT58" s="574">
        <f t="shared" ref="BT58:BV62" si="89">IFERROR(BQ58/W58,0)</f>
        <v>1.6461824867118293</v>
      </c>
      <c r="BU58" s="575">
        <f t="shared" si="89"/>
        <v>9.1469190203230882E-2</v>
      </c>
      <c r="BV58" s="580">
        <f t="shared" si="89"/>
        <v>9.1469190203230882E-2</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562.36800000000005</v>
      </c>
      <c r="N59" s="323">
        <f t="shared" si="25"/>
        <v>31.243000000000002</v>
      </c>
      <c r="O59" s="323">
        <f t="shared" si="26"/>
        <v>31.243000000000002</v>
      </c>
      <c r="P59" s="323">
        <f t="shared" si="1"/>
        <v>562.36800000000005</v>
      </c>
      <c r="Q59" s="323">
        <f t="shared" si="2"/>
        <v>31.243000000000002</v>
      </c>
      <c r="R59" s="323">
        <f t="shared" si="3"/>
        <v>31.243000000000002</v>
      </c>
      <c r="S59" s="323">
        <f t="shared" si="4"/>
        <v>0</v>
      </c>
      <c r="T59" s="323">
        <f t="shared" si="5"/>
        <v>0</v>
      </c>
      <c r="U59" s="323">
        <f t="shared" si="6"/>
        <v>0</v>
      </c>
      <c r="V59" s="323">
        <v>5</v>
      </c>
      <c r="W59" s="343">
        <v>1</v>
      </c>
      <c r="X59" s="536">
        <v>1</v>
      </c>
      <c r="Y59" s="536">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9.2673844039603974</v>
      </c>
      <c r="AJ59" s="236"/>
      <c r="AK59" s="545" t="str">
        <f ca="1">F59</f>
        <v>IODLA</v>
      </c>
      <c r="AL59" s="592" t="s">
        <v>61</v>
      </c>
      <c r="AM59" s="593">
        <f>M80/1000</f>
        <v>10.080575999999999</v>
      </c>
      <c r="AN59" s="594">
        <f t="shared" si="77"/>
        <v>9.0725183999999999</v>
      </c>
      <c r="AO59" s="597">
        <f t="shared" si="78"/>
        <v>0.50402879999999994</v>
      </c>
      <c r="AP59" s="597">
        <f t="shared" si="79"/>
        <v>0.50402879999999994</v>
      </c>
      <c r="AQ59" s="598">
        <f t="shared" si="28"/>
        <v>9.0725228451548467</v>
      </c>
      <c r="AR59" s="597">
        <f t="shared" si="29"/>
        <v>0.50404042357642376</v>
      </c>
      <c r="AS59" s="599">
        <f t="shared" si="30"/>
        <v>0.50404042357642376</v>
      </c>
      <c r="AT59" s="593">
        <f t="shared" si="87"/>
        <v>9.0725228451548467</v>
      </c>
      <c r="AU59" s="594">
        <f t="shared" si="87"/>
        <v>0.50404042357642376</v>
      </c>
      <c r="AV59" s="595">
        <f t="shared" si="87"/>
        <v>0.50404042357642376</v>
      </c>
      <c r="AX59" s="545" t="str">
        <f t="shared" ca="1" si="12"/>
        <v>IODLA</v>
      </c>
      <c r="AY59" s="592" t="s">
        <v>61</v>
      </c>
      <c r="AZ59" s="593">
        <f>M100/1000</f>
        <v>9.9308160000000001</v>
      </c>
      <c r="BA59" s="594">
        <f>AZ59*$AN$23</f>
        <v>8.9377344000000001</v>
      </c>
      <c r="BB59" s="597">
        <f t="shared" si="60"/>
        <v>0.4965408</v>
      </c>
      <c r="BC59" s="597">
        <f t="shared" si="61"/>
        <v>0.4965408</v>
      </c>
      <c r="BD59" s="593">
        <f t="shared" si="33"/>
        <v>8.9377395326732678</v>
      </c>
      <c r="BE59" s="594">
        <f t="shared" si="34"/>
        <v>0.4965514930693069</v>
      </c>
      <c r="BF59" s="595">
        <f t="shared" si="35"/>
        <v>0.4965514930693069</v>
      </c>
      <c r="BG59" s="593">
        <f t="shared" si="88"/>
        <v>8.9377395326732678</v>
      </c>
      <c r="BH59" s="594">
        <f t="shared" si="88"/>
        <v>0.4965514930693069</v>
      </c>
      <c r="BI59" s="595">
        <f t="shared" si="88"/>
        <v>0.4965514930693069</v>
      </c>
      <c r="BK59" s="545" t="str">
        <f ca="1">AK59</f>
        <v>IODLA</v>
      </c>
      <c r="BL59" s="592" t="s">
        <v>61</v>
      </c>
      <c r="BM59" s="593">
        <f>M120/1000</f>
        <v>9.7551360000000003</v>
      </c>
      <c r="BN59" s="594">
        <f>BM59*$AN$23</f>
        <v>8.7796224000000009</v>
      </c>
      <c r="BO59" s="597">
        <f t="shared" si="53"/>
        <v>0.48775680000000005</v>
      </c>
      <c r="BP59" s="597">
        <f t="shared" si="54"/>
        <v>0.48775680000000005</v>
      </c>
      <c r="BQ59" s="593">
        <f t="shared" si="38"/>
        <v>8.7796224000000009</v>
      </c>
      <c r="BR59" s="594">
        <f t="shared" si="39"/>
        <v>0.4877620039603961</v>
      </c>
      <c r="BS59" s="595">
        <f t="shared" si="40"/>
        <v>0.4877620039603961</v>
      </c>
      <c r="BT59" s="593">
        <f t="shared" si="89"/>
        <v>8.7796224000000009</v>
      </c>
      <c r="BU59" s="594">
        <f t="shared" si="89"/>
        <v>0.4877620039603961</v>
      </c>
      <c r="BV59" s="595">
        <f t="shared" si="89"/>
        <v>0.4877620039603961</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2144.0279999999998</v>
      </c>
      <c r="N60" s="324">
        <f t="shared" si="25"/>
        <v>119.113</v>
      </c>
      <c r="O60" s="324">
        <f t="shared" si="26"/>
        <v>119.113</v>
      </c>
      <c r="P60" s="324">
        <f t="shared" si="1"/>
        <v>2144.0279999999998</v>
      </c>
      <c r="Q60" s="324">
        <f t="shared" si="2"/>
        <v>119.113</v>
      </c>
      <c r="R60" s="324">
        <f t="shared" si="3"/>
        <v>119.113</v>
      </c>
      <c r="S60" s="324">
        <f t="shared" si="4"/>
        <v>0</v>
      </c>
      <c r="T60" s="324">
        <f t="shared" si="5"/>
        <v>0</v>
      </c>
      <c r="U60" s="324">
        <f t="shared" si="6"/>
        <v>0</v>
      </c>
      <c r="V60" s="572">
        <v>5</v>
      </c>
      <c r="W60" s="345">
        <v>1</v>
      </c>
      <c r="X60" s="537">
        <v>1</v>
      </c>
      <c r="Y60" s="537">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35.331888403960392</v>
      </c>
      <c r="AJ60" s="236"/>
      <c r="AK60" s="550" t="str">
        <f ca="1">F60</f>
        <v>IODEM</v>
      </c>
      <c r="AL60" s="592" t="s">
        <v>61</v>
      </c>
      <c r="AM60" s="593">
        <f>M81/1000</f>
        <v>38.432195999999998</v>
      </c>
      <c r="AN60" s="594">
        <f t="shared" si="77"/>
        <v>34.5889764</v>
      </c>
      <c r="AO60" s="597">
        <f t="shared" si="78"/>
        <v>1.9216097999999999</v>
      </c>
      <c r="AP60" s="597">
        <f t="shared" si="79"/>
        <v>1.9216097999999999</v>
      </c>
      <c r="AQ60" s="598">
        <f t="shared" si="28"/>
        <v>34.588990393606402</v>
      </c>
      <c r="AR60" s="597">
        <f t="shared" si="29"/>
        <v>1.9216167032967038</v>
      </c>
      <c r="AS60" s="599">
        <f t="shared" si="30"/>
        <v>1.9216167032967038</v>
      </c>
      <c r="AT60" s="593">
        <f t="shared" si="87"/>
        <v>34.588990393606402</v>
      </c>
      <c r="AU60" s="594">
        <f t="shared" si="87"/>
        <v>1.9216167032967038</v>
      </c>
      <c r="AV60" s="595">
        <f t="shared" si="87"/>
        <v>1.9216167032967038</v>
      </c>
      <c r="AX60" s="550" t="str">
        <f t="shared" ca="1" si="12"/>
        <v>IODEM</v>
      </c>
      <c r="AY60" s="592" t="s">
        <v>61</v>
      </c>
      <c r="AZ60" s="593">
        <f>M101/1000</f>
        <v>37.861235999999998</v>
      </c>
      <c r="BA60" s="594">
        <f>AZ60*$AN$23</f>
        <v>34.075112400000002</v>
      </c>
      <c r="BB60" s="597">
        <f t="shared" si="60"/>
        <v>1.8930617999999999</v>
      </c>
      <c r="BC60" s="597">
        <f t="shared" si="61"/>
        <v>1.8930617999999999</v>
      </c>
      <c r="BD60" s="593">
        <f t="shared" si="33"/>
        <v>34.07511635643565</v>
      </c>
      <c r="BE60" s="594">
        <f t="shared" si="34"/>
        <v>1.8930654891089111</v>
      </c>
      <c r="BF60" s="595">
        <f t="shared" si="35"/>
        <v>1.8930654891089111</v>
      </c>
      <c r="BG60" s="593">
        <f t="shared" si="88"/>
        <v>34.07511635643565</v>
      </c>
      <c r="BH60" s="594">
        <f t="shared" si="88"/>
        <v>1.8930654891089111</v>
      </c>
      <c r="BI60" s="595">
        <f t="shared" si="88"/>
        <v>1.8930654891089111</v>
      </c>
      <c r="BK60" s="550" t="str">
        <f ca="1">AK60</f>
        <v>IODEM</v>
      </c>
      <c r="BL60" s="592" t="s">
        <v>61</v>
      </c>
      <c r="BM60" s="593">
        <f>M121/1000</f>
        <v>37.191455999999995</v>
      </c>
      <c r="BN60" s="594">
        <f>BM60*$AN$23</f>
        <v>33.472310399999998</v>
      </c>
      <c r="BO60" s="597">
        <f t="shared" si="53"/>
        <v>1.8595727999999998</v>
      </c>
      <c r="BP60" s="597">
        <f t="shared" si="54"/>
        <v>1.8595727999999998</v>
      </c>
      <c r="BQ60" s="593">
        <f t="shared" si="38"/>
        <v>33.472310399999998</v>
      </c>
      <c r="BR60" s="594">
        <f t="shared" si="39"/>
        <v>1.8595780039603962</v>
      </c>
      <c r="BS60" s="595">
        <f t="shared" si="40"/>
        <v>1.8595780039603962</v>
      </c>
      <c r="BT60" s="593">
        <f t="shared" si="89"/>
        <v>33.472310399999998</v>
      </c>
      <c r="BU60" s="594">
        <f t="shared" si="89"/>
        <v>1.8595780039603962</v>
      </c>
      <c r="BV60" s="595">
        <f t="shared" si="89"/>
        <v>1.8595780039603962</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36">
        <f t="shared" ref="X61:Y62" si="90">W61</f>
        <v>1</v>
      </c>
      <c r="Y61" s="536">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50" t="str">
        <f ca="1">F61</f>
        <v>IODTF</v>
      </c>
      <c r="AL61" s="592" t="s">
        <v>59</v>
      </c>
      <c r="AM61" s="593">
        <f>F79/1000</f>
        <v>10.294799999999999</v>
      </c>
      <c r="AN61" s="594">
        <f t="shared" si="77"/>
        <v>9.2653199999999991</v>
      </c>
      <c r="AO61" s="597">
        <f t="shared" si="78"/>
        <v>0.51473999999999998</v>
      </c>
      <c r="AP61" s="597">
        <f t="shared" si="79"/>
        <v>0.51473999999999998</v>
      </c>
      <c r="AQ61" s="598">
        <f t="shared" si="28"/>
        <v>9.2653303576423607</v>
      </c>
      <c r="AR61" s="597">
        <f t="shared" si="29"/>
        <v>0.5147519520479521</v>
      </c>
      <c r="AS61" s="599">
        <f t="shared" si="30"/>
        <v>0.5147519520479521</v>
      </c>
      <c r="AT61" s="593">
        <f t="shared" si="87"/>
        <v>9.2653303576423607</v>
      </c>
      <c r="AU61" s="594">
        <f t="shared" si="87"/>
        <v>0.5147519520479521</v>
      </c>
      <c r="AV61" s="595">
        <f t="shared" si="87"/>
        <v>0.5147519520479521</v>
      </c>
      <c r="AX61" s="550" t="str">
        <f t="shared" ca="1" si="12"/>
        <v>IODTF</v>
      </c>
      <c r="AY61" s="592" t="s">
        <v>59</v>
      </c>
      <c r="AZ61" s="593">
        <f>F99/1000</f>
        <v>3.896074</v>
      </c>
      <c r="BA61" s="594">
        <f>AZ61*$AN$23</f>
        <v>3.5064666</v>
      </c>
      <c r="BB61" s="597">
        <f t="shared" si="60"/>
        <v>0.19480370000000002</v>
      </c>
      <c r="BC61" s="597">
        <f t="shared" si="61"/>
        <v>0.19480370000000002</v>
      </c>
      <c r="BD61" s="593">
        <f t="shared" si="33"/>
        <v>3.5064753504950499</v>
      </c>
      <c r="BE61" s="594">
        <f t="shared" si="34"/>
        <v>0.19480505346534654</v>
      </c>
      <c r="BF61" s="595">
        <f t="shared" si="35"/>
        <v>0.19480505346534654</v>
      </c>
      <c r="BG61" s="593">
        <f t="shared" si="88"/>
        <v>3.5064753504950499</v>
      </c>
      <c r="BH61" s="594">
        <f t="shared" si="88"/>
        <v>0.19480505346534654</v>
      </c>
      <c r="BI61" s="595">
        <f t="shared" si="88"/>
        <v>0.19480505346534654</v>
      </c>
      <c r="BK61" s="550" t="str">
        <f ca="1">AK61</f>
        <v>IODTF</v>
      </c>
      <c r="BL61" s="592" t="s">
        <v>59</v>
      </c>
      <c r="BM61" s="593">
        <f>F119/1000</f>
        <v>3.219525</v>
      </c>
      <c r="BN61" s="594">
        <f>BM61*$AN$23</f>
        <v>2.8975724999999999</v>
      </c>
      <c r="BO61" s="597">
        <f t="shared" si="53"/>
        <v>0.16097625000000002</v>
      </c>
      <c r="BP61" s="597">
        <f t="shared" si="54"/>
        <v>0.16097625000000002</v>
      </c>
      <c r="BQ61" s="593">
        <f t="shared" si="38"/>
        <v>2.8975807603960395</v>
      </c>
      <c r="BR61" s="594">
        <f t="shared" si="39"/>
        <v>0.16098971881188118</v>
      </c>
      <c r="BS61" s="595">
        <f t="shared" si="40"/>
        <v>0.16098971881188118</v>
      </c>
      <c r="BT61" s="593">
        <f t="shared" si="89"/>
        <v>2.8975807603960395</v>
      </c>
      <c r="BU61" s="594">
        <f t="shared" si="89"/>
        <v>0.16098971881188118</v>
      </c>
      <c r="BV61" s="595">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f t="shared" si="24"/>
        <v>18.698</v>
      </c>
      <c r="N62" s="323">
        <f t="shared" si="25"/>
        <v>1.0389999999999999</v>
      </c>
      <c r="O62" s="323">
        <f t="shared" si="26"/>
        <v>1.0389999999999999</v>
      </c>
      <c r="P62" s="323">
        <f t="shared" si="1"/>
        <v>18.698</v>
      </c>
      <c r="Q62" s="323">
        <f t="shared" si="2"/>
        <v>1.0389999999999999</v>
      </c>
      <c r="R62" s="323">
        <f t="shared" si="3"/>
        <v>1.0389999999999999</v>
      </c>
      <c r="S62" s="323">
        <f t="shared" si="4"/>
        <v>0</v>
      </c>
      <c r="T62" s="323">
        <f t="shared" si="5"/>
        <v>0</v>
      </c>
      <c r="U62" s="323">
        <f t="shared" si="6"/>
        <v>0</v>
      </c>
      <c r="V62" s="323">
        <v>5</v>
      </c>
      <c r="W62" s="343">
        <v>1</v>
      </c>
      <c r="X62" s="536">
        <f t="shared" si="90"/>
        <v>1</v>
      </c>
      <c r="Y62" s="536">
        <f t="shared" si="90"/>
        <v>1</v>
      </c>
      <c r="Z62" s="326">
        <f t="shared" si="86"/>
        <v>3.1536000000000002E-2</v>
      </c>
      <c r="AA62" s="392">
        <f>$AA$61</f>
        <v>0.5</v>
      </c>
      <c r="AB62" s="331">
        <v>20</v>
      </c>
      <c r="AC62" s="326"/>
      <c r="AD62" s="326"/>
      <c r="AE62" s="331"/>
      <c r="AG62" s="236">
        <f t="shared" si="82"/>
        <v>1.1195122477522481</v>
      </c>
      <c r="AH62" s="236">
        <f t="shared" si="83"/>
        <v>0.19472699405940597</v>
      </c>
      <c r="AI62" s="236">
        <f t="shared" si="84"/>
        <v>0.30813169900990101</v>
      </c>
      <c r="AJ62" s="236"/>
      <c r="AK62" s="550" t="str">
        <f ca="1">F62</f>
        <v>IODFL</v>
      </c>
      <c r="AL62" s="546" t="s">
        <v>53</v>
      </c>
      <c r="AM62" s="547">
        <f>H79/1000</f>
        <v>1.1784190147628137</v>
      </c>
      <c r="AN62" s="548">
        <f t="shared" si="77"/>
        <v>1.0605771132865325</v>
      </c>
      <c r="AO62" s="549">
        <f t="shared" si="78"/>
        <v>5.8920950738140687E-2</v>
      </c>
      <c r="AP62" s="549">
        <f t="shared" si="79"/>
        <v>5.8920950738140687E-2</v>
      </c>
      <c r="AQ62" s="559">
        <f t="shared" si="28"/>
        <v>1.0605830889110892</v>
      </c>
      <c r="AR62" s="549">
        <f t="shared" si="29"/>
        <v>5.8929158841158846E-2</v>
      </c>
      <c r="AS62" s="555">
        <f t="shared" si="30"/>
        <v>5.8929158841158846E-2</v>
      </c>
      <c r="AT62" s="560">
        <f t="shared" si="87"/>
        <v>1.0605830889110892</v>
      </c>
      <c r="AU62" s="551">
        <f t="shared" si="87"/>
        <v>5.8929158841158846E-2</v>
      </c>
      <c r="AV62" s="552">
        <f t="shared" si="87"/>
        <v>5.8929158841158846E-2</v>
      </c>
      <c r="AX62" s="550" t="str">
        <f t="shared" ca="1" si="12"/>
        <v>IODFL</v>
      </c>
      <c r="AY62" s="546" t="s">
        <v>53</v>
      </c>
      <c r="AZ62" s="547">
        <f>H99/1000</f>
        <v>0.20495199663550195</v>
      </c>
      <c r="BA62" s="548">
        <f>AZ62*$AN$23</f>
        <v>0.18445679697195178</v>
      </c>
      <c r="BB62" s="549">
        <f t="shared" si="60"/>
        <v>1.0247599831775098E-2</v>
      </c>
      <c r="BC62" s="549">
        <f t="shared" si="61"/>
        <v>1.0247599831775098E-2</v>
      </c>
      <c r="BD62" s="560">
        <f t="shared" si="33"/>
        <v>0.18446998811881188</v>
      </c>
      <c r="BE62" s="551">
        <f t="shared" si="34"/>
        <v>1.0257005940594061E-2</v>
      </c>
      <c r="BF62" s="552">
        <f t="shared" si="35"/>
        <v>1.0257005940594061E-2</v>
      </c>
      <c r="BG62" s="560">
        <f t="shared" si="88"/>
        <v>0.18446998811881188</v>
      </c>
      <c r="BH62" s="551">
        <f t="shared" si="88"/>
        <v>1.0257005940594061E-2</v>
      </c>
      <c r="BI62" s="552">
        <f t="shared" si="88"/>
        <v>1.0257005940594061E-2</v>
      </c>
      <c r="BK62" s="550" t="str">
        <f ca="1">AK62</f>
        <v>IODFL</v>
      </c>
      <c r="BL62" s="546" t="s">
        <v>53</v>
      </c>
      <c r="BM62" s="547">
        <f>H119/1000</f>
        <v>0.32432887709876745</v>
      </c>
      <c r="BN62" s="548">
        <f>BM62*$AN$23</f>
        <v>0.29189598938889072</v>
      </c>
      <c r="BO62" s="549">
        <f t="shared" si="53"/>
        <v>1.6216443854938374E-2</v>
      </c>
      <c r="BP62" s="549">
        <f t="shared" si="54"/>
        <v>1.6216443854938374E-2</v>
      </c>
      <c r="BQ62" s="560">
        <f t="shared" si="38"/>
        <v>0.29191095445544557</v>
      </c>
      <c r="BR62" s="551">
        <f t="shared" si="39"/>
        <v>1.6220744554455446E-2</v>
      </c>
      <c r="BS62" s="552">
        <f t="shared" si="40"/>
        <v>1.6220744554455446E-2</v>
      </c>
      <c r="BT62" s="560">
        <f t="shared" si="89"/>
        <v>0.29191095445544557</v>
      </c>
      <c r="BU62" s="551">
        <f t="shared" si="89"/>
        <v>1.6220744554455446E-2</v>
      </c>
      <c r="BV62" s="552">
        <f t="shared" si="89"/>
        <v>1.6220744554455446E-2</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20"/>
      <c r="H64" s="521"/>
      <c r="I64" s="521"/>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22"/>
      <c r="AG66" s="522"/>
      <c r="AH66" s="522"/>
      <c r="AI66" s="522"/>
      <c r="AJ66" s="522"/>
      <c r="AK66" s="522"/>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510</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513</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27508.82</v>
      </c>
      <c r="J77" s="14">
        <f t="shared" si="93"/>
        <v>0</v>
      </c>
      <c r="K77" s="14">
        <f t="shared" si="93"/>
        <v>0</v>
      </c>
      <c r="L77" s="14">
        <f t="shared" si="93"/>
        <v>0</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27508.82</v>
      </c>
      <c r="J83" s="18">
        <f t="shared" si="99"/>
        <v>0</v>
      </c>
      <c r="K83" s="18">
        <f t="shared" si="99"/>
        <v>0</v>
      </c>
      <c r="L83" s="18">
        <f t="shared" si="99"/>
        <v>0</v>
      </c>
      <c r="M83" s="18">
        <f t="shared" si="99"/>
        <v>63003.6</v>
      </c>
      <c r="N83" s="18">
        <f t="shared" si="99"/>
        <v>6434</v>
      </c>
      <c r="O83" s="86"/>
      <c r="T83" s="117" t="str">
        <f>+'Energy matrix'!B11</f>
        <v>Natural gas</v>
      </c>
      <c r="U83" s="117"/>
      <c r="V83" s="118">
        <f>+INDEX('Energy matrix'!C11:O11,1,$D$2)</f>
        <v>27508.82</v>
      </c>
      <c r="W83" s="117"/>
    </row>
    <row r="84" spans="3:23" ht="12.75" customHeight="1">
      <c r="E84" s="285"/>
      <c r="F84" s="285"/>
      <c r="G84" s="285"/>
      <c r="H84" s="285"/>
      <c r="I84" s="285"/>
      <c r="J84" s="285"/>
      <c r="K84" s="285"/>
      <c r="O84" s="86"/>
      <c r="T84" s="117" t="str">
        <f>+'Energy matrix'!B12</f>
        <v>Biogas</v>
      </c>
      <c r="U84" s="117"/>
      <c r="V84" s="118">
        <f>+INDEX('Energy matrix'!C12:O12,1,$D$2)</f>
        <v>0</v>
      </c>
      <c r="W84" s="117"/>
    </row>
    <row r="85" spans="3:23" ht="12.75" customHeight="1">
      <c r="E85" s="285"/>
      <c r="F85" s="285"/>
      <c r="G85" s="285"/>
      <c r="H85" s="285"/>
      <c r="I85" s="285"/>
      <c r="J85" s="285"/>
      <c r="K85" s="285"/>
      <c r="O85" s="86"/>
      <c r="T85" s="117" t="str">
        <f>+'Energy matrix'!B13</f>
        <v>Biomass</v>
      </c>
      <c r="U85" s="117"/>
      <c r="V85" s="118">
        <f>+INDEX('Energy matrix'!C13:O13,1,$D$2)</f>
        <v>0</v>
      </c>
      <c r="W85" s="117"/>
    </row>
    <row r="86" spans="3:23" ht="12.75" customHeight="1">
      <c r="O86" s="86"/>
      <c r="T86" s="117" t="str">
        <f>+'Energy matrix'!B14</f>
        <v>Waste</v>
      </c>
      <c r="U86" s="117"/>
      <c r="V86" s="118">
        <f>+INDEX('Energy matrix'!C14:O14,1,$D$2)</f>
        <v>0</v>
      </c>
      <c r="W86" s="117"/>
    </row>
    <row r="87" spans="3:23" ht="12.75" customHeight="1">
      <c r="O87" s="86"/>
      <c r="T87" s="117" t="str">
        <f>+'Energy matrix'!B15</f>
        <v>Electricity</v>
      </c>
      <c r="U87" s="117"/>
      <c r="V87" s="118">
        <f>+INDEX('Energy matrix'!C15:O15,1,$D$2)</f>
        <v>63003.6</v>
      </c>
      <c r="W87" s="117"/>
    </row>
    <row r="88" spans="3:23" ht="12.75" customHeight="1">
      <c r="O88" s="86"/>
      <c r="T88" s="122" t="str">
        <f>+'Energy matrix'!B16</f>
        <v>District Heating</v>
      </c>
      <c r="U88" s="122"/>
      <c r="V88" s="123">
        <f>+INDEX('Energy matrix'!C16:O16,1,$D$2)</f>
        <v>6434</v>
      </c>
      <c r="W88" s="122"/>
    </row>
    <row r="89" spans="3:23" ht="12.75" customHeight="1">
      <c r="O89" s="86"/>
      <c r="T89" s="291"/>
      <c r="U89" s="291"/>
      <c r="W89" s="291"/>
    </row>
    <row r="90" spans="3:23" ht="12.75" customHeight="1">
      <c r="C90" s="259" t="s">
        <v>511</v>
      </c>
      <c r="E90" s="285"/>
      <c r="F90" s="285"/>
      <c r="G90" s="285"/>
      <c r="H90" s="285"/>
      <c r="I90" s="285"/>
      <c r="J90" s="285"/>
      <c r="K90" s="285"/>
      <c r="O90" s="86"/>
      <c r="T90" s="117" t="s">
        <v>57</v>
      </c>
      <c r="U90" s="117"/>
      <c r="V90" s="118">
        <f>SUM(V78:V88)</f>
        <v>109526.45699999999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str">
        <f t="array" ref="E93">+IF(AND(UPPER(TRANSPOSE(T98:T108))=UPPER(MID(D96:N96,4,99))),"Ok","ERROR")</f>
        <v>Ok</v>
      </c>
      <c r="F93" s="285"/>
      <c r="G93" s="285"/>
      <c r="H93" s="285"/>
      <c r="I93" s="285"/>
      <c r="J93" s="285"/>
      <c r="K93" s="285"/>
      <c r="T93" s="260"/>
      <c r="U93" s="260"/>
      <c r="V93" s="261"/>
      <c r="W93" s="260"/>
    </row>
    <row r="94" spans="3:23" ht="12.75" customHeight="1">
      <c r="C94" s="285" t="s">
        <v>209</v>
      </c>
      <c r="O94" s="86"/>
      <c r="T94" s="127" t="s">
        <v>514</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27687.599999999999</v>
      </c>
      <c r="J97" s="14">
        <f t="shared" si="102"/>
        <v>0</v>
      </c>
      <c r="K97" s="14">
        <f t="shared" si="102"/>
        <v>0</v>
      </c>
      <c r="L97" s="14">
        <f t="shared" si="102"/>
        <v>0</v>
      </c>
      <c r="M97" s="14">
        <f t="shared" si="102"/>
        <v>6206.76</v>
      </c>
      <c r="N97" s="14">
        <f t="shared" si="102"/>
        <v>0</v>
      </c>
      <c r="O97" s="86"/>
      <c r="T97" s="48" t="s">
        <v>209</v>
      </c>
      <c r="U97" s="48"/>
      <c r="V97" s="126" t="str">
        <f>+INDEX('Energy matrix'!C24:O24,1,$D$2)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f t="shared" si="103"/>
        <v>0</v>
      </c>
      <c r="K98" s="14">
        <f t="shared" si="103"/>
        <v>0</v>
      </c>
      <c r="L98" s="14">
        <f t="shared" si="103"/>
        <v>0</v>
      </c>
      <c r="M98" s="14">
        <f t="shared" si="103"/>
        <v>6206.76</v>
      </c>
      <c r="N98" s="14">
        <f t="shared" si="103"/>
        <v>0</v>
      </c>
      <c r="O98" s="86"/>
      <c r="T98" s="117" t="str">
        <f>'Energy matrix'!B25</f>
        <v>Coal</v>
      </c>
      <c r="U98" s="117"/>
      <c r="V98" s="118">
        <f>+INDEX('Energy matrix'!C25:O25,1,$D$2)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f t="shared" si="104"/>
        <v>0</v>
      </c>
      <c r="K99" s="19">
        <f t="shared" si="104"/>
        <v>0</v>
      </c>
      <c r="L99" s="19">
        <f t="shared" si="104"/>
        <v>0</v>
      </c>
      <c r="M99" s="19">
        <f t="shared" si="104"/>
        <v>0</v>
      </c>
      <c r="N99" s="19">
        <f t="shared" si="104"/>
        <v>0</v>
      </c>
      <c r="O99" s="86"/>
      <c r="T99" s="117" t="str">
        <f>'Energy matrix'!B26</f>
        <v>Fuel Oil</v>
      </c>
      <c r="U99" s="117"/>
      <c r="V99" s="118">
        <f>+INDEX('Energy matrix'!C26:O26,1,$D$2)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f t="shared" si="105"/>
        <v>0</v>
      </c>
      <c r="K100" s="14">
        <f t="shared" si="105"/>
        <v>0</v>
      </c>
      <c r="L100" s="14">
        <f t="shared" si="105"/>
        <v>0</v>
      </c>
      <c r="M100" s="14">
        <f t="shared" si="105"/>
        <v>9930.8160000000007</v>
      </c>
      <c r="N100" s="14">
        <f t="shared" si="105"/>
        <v>0</v>
      </c>
      <c r="O100" s="86"/>
      <c r="T100" s="117" t="str">
        <f>'Energy matrix'!B27</f>
        <v>Diesel</v>
      </c>
      <c r="U100" s="117"/>
      <c r="V100" s="118">
        <f>+INDEX('Energy matrix'!C27:O27,1,$D$2)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f t="shared" si="106"/>
        <v>0</v>
      </c>
      <c r="K101" s="14">
        <f t="shared" si="106"/>
        <v>0</v>
      </c>
      <c r="L101" s="14">
        <f t="shared" si="106"/>
        <v>0</v>
      </c>
      <c r="M101" s="14">
        <f t="shared" si="106"/>
        <v>37861.235999999997</v>
      </c>
      <c r="N101" s="14">
        <f t="shared" si="106"/>
        <v>0</v>
      </c>
      <c r="O101" s="86"/>
      <c r="T101" s="117" t="str">
        <f>'Energy matrix'!B28</f>
        <v>Gasoline</v>
      </c>
      <c r="U101" s="117"/>
      <c r="V101" s="118">
        <f>+INDEX('Energy matrix'!C28:O28,1,$D$2)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f t="shared" si="107"/>
        <v>0</v>
      </c>
      <c r="K102" s="14">
        <f t="shared" si="107"/>
        <v>0</v>
      </c>
      <c r="L102" s="14">
        <f t="shared" si="107"/>
        <v>0</v>
      </c>
      <c r="M102" s="14">
        <f t="shared" si="107"/>
        <v>1862.0279999999998</v>
      </c>
      <c r="N102" s="14">
        <f t="shared" si="107"/>
        <v>6650</v>
      </c>
      <c r="O102" s="86"/>
      <c r="T102" s="117" t="str">
        <f>'Energy matrix'!B29</f>
        <v>LPG</v>
      </c>
      <c r="U102" s="117"/>
      <c r="V102" s="118">
        <f>+INDEX('Energy matrix'!C29:O29,1,$D$2)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27687.599999999999</v>
      </c>
      <c r="J103" s="18">
        <f t="shared" si="108"/>
        <v>0</v>
      </c>
      <c r="K103" s="18">
        <f t="shared" si="108"/>
        <v>0</v>
      </c>
      <c r="L103" s="18">
        <f t="shared" si="108"/>
        <v>0</v>
      </c>
      <c r="M103" s="18">
        <f t="shared" si="108"/>
        <v>62067.6</v>
      </c>
      <c r="N103" s="18">
        <f t="shared" si="108"/>
        <v>6650</v>
      </c>
      <c r="O103" s="86"/>
      <c r="T103" s="117" t="str">
        <f>'Energy matrix'!B31</f>
        <v>Natural gas</v>
      </c>
      <c r="U103" s="117"/>
      <c r="V103" s="118">
        <f>+INDEX('Energy matrix'!C31:O31,1,$D$2)</f>
        <v>27687.599999999999</v>
      </c>
      <c r="W103" s="117"/>
    </row>
    <row r="104" spans="3:23" ht="12.75" customHeight="1">
      <c r="E104" s="285"/>
      <c r="F104" s="285"/>
      <c r="G104" s="285"/>
      <c r="H104" s="285"/>
      <c r="I104" s="285"/>
      <c r="J104" s="285"/>
      <c r="K104" s="285"/>
      <c r="O104" s="86"/>
      <c r="T104" s="117" t="str">
        <f>'Energy matrix'!B32</f>
        <v>Biogas</v>
      </c>
      <c r="U104" s="117"/>
      <c r="V104" s="118">
        <f>+INDEX('Energy matrix'!C32:O32,1,$D$2)</f>
        <v>0</v>
      </c>
      <c r="W104" s="117"/>
    </row>
    <row r="105" spans="3:23" ht="12.75" customHeight="1">
      <c r="E105" s="285"/>
      <c r="F105" s="285"/>
      <c r="G105" s="285"/>
      <c r="H105" s="285"/>
      <c r="I105" s="285"/>
      <c r="J105" s="285"/>
      <c r="K105" s="285"/>
      <c r="O105" s="86"/>
      <c r="T105" s="117" t="str">
        <f>'Energy matrix'!B33</f>
        <v>Biomass</v>
      </c>
      <c r="U105" s="117"/>
      <c r="V105" s="118">
        <f>+INDEX('Energy matrix'!C33:O33,1,$D$2)</f>
        <v>0</v>
      </c>
      <c r="W105" s="117"/>
    </row>
    <row r="106" spans="3:23" ht="12.75" customHeight="1">
      <c r="O106" s="86"/>
      <c r="T106" s="117" t="str">
        <f>'Energy matrix'!B34</f>
        <v>Waste</v>
      </c>
      <c r="U106" s="117"/>
      <c r="V106" s="118">
        <f>+INDEX('Energy matrix'!C34:O34,1,$D$2)</f>
        <v>0</v>
      </c>
      <c r="W106" s="117"/>
    </row>
    <row r="107" spans="3:23" ht="12.75" customHeight="1">
      <c r="O107" s="86"/>
      <c r="T107" s="117" t="str">
        <f>'Energy matrix'!B35</f>
        <v>Electricity</v>
      </c>
      <c r="U107" s="117"/>
      <c r="V107" s="118">
        <f>+INDEX('Energy matrix'!C35:O35,1,$D$2)</f>
        <v>62067.6</v>
      </c>
      <c r="W107" s="117"/>
    </row>
    <row r="108" spans="3:23" ht="12.75" customHeight="1">
      <c r="O108" s="86"/>
      <c r="T108" s="122" t="str">
        <f>'Energy matrix'!B36</f>
        <v>District Heating</v>
      </c>
      <c r="U108" s="122"/>
      <c r="V108" s="123">
        <f>+INDEX('Energy matrix'!C36:O36,1,$D$2)</f>
        <v>6650</v>
      </c>
      <c r="W108" s="122"/>
    </row>
    <row r="109" spans="3:23" ht="12.75" customHeight="1">
      <c r="O109" s="86"/>
      <c r="T109" s="291"/>
      <c r="U109" s="291"/>
      <c r="W109" s="291"/>
    </row>
    <row r="110" spans="3:23" ht="12.75" customHeight="1">
      <c r="C110" s="259" t="s">
        <v>512</v>
      </c>
      <c r="E110" s="285"/>
      <c r="F110" s="285"/>
      <c r="G110" s="285"/>
      <c r="H110" s="285"/>
      <c r="I110" s="285"/>
      <c r="J110" s="285"/>
      <c r="K110" s="285"/>
      <c r="O110" s="86"/>
      <c r="T110" s="117" t="s">
        <v>57</v>
      </c>
      <c r="U110" s="117"/>
      <c r="V110" s="118">
        <f>SUM(V98:V108)</f>
        <v>100762.575</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str">
        <f t="array" ref="E113">+IF(AND(UPPER(TRANSPOSE(T118:T128))=UPPER(MID(D116:N116,4,99))),"Ok","ERROR")</f>
        <v>Ok</v>
      </c>
      <c r="F113" s="285"/>
      <c r="G113" s="285"/>
      <c r="H113" s="285"/>
      <c r="I113" s="285"/>
      <c r="J113" s="285"/>
      <c r="K113" s="285"/>
      <c r="T113" s="287"/>
      <c r="U113" s="287"/>
      <c r="V113" s="287"/>
      <c r="W113" s="287"/>
    </row>
    <row r="114" spans="3:31" ht="12.75" customHeight="1">
      <c r="C114" s="285" t="s">
        <v>209</v>
      </c>
      <c r="O114" s="86"/>
      <c r="T114" s="127" t="s">
        <v>515</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matrix'!B43</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f t="shared" si="111"/>
        <v>107.685</v>
      </c>
      <c r="I117" s="14">
        <f t="shared" si="111"/>
        <v>29694.444</v>
      </c>
      <c r="J117" s="14">
        <f t="shared" si="111"/>
        <v>0</v>
      </c>
      <c r="K117" s="14">
        <f t="shared" si="111"/>
        <v>0</v>
      </c>
      <c r="L117" s="14">
        <f t="shared" si="111"/>
        <v>0</v>
      </c>
      <c r="M117" s="14">
        <f t="shared" si="111"/>
        <v>6096.96</v>
      </c>
      <c r="N117" s="14">
        <f t="shared" si="111"/>
        <v>0</v>
      </c>
      <c r="O117" s="86"/>
      <c r="T117" s="48" t="s">
        <v>209</v>
      </c>
      <c r="U117" s="48"/>
      <c r="V117" s="126" t="str">
        <f>+INDEX('Energy matrix'!C44:O44,1,$D$2)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f t="shared" si="112"/>
        <v>0</v>
      </c>
      <c r="I118" s="14">
        <f t="shared" si="112"/>
        <v>0</v>
      </c>
      <c r="J118" s="14">
        <f t="shared" si="112"/>
        <v>0</v>
      </c>
      <c r="K118" s="14">
        <f t="shared" si="112"/>
        <v>0</v>
      </c>
      <c r="L118" s="14">
        <f t="shared" si="112"/>
        <v>0</v>
      </c>
      <c r="M118" s="14">
        <f t="shared" si="112"/>
        <v>6096.96</v>
      </c>
      <c r="N118" s="14">
        <f t="shared" si="112"/>
        <v>0</v>
      </c>
      <c r="O118" s="86"/>
      <c r="T118" s="117" t="str">
        <f>'Energy matrix'!B45</f>
        <v>Coal</v>
      </c>
      <c r="U118" s="117"/>
      <c r="V118" s="118">
        <f>+INDEX('Energy matrix'!C45:O45,1,$D$2)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f t="shared" si="113"/>
        <v>324.32887709876746</v>
      </c>
      <c r="I119" s="19">
        <f t="shared" si="113"/>
        <v>0</v>
      </c>
      <c r="J119" s="19">
        <f t="shared" si="113"/>
        <v>0</v>
      </c>
      <c r="K119" s="19">
        <f t="shared" si="113"/>
        <v>0</v>
      </c>
      <c r="L119" s="19">
        <f t="shared" si="113"/>
        <v>0</v>
      </c>
      <c r="M119" s="19">
        <f t="shared" si="113"/>
        <v>0</v>
      </c>
      <c r="N119" s="19">
        <f t="shared" si="113"/>
        <v>0</v>
      </c>
      <c r="O119" s="86"/>
      <c r="T119" s="117" t="str">
        <f>'Energy matrix'!B46</f>
        <v>Fuel Oil</v>
      </c>
      <c r="U119" s="117"/>
      <c r="V119" s="118">
        <f>+INDEX('Energy matrix'!C46:O46,1,$D$2)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f t="shared" si="114"/>
        <v>0</v>
      </c>
      <c r="I120" s="14">
        <f t="shared" si="114"/>
        <v>0</v>
      </c>
      <c r="J120" s="14">
        <f t="shared" si="114"/>
        <v>0</v>
      </c>
      <c r="K120" s="14">
        <f t="shared" si="114"/>
        <v>0</v>
      </c>
      <c r="L120" s="14">
        <f t="shared" si="114"/>
        <v>0</v>
      </c>
      <c r="M120" s="14">
        <f t="shared" si="114"/>
        <v>9755.1360000000004</v>
      </c>
      <c r="N120" s="14">
        <f t="shared" si="114"/>
        <v>0</v>
      </c>
      <c r="O120" s="86"/>
      <c r="T120" s="117" t="str">
        <f>'Energy matrix'!B47</f>
        <v>Diesel</v>
      </c>
      <c r="U120" s="117"/>
      <c r="V120" s="118">
        <f>+INDEX('Energy matrix'!C47:O47,1,$D$2)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f t="shared" si="115"/>
        <v>0</v>
      </c>
      <c r="I121" s="14">
        <f t="shared" si="115"/>
        <v>0</v>
      </c>
      <c r="J121" s="14">
        <f t="shared" si="115"/>
        <v>0</v>
      </c>
      <c r="K121" s="14">
        <f t="shared" si="115"/>
        <v>0</v>
      </c>
      <c r="L121" s="14">
        <f t="shared" si="115"/>
        <v>0</v>
      </c>
      <c r="M121" s="14">
        <f t="shared" si="115"/>
        <v>37191.455999999998</v>
      </c>
      <c r="N121" s="14">
        <f t="shared" si="115"/>
        <v>0</v>
      </c>
      <c r="O121" s="86"/>
      <c r="T121" s="117" t="str">
        <f>'Energy matrix'!B48</f>
        <v>Gasoline</v>
      </c>
      <c r="U121" s="117"/>
      <c r="V121" s="118">
        <f>+INDEX('Energy matrix'!C48:O48,1,$D$2)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f t="shared" si="116"/>
        <v>0</v>
      </c>
      <c r="I122" s="14">
        <f t="shared" si="116"/>
        <v>0</v>
      </c>
      <c r="J122" s="14">
        <f t="shared" si="116"/>
        <v>0</v>
      </c>
      <c r="K122" s="14">
        <f t="shared" si="116"/>
        <v>0</v>
      </c>
      <c r="L122" s="14">
        <f t="shared" si="116"/>
        <v>0</v>
      </c>
      <c r="M122" s="14">
        <f t="shared" si="116"/>
        <v>1829.088</v>
      </c>
      <c r="N122" s="14">
        <f t="shared" si="116"/>
        <v>6585</v>
      </c>
      <c r="O122" s="86"/>
      <c r="T122" s="117" t="str">
        <f>'Energy matrix'!B49</f>
        <v>LPG</v>
      </c>
      <c r="U122" s="117"/>
      <c r="V122" s="118">
        <f>+INDEX('Energy matrix'!C49:O49,1,$D$2)</f>
        <v>430.74</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f t="shared" si="117"/>
        <v>432.01387709876747</v>
      </c>
      <c r="I123" s="18">
        <f t="shared" si="117"/>
        <v>29694.444</v>
      </c>
      <c r="J123" s="18">
        <f t="shared" si="117"/>
        <v>0</v>
      </c>
      <c r="K123" s="18">
        <f t="shared" si="117"/>
        <v>0</v>
      </c>
      <c r="L123" s="18">
        <f t="shared" si="117"/>
        <v>0</v>
      </c>
      <c r="M123" s="18">
        <f t="shared" si="117"/>
        <v>60969.600000000006</v>
      </c>
      <c r="N123" s="18">
        <f t="shared" si="117"/>
        <v>6585</v>
      </c>
      <c r="O123" s="86"/>
      <c r="T123" s="117" t="str">
        <f>'Energy matrix'!B51</f>
        <v>Natural gas</v>
      </c>
      <c r="U123" s="117"/>
      <c r="V123" s="118">
        <f>+INDEX('Energy matrix'!C51:O51,1,$D$2)</f>
        <v>29694.444</v>
      </c>
      <c r="W123" s="117"/>
    </row>
    <row r="124" spans="3:31" ht="12.75" customHeight="1">
      <c r="E124" s="285"/>
      <c r="F124" s="285"/>
      <c r="G124" s="285"/>
      <c r="H124" s="285"/>
      <c r="I124" s="285"/>
      <c r="J124" s="285"/>
      <c r="K124" s="285"/>
      <c r="O124" s="86"/>
      <c r="T124" s="117" t="str">
        <f>'Energy matrix'!B52</f>
        <v>Biogas</v>
      </c>
      <c r="U124" s="117"/>
      <c r="V124" s="118">
        <f>+INDEX('Energy matrix'!C52:O52,1,$D$2)</f>
        <v>0</v>
      </c>
      <c r="W124" s="117"/>
    </row>
    <row r="125" spans="3:31" ht="12.75" customHeight="1">
      <c r="E125" s="285"/>
      <c r="F125" s="285"/>
      <c r="G125" s="285"/>
      <c r="H125" s="285"/>
      <c r="I125" s="285"/>
      <c r="J125" s="285"/>
      <c r="K125" s="285"/>
      <c r="O125" s="86"/>
      <c r="T125" s="117" t="str">
        <f>'Energy matrix'!B53</f>
        <v>Biomass</v>
      </c>
      <c r="U125" s="117"/>
      <c r="V125" s="118">
        <f>+INDEX('Energy matrix'!C53:O53,1,$D$2)</f>
        <v>0</v>
      </c>
      <c r="W125" s="117"/>
    </row>
    <row r="126" spans="3:31" ht="12.75" customHeight="1">
      <c r="O126" s="86"/>
      <c r="T126" s="117" t="str">
        <f>'Energy matrix'!B54</f>
        <v>Waste</v>
      </c>
      <c r="U126" s="117"/>
      <c r="V126" s="118">
        <f>+INDEX('Energy matrix'!C54:O54,1,$D$2)</f>
        <v>0</v>
      </c>
      <c r="W126" s="117"/>
    </row>
    <row r="127" spans="3:31" ht="12.75" customHeight="1">
      <c r="O127" s="86"/>
      <c r="T127" s="117" t="str">
        <f>'Energy matrix'!B55</f>
        <v>Electricity</v>
      </c>
      <c r="U127" s="117"/>
      <c r="V127" s="118">
        <f>+INDEX('Energy matrix'!C55:O55,1,$D$2)</f>
        <v>60969.599999999999</v>
      </c>
      <c r="W127" s="117"/>
    </row>
    <row r="128" spans="3:31" ht="12.75" customHeight="1">
      <c r="C128" s="285" t="s">
        <v>293</v>
      </c>
      <c r="D128" s="519"/>
      <c r="F128" s="285"/>
      <c r="G128" s="285"/>
      <c r="H128" s="285"/>
      <c r="I128" s="285"/>
      <c r="J128" s="285"/>
      <c r="K128" s="285"/>
      <c r="O128" s="86"/>
      <c r="T128" s="117" t="str">
        <f>'Energy matrix'!B56</f>
        <v>District Heating</v>
      </c>
      <c r="U128" s="122"/>
      <c r="V128" s="118">
        <f>+INDEX('Energy matrix'!C56:O56,1,$D$2)</f>
        <v>6585</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102414.15700000001</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0.15273752532687146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18" t="s">
        <v>509</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534</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535</v>
      </c>
      <c r="E151" s="22"/>
      <c r="F151" s="22"/>
      <c r="G151" s="22"/>
      <c r="H151" s="22">
        <v>0</v>
      </c>
      <c r="I151" s="22"/>
      <c r="J151" s="22"/>
      <c r="K151" s="22">
        <v>0</v>
      </c>
      <c r="L151" s="624"/>
      <c r="M151" s="22">
        <v>0</v>
      </c>
      <c r="N151" s="22">
        <v>0.1</v>
      </c>
      <c r="O151" s="22">
        <v>0</v>
      </c>
      <c r="P151" s="287"/>
      <c r="Q151" s="287"/>
      <c r="R151" s="285"/>
      <c r="S151" s="285"/>
    </row>
    <row r="152" spans="3:20">
      <c r="C152" s="15"/>
      <c r="D152" s="13" t="s">
        <v>536</v>
      </c>
      <c r="E152" s="22">
        <v>0</v>
      </c>
      <c r="F152" s="22">
        <v>0</v>
      </c>
      <c r="G152" s="22">
        <v>1</v>
      </c>
      <c r="H152" s="625">
        <v>1</v>
      </c>
      <c r="I152" s="22">
        <v>0.7529574153753249</v>
      </c>
      <c r="J152" s="22">
        <v>0</v>
      </c>
      <c r="K152" s="22">
        <v>0</v>
      </c>
      <c r="L152" s="22"/>
      <c r="M152" s="22">
        <v>0</v>
      </c>
      <c r="N152" s="22">
        <v>0</v>
      </c>
      <c r="O152" s="22">
        <v>0</v>
      </c>
      <c r="P152" s="287"/>
      <c r="Q152" s="287"/>
      <c r="R152" s="285"/>
      <c r="S152" s="285"/>
    </row>
    <row r="153" spans="3:20">
      <c r="C153" s="15"/>
      <c r="D153" s="13" t="s">
        <v>537</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538</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539</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80" zoomScaleNormal="80" workbookViewId="0">
      <selection activeCell="G22" sqref="G2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485</v>
      </c>
      <c r="Q5" s="381" t="s">
        <v>342</v>
      </c>
      <c r="R5" s="381" t="s">
        <v>359</v>
      </c>
      <c r="S5" s="381" t="s">
        <v>238</v>
      </c>
      <c r="T5" s="381" t="s">
        <v>543</v>
      </c>
      <c r="U5" s="381" t="s">
        <v>355</v>
      </c>
      <c r="V5" s="381" t="s">
        <v>544</v>
      </c>
      <c r="W5" s="381" t="s">
        <v>253</v>
      </c>
      <c r="X5" s="381" t="s">
        <v>240</v>
      </c>
      <c r="Y5" s="380" t="s">
        <v>346</v>
      </c>
      <c r="Z5" s="381" t="s">
        <v>239</v>
      </c>
      <c r="AA5" s="381" t="s">
        <v>357</v>
      </c>
      <c r="AB5" s="381" t="s">
        <v>299</v>
      </c>
      <c r="AC5" s="381" t="s">
        <v>485</v>
      </c>
      <c r="AD5" s="381" t="s">
        <v>342</v>
      </c>
      <c r="AE5" s="381" t="s">
        <v>359</v>
      </c>
      <c r="AF5" s="381" t="s">
        <v>238</v>
      </c>
      <c r="AG5" s="381" t="s">
        <v>543</v>
      </c>
      <c r="AH5" s="381" t="s">
        <v>355</v>
      </c>
      <c r="AI5" s="381" t="s">
        <v>544</v>
      </c>
      <c r="AJ5" s="381" t="s">
        <v>253</v>
      </c>
      <c r="AK5" s="381" t="s">
        <v>240</v>
      </c>
    </row>
    <row r="6" spans="1:37">
      <c r="B6" s="146" t="str">
        <f>Processes!D488</f>
        <v>FT-INDNGA</v>
      </c>
      <c r="C6" s="146" t="str">
        <f>Processes!E488</f>
        <v>FT-INDIND</v>
      </c>
      <c r="D6" s="146" t="s">
        <v>578</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18"/>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584</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29">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577</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576</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574</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59"/>
  <sheetViews>
    <sheetView showGridLines="0" tabSelected="1" topLeftCell="A16" zoomScale="130" zoomScaleNormal="130" workbookViewId="0">
      <selection activeCell="G24" sqref="G24"/>
    </sheetView>
  </sheetViews>
  <sheetFormatPr baseColWidth="10" defaultColWidth="9.1640625" defaultRowHeight="12.75" customHeight="1"/>
  <cols>
    <col min="1" max="1" width="7.5" style="128" customWidth="1"/>
    <col min="2" max="2" width="14.6640625" style="128" bestFit="1"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9" ht="12.75" customHeight="1">
      <c r="B1" s="25" t="s">
        <v>504</v>
      </c>
      <c r="C1" s="25"/>
      <c r="D1" s="25"/>
      <c r="F1" s="25"/>
      <c r="G1" s="25"/>
      <c r="H1" s="516" t="s">
        <v>503</v>
      </c>
      <c r="I1" s="25"/>
      <c r="J1" s="34"/>
      <c r="K1" s="25"/>
      <c r="L1" s="25"/>
      <c r="M1" s="25"/>
      <c r="N1" s="25"/>
      <c r="O1" s="25"/>
    </row>
    <row r="2" spans="2:19" ht="12.75" customHeight="1">
      <c r="B2" s="25"/>
      <c r="C2" s="25"/>
      <c r="D2" s="25"/>
      <c r="E2" s="25"/>
      <c r="F2" s="25"/>
      <c r="G2" s="25"/>
      <c r="H2" s="25"/>
      <c r="I2" s="116"/>
      <c r="J2" s="116"/>
      <c r="K2" s="116"/>
      <c r="L2" s="116"/>
      <c r="M2" s="116"/>
      <c r="N2" s="116"/>
    </row>
    <row r="3" spans="2:19" ht="12.75" customHeight="1">
      <c r="B3" s="115">
        <v>2010</v>
      </c>
      <c r="E3" s="25"/>
      <c r="F3" s="25"/>
      <c r="G3" s="25"/>
      <c r="I3" s="25"/>
      <c r="J3" s="25"/>
      <c r="L3" s="25"/>
      <c r="M3" s="25"/>
      <c r="N3" s="25"/>
      <c r="P3" s="128" t="s">
        <v>193</v>
      </c>
    </row>
    <row r="4" spans="2:19" ht="12.75" customHeight="1">
      <c r="B4" s="25" t="s">
        <v>505</v>
      </c>
      <c r="C4" s="120" t="s">
        <v>474</v>
      </c>
      <c r="D4" s="120" t="s">
        <v>475</v>
      </c>
      <c r="E4" s="120" t="s">
        <v>476</v>
      </c>
      <c r="F4" s="120" t="s">
        <v>477</v>
      </c>
      <c r="G4" s="120" t="s">
        <v>478</v>
      </c>
      <c r="H4" s="120" t="s">
        <v>342</v>
      </c>
      <c r="I4" s="120" t="s">
        <v>479</v>
      </c>
      <c r="J4" s="120" t="s">
        <v>480</v>
      </c>
      <c r="K4" s="120" t="s">
        <v>481</v>
      </c>
      <c r="L4" s="120" t="s">
        <v>482</v>
      </c>
      <c r="M4" s="120" t="s">
        <v>483</v>
      </c>
      <c r="N4" s="120" t="s">
        <v>253</v>
      </c>
      <c r="O4" s="120" t="s">
        <v>484</v>
      </c>
      <c r="P4" s="121" t="s">
        <v>57</v>
      </c>
    </row>
    <row r="5" spans="2:19" ht="12.75" customHeight="1">
      <c r="B5" s="129" t="s">
        <v>55</v>
      </c>
      <c r="C5" s="118">
        <f>_xlfn.IFNA(INDEX('2010'!$C$6:$U$55,MATCH(C$4,'2010'!$B$6:$B$55,0),MATCH($B5,'2010'!$C$1:$U$1,0)),0)</f>
        <v>29540.659</v>
      </c>
      <c r="D5" s="118">
        <f>_xlfn.IFNA(INDEX('2010'!$C$6:$U$55,MATCH(D$4,'2010'!$B$6:$B$55,0),MATCH($B5,'2010'!$C$1:$U$1,0)),0)</f>
        <v>21580.32</v>
      </c>
      <c r="E5" s="118">
        <f>_xlfn.IFNA(INDEX('2010'!$C$6:$U$55,MATCH(E$4,'2010'!$B$6:$B$55,0),MATCH($B5,'2010'!$C$1:$U$1,0)),0)</f>
        <v>1043.671</v>
      </c>
      <c r="F5" s="118">
        <f>_xlfn.IFNA(INDEX('2010'!$C$6:$U$55,MATCH(F$4,'2010'!$B$6:$B$55,0),MATCH($B5,'2010'!$C$1:$U$1,0)),0)</f>
        <v>56552.896000000001</v>
      </c>
      <c r="G5" s="118">
        <f>_xlfn.IFNA(INDEX('2010'!$C$6:$U$55,MATCH(G$4,'2010'!$B$6:$B$55,0),MATCH($B5,'2010'!$C$1:$U$1,0)),0)</f>
        <v>687.6</v>
      </c>
      <c r="H5" s="118">
        <f>_xlfn.IFNA(INDEX('2010'!$C$6:$U$55,MATCH(H$4,'2010'!$B$6:$B$55,0),MATCH($B5,'2010'!$C$1:$U$1,0)),0)</f>
        <v>720.02099999999996</v>
      </c>
      <c r="I5" s="118">
        <f>_xlfn.IFNA(INDEX('2010'!$C$6:$U$55,MATCH(I$4,'2010'!$B$6:$B$55,0),MATCH($B5,'2010'!$C$1:$U$1,0)),0)</f>
        <v>2252.96</v>
      </c>
      <c r="J5" s="118">
        <f>_xlfn.IFNA(INDEX('2010'!$C$6:$U$55,MATCH(J$4,'2010'!$B$6:$B$55,0),MATCH($B5,'2010'!$C$1:$U$1,0)),0)</f>
        <v>8542.4750000000004</v>
      </c>
      <c r="K5" s="118">
        <f>_xlfn.IFNA(INDEX('2010'!$C$6:$U$55,MATCH(K$4,'2010'!$B$6:$B$55,0),MATCH($B5,'2010'!$C$1:$U$1,0)),0)</f>
        <v>15931.112999999999</v>
      </c>
      <c r="L5" s="118">
        <f>_xlfn.IFNA(INDEX('2010'!$C$6:$U$55,MATCH(L$4,'2010'!$B$6:$B$55,0),MATCH($B5,'2010'!$C$1:$U$1,0)),0)</f>
        <v>42.006</v>
      </c>
      <c r="M5" s="118">
        <f>_xlfn.IFNA(INDEX('2010'!$C$6:$U$55,MATCH(M$4,'2010'!$B$6:$B$55,0),MATCH($B5,'2010'!$C$1:$U$1,0)),0)</f>
        <v>426.83199999999999</v>
      </c>
      <c r="N5" s="118">
        <f>_xlfn.IFNA(INDEX('2010'!$C$6:$U$55,MATCH(N$4,'2010'!$B$6:$B$55,0),MATCH($B5,'2010'!$C$1:$U$1,0)),0)</f>
        <v>0</v>
      </c>
      <c r="O5" s="118">
        <f>_xlfn.IFNA(INDEX('2010'!$C$6:$U$55,MATCH(O$4,'2010'!$B$6:$B$55,0),MATCH($B5,'2010'!$C$1:$U$1,0)),0)</f>
        <v>357.05099999999999</v>
      </c>
      <c r="P5" s="118">
        <f>SUM(C5:O5)</f>
        <v>137677.60400000002</v>
      </c>
    </row>
    <row r="6" spans="2:19" ht="12.75" customHeight="1">
      <c r="B6" s="129" t="s">
        <v>54</v>
      </c>
      <c r="C6" s="118">
        <f>_xlfn.IFNA(INDEX('2010'!$C$6:$U$55,MATCH(C$4,'2010'!$B$6:$B$55,0),MATCH($B6,'2010'!$C$1:$U$1,0)),0)</f>
        <v>201.74</v>
      </c>
      <c r="D6" s="118">
        <f>_xlfn.IFNA(INDEX('2010'!$C$6:$U$55,MATCH(D$4,'2010'!$B$6:$B$55,0),MATCH($B6,'2010'!$C$1:$U$1,0)),0)</f>
        <v>45956.372000000003</v>
      </c>
      <c r="E6" s="118">
        <f>_xlfn.IFNA(INDEX('2010'!$C$6:$U$55,MATCH(E$4,'2010'!$B$6:$B$55,0),MATCH($B6,'2010'!$C$1:$U$1,0)),0)</f>
        <v>968.35199999999998</v>
      </c>
      <c r="F6" s="118">
        <f>_xlfn.IFNA(INDEX('2010'!$C$6:$U$55,MATCH(F$4,'2010'!$B$6:$B$55,0),MATCH($B6,'2010'!$C$1:$U$1,0)),0)</f>
        <v>7746.8159999999998</v>
      </c>
      <c r="G6" s="118">
        <f>_xlfn.IFNA(INDEX('2010'!$C$6:$U$55,MATCH(G$4,'2010'!$B$6:$B$55,0),MATCH($B6,'2010'!$C$1:$U$1,0)),0)</f>
        <v>0</v>
      </c>
      <c r="H6" s="118">
        <f>_xlfn.IFNA(INDEX('2010'!$C$6:$U$55,MATCH(H$4,'2010'!$B$6:$B$55,0),MATCH($B6,'2010'!$C$1:$U$1,0)),0)</f>
        <v>121.044</v>
      </c>
      <c r="I6" s="118">
        <f>_xlfn.IFNA(INDEX('2010'!$C$6:$U$55,MATCH(I$4,'2010'!$B$6:$B$55,0),MATCH($B6,'2010'!$C$1:$U$1,0)),0)</f>
        <v>80.695999999999998</v>
      </c>
      <c r="J6" s="118">
        <f>_xlfn.IFNA(INDEX('2010'!$C$6:$U$55,MATCH(J$4,'2010'!$B$6:$B$55,0),MATCH($B6,'2010'!$C$1:$U$1,0)),0)</f>
        <v>1896.356</v>
      </c>
      <c r="K6" s="118">
        <f>_xlfn.IFNA(INDEX('2010'!$C$6:$U$55,MATCH(K$4,'2010'!$B$6:$B$55,0),MATCH($B6,'2010'!$C$1:$U$1,0)),0)</f>
        <v>806.96</v>
      </c>
      <c r="L6" s="118">
        <f>_xlfn.IFNA(INDEX('2010'!$C$6:$U$55,MATCH(L$4,'2010'!$B$6:$B$55,0),MATCH($B6,'2010'!$C$1:$U$1,0)),0)</f>
        <v>928.00400000000002</v>
      </c>
      <c r="M6" s="118">
        <f>_xlfn.IFNA(INDEX('2010'!$C$6:$U$55,MATCH(M$4,'2010'!$B$6:$B$55,0),MATCH($B6,'2010'!$C$1:$U$1,0)),0)</f>
        <v>363.13200000000001</v>
      </c>
      <c r="N6" s="118">
        <f>_xlfn.IFNA(INDEX('2010'!$C$6:$U$55,MATCH(N$4,'2010'!$B$6:$B$55,0),MATCH($B6,'2010'!$C$1:$U$1,0)),0)</f>
        <v>0</v>
      </c>
      <c r="O6" s="118">
        <f>_xlfn.IFNA(INDEX('2010'!$C$6:$U$55,MATCH(O$4,'2010'!$B$6:$B$55,0),MATCH($B6,'2010'!$C$1:$U$1,0)),0)</f>
        <v>363.13200000000001</v>
      </c>
      <c r="P6" s="118">
        <f t="shared" ref="P6:P17" si="0">SUM(C6:O6)</f>
        <v>59432.603999999999</v>
      </c>
    </row>
    <row r="7" spans="2:19" ht="12.75" customHeight="1">
      <c r="B7" s="129" t="s">
        <v>68</v>
      </c>
      <c r="C7" s="118">
        <f>_xlfn.IFNA(INDEX('2010'!$C$6:$U$55,MATCH(C$4,'2010'!$B$6:$B$55,0),MATCH($B7,'2010'!$C$1:$U$1,0)),0)</f>
        <v>1286.8499999999999</v>
      </c>
      <c r="D7" s="118">
        <f>_xlfn.IFNA(INDEX('2010'!$C$6:$U$55,MATCH(D$4,'2010'!$B$6:$B$55,0),MATCH($B7,'2010'!$C$1:$U$1,0)),0)</f>
        <v>2916.86</v>
      </c>
      <c r="E7" s="118">
        <f>_xlfn.IFNA(INDEX('2010'!$C$6:$U$55,MATCH(E$4,'2010'!$B$6:$B$55,0),MATCH($B7,'2010'!$C$1:$U$1,0)),0)</f>
        <v>1372.64</v>
      </c>
      <c r="F7" s="118">
        <f>_xlfn.IFNA(INDEX('2010'!$C$6:$U$55,MATCH(F$4,'2010'!$B$6:$B$55,0),MATCH($B7,'2010'!$C$1:$U$1,0)),0)</f>
        <v>12396.655000000001</v>
      </c>
      <c r="G7" s="118">
        <f>_xlfn.IFNA(INDEX('2010'!$C$6:$U$55,MATCH(G$4,'2010'!$B$6:$B$55,0),MATCH($B7,'2010'!$C$1:$U$1,0)),0)</f>
        <v>3774.76</v>
      </c>
      <c r="H7" s="118">
        <f>_xlfn.IFNA(INDEX('2010'!$C$6:$U$55,MATCH(H$4,'2010'!$B$6:$B$55,0),MATCH($B7,'2010'!$C$1:$U$1,0)),0)</f>
        <v>20718.285</v>
      </c>
      <c r="I7" s="118">
        <f>_xlfn.IFNA(INDEX('2010'!$C$6:$U$55,MATCH(I$4,'2010'!$B$6:$B$55,0),MATCH($B7,'2010'!$C$1:$U$1,0)),0)</f>
        <v>1072.375</v>
      </c>
      <c r="J7" s="118">
        <f>_xlfn.IFNA(INDEX('2010'!$C$6:$U$55,MATCH(J$4,'2010'!$B$6:$B$55,0),MATCH($B7,'2010'!$C$1:$U$1,0)),0)</f>
        <v>12997.184999999999</v>
      </c>
      <c r="K7" s="118">
        <f>_xlfn.IFNA(INDEX('2010'!$C$6:$U$55,MATCH(K$4,'2010'!$B$6:$B$55,0),MATCH($B7,'2010'!$C$1:$U$1,0)),0)</f>
        <v>2916.86</v>
      </c>
      <c r="L7" s="118">
        <f>_xlfn.IFNA(INDEX('2010'!$C$6:$U$55,MATCH(L$4,'2010'!$B$6:$B$55,0),MATCH($B7,'2010'!$C$1:$U$1,0)),0)</f>
        <v>1758.6949999999999</v>
      </c>
      <c r="M7" s="118">
        <f>_xlfn.IFNA(INDEX('2010'!$C$6:$U$55,MATCH(M$4,'2010'!$B$6:$B$55,0),MATCH($B7,'2010'!$C$1:$U$1,0)),0)</f>
        <v>1372.64</v>
      </c>
      <c r="N7" s="118">
        <f>_xlfn.IFNA(INDEX('2010'!$C$6:$U$55,MATCH(N$4,'2010'!$B$6:$B$55,0),MATCH($B7,'2010'!$C$1:$U$1,0)),0)</f>
        <v>0</v>
      </c>
      <c r="O7" s="118">
        <f>_xlfn.IFNA(INDEX('2010'!$C$6:$U$55,MATCH(O$4,'2010'!$B$6:$B$55,0),MATCH($B7,'2010'!$C$1:$U$1,0)),0)</f>
        <v>10294.799999999999</v>
      </c>
      <c r="P7" s="118">
        <f t="shared" si="0"/>
        <v>72878.604999999996</v>
      </c>
    </row>
    <row r="8" spans="2:19" ht="12.75" customHeight="1">
      <c r="B8" s="129" t="s">
        <v>79</v>
      </c>
      <c r="C8" s="118">
        <f>_xlfn.IFNA(INDEX('2010'!$C$6:$U$55,MATCH(C$4,'2010'!$B$6:$B$55,0),MATCH($B8,'2010'!$C$1:$U$1,0)),0)</f>
        <v>0</v>
      </c>
      <c r="D8" s="118">
        <f>_xlfn.IFNA(INDEX('2010'!$C$6:$U$55,MATCH(D$4,'2010'!$B$6:$B$55,0),MATCH($B8,'2010'!$C$1:$U$1,0)),0)</f>
        <v>0</v>
      </c>
      <c r="E8" s="118">
        <f>_xlfn.IFNA(INDEX('2010'!$C$6:$U$55,MATCH(E$4,'2010'!$B$6:$B$55,0),MATCH($B8,'2010'!$C$1:$U$1,0)),0)</f>
        <v>0</v>
      </c>
      <c r="F8" s="118">
        <f>_xlfn.IFNA(INDEX('2010'!$C$6:$U$55,MATCH(F$4,'2010'!$B$6:$B$55,0),MATCH($B8,'2010'!$C$1:$U$1,0)),0)</f>
        <v>0</v>
      </c>
      <c r="G8" s="118">
        <f>_xlfn.IFNA(INDEX('2010'!$C$6:$U$55,MATCH(G$4,'2010'!$B$6:$B$55,0),MATCH($B8,'2010'!$C$1:$U$1,0)),0)</f>
        <v>0</v>
      </c>
      <c r="H8" s="118">
        <f>_xlfn.IFNA(INDEX('2010'!$C$6:$U$55,MATCH(H$4,'2010'!$B$6:$B$55,0),MATCH($B8,'2010'!$C$1:$U$1,0)),0)</f>
        <v>0</v>
      </c>
      <c r="I8" s="118">
        <f>_xlfn.IFNA(INDEX('2010'!$C$6:$U$55,MATCH(I$4,'2010'!$B$6:$B$55,0),MATCH($B8,'2010'!$C$1:$U$1,0)),0)</f>
        <v>0</v>
      </c>
      <c r="J8" s="118">
        <f>_xlfn.IFNA(INDEX('2010'!$C$6:$U$55,MATCH(J$4,'2010'!$B$6:$B$55,0),MATCH($B8,'2010'!$C$1:$U$1,0)),0)</f>
        <v>0</v>
      </c>
      <c r="K8" s="118">
        <f>_xlfn.IFNA(INDEX('2010'!$C$6:$U$55,MATCH(K$4,'2010'!$B$6:$B$55,0),MATCH($B8,'2010'!$C$1:$U$1,0)),0)</f>
        <v>0</v>
      </c>
      <c r="L8" s="118">
        <f>_xlfn.IFNA(INDEX('2010'!$C$6:$U$55,MATCH(L$4,'2010'!$B$6:$B$55,0),MATCH($B8,'2010'!$C$1:$U$1,0)),0)</f>
        <v>0</v>
      </c>
      <c r="M8" s="118">
        <f>_xlfn.IFNA(INDEX('2010'!$C$6:$U$55,MATCH(M$4,'2010'!$B$6:$B$55,0),MATCH($B8,'2010'!$C$1:$U$1,0)),0)</f>
        <v>0</v>
      </c>
      <c r="N8" s="118">
        <f>_xlfn.IFNA(INDEX('2010'!$C$6:$U$55,MATCH(N$4,'2010'!$B$6:$B$55,0),MATCH($B8,'2010'!$C$1:$U$1,0)),0)</f>
        <v>0</v>
      </c>
      <c r="O8" s="118">
        <f>_xlfn.IFNA(INDEX('2010'!$C$6:$U$55,MATCH(O$4,'2010'!$B$6:$B$55,0),MATCH($B8,'2010'!$C$1:$U$1,0)),0)</f>
        <v>0</v>
      </c>
      <c r="P8" s="118">
        <f t="shared" si="0"/>
        <v>0</v>
      </c>
    </row>
    <row r="9" spans="2:19" ht="12.75" customHeight="1">
      <c r="B9" s="129" t="s">
        <v>53</v>
      </c>
      <c r="C9" s="118">
        <f>_xlfn.IFNA(INDEX('2010'!$C$6:$U$55,MATCH(C$4,'2010'!$B$6:$B$55,0),MATCH($B9,'2010'!$C$1:$U$1,0)),0)</f>
        <v>2623.7669999999998</v>
      </c>
      <c r="D9" s="118">
        <f>_xlfn.IFNA(INDEX('2010'!$C$6:$U$55,MATCH(D$4,'2010'!$B$6:$B$55,0),MATCH($B9,'2010'!$C$1:$U$1,0)),0)</f>
        <v>0</v>
      </c>
      <c r="E9" s="118">
        <f>_xlfn.IFNA(INDEX('2010'!$C$6:$U$55,MATCH(E$4,'2010'!$B$6:$B$55,0),MATCH($B9,'2010'!$C$1:$U$1,0)),0)</f>
        <v>184.124</v>
      </c>
      <c r="F9" s="118">
        <f>_xlfn.IFNA(INDEX('2010'!$C$6:$U$55,MATCH(F$4,'2010'!$B$6:$B$55,0),MATCH($B9,'2010'!$C$1:$U$1,0)),0)</f>
        <v>1242.837</v>
      </c>
      <c r="G9" s="118">
        <f>_xlfn.IFNA(INDEX('2010'!$C$6:$U$55,MATCH(G$4,'2010'!$B$6:$B$55,0),MATCH($B9,'2010'!$C$1:$U$1,0)),0)</f>
        <v>230.155</v>
      </c>
      <c r="H9" s="118">
        <f>_xlfn.IFNA(INDEX('2010'!$C$6:$U$55,MATCH(H$4,'2010'!$B$6:$B$55,0),MATCH($B9,'2010'!$C$1:$U$1,0)),0)</f>
        <v>2439.643</v>
      </c>
      <c r="I9" s="118">
        <f>_xlfn.IFNA(INDEX('2010'!$C$6:$U$55,MATCH(I$4,'2010'!$B$6:$B$55,0),MATCH($B9,'2010'!$C$1:$U$1,0)),0)</f>
        <v>414.279</v>
      </c>
      <c r="J9" s="118">
        <f>_xlfn.IFNA(INDEX('2010'!$C$6:$U$55,MATCH(J$4,'2010'!$B$6:$B$55,0),MATCH($B9,'2010'!$C$1:$U$1,0)),0)</f>
        <v>1795.2090000000001</v>
      </c>
      <c r="K9" s="118">
        <f>_xlfn.IFNA(INDEX('2010'!$C$6:$U$55,MATCH(K$4,'2010'!$B$6:$B$55,0),MATCH($B9,'2010'!$C$1:$U$1,0)),0)</f>
        <v>368.24799999999999</v>
      </c>
      <c r="L9" s="118">
        <f>_xlfn.IFNA(INDEX('2010'!$C$6:$U$55,MATCH(L$4,'2010'!$B$6:$B$55,0),MATCH($B9,'2010'!$C$1:$U$1,0)),0)</f>
        <v>46.030999999999999</v>
      </c>
      <c r="M9" s="118">
        <f>_xlfn.IFNA(INDEX('2010'!$C$6:$U$55,MATCH(M$4,'2010'!$B$6:$B$55,0),MATCH($B9,'2010'!$C$1:$U$1,0)),0)</f>
        <v>46.030999999999999</v>
      </c>
      <c r="N9" s="118">
        <f>_xlfn.IFNA(INDEX('2010'!$C$6:$U$55,MATCH(N$4,'2010'!$B$6:$B$55,0),MATCH($B9,'2010'!$C$1:$U$1,0)),0)</f>
        <v>0</v>
      </c>
      <c r="O9" s="118">
        <f>_xlfn.IFNA(INDEX('2010'!$C$6:$U$55,MATCH(O$4,'2010'!$B$6:$B$55,0),MATCH($B9,'2010'!$C$1:$U$1,0)),0)</f>
        <v>1565.0540000000001</v>
      </c>
      <c r="P9" s="118">
        <f t="shared" si="0"/>
        <v>10955.378000000002</v>
      </c>
    </row>
    <row r="10" spans="2:19" ht="12.75" customHeight="1">
      <c r="B10" s="129" t="s">
        <v>589</v>
      </c>
      <c r="C10" s="118">
        <f>_xlfn.IFNA(INDEX('2010'!$C$6:$U$55,MATCH(C$4,'2010'!$B$6:$B$55,0),MATCH($B10,'2010'!$C$1:$U$1,0)),0)</f>
        <v>98063.7</v>
      </c>
      <c r="D10" s="118">
        <f>_xlfn.IFNA(INDEX('2010'!$C$6:$U$55,MATCH(D$4,'2010'!$B$6:$B$55,0),MATCH($B10,'2010'!$C$1:$U$1,0)),0)</f>
        <v>3539.7</v>
      </c>
      <c r="E10" s="118">
        <f>_xlfn.IFNA(INDEX('2010'!$C$6:$U$55,MATCH(E$4,'2010'!$B$6:$B$55,0),MATCH($B10,'2010'!$C$1:$U$1,0)),0)</f>
        <v>0</v>
      </c>
      <c r="F10" s="118">
        <f>_xlfn.IFNA(INDEX('2010'!$C$6:$U$55,MATCH(F$4,'2010'!$B$6:$B$55,0),MATCH($B10,'2010'!$C$1:$U$1,0)),0)</f>
        <v>107.1</v>
      </c>
      <c r="G10" s="118">
        <f>_xlfn.IFNA(INDEX('2010'!$C$6:$U$55,MATCH(G$4,'2010'!$B$6:$B$55,0),MATCH($B10,'2010'!$C$1:$U$1,0)),0)</f>
        <v>350.1</v>
      </c>
      <c r="H10" s="118">
        <f>_xlfn.IFNA(INDEX('2010'!$C$6:$U$55,MATCH(H$4,'2010'!$B$6:$B$55,0),MATCH($B10,'2010'!$C$1:$U$1,0)),0)</f>
        <v>0</v>
      </c>
      <c r="I10" s="118">
        <f>_xlfn.IFNA(INDEX('2010'!$C$6:$U$55,MATCH(I$4,'2010'!$B$6:$B$55,0),MATCH($B10,'2010'!$C$1:$U$1,0)),0)</f>
        <v>0</v>
      </c>
      <c r="J10" s="118">
        <f>_xlfn.IFNA(INDEX('2010'!$C$6:$U$55,MATCH(J$4,'2010'!$B$6:$B$55,0),MATCH($B10,'2010'!$C$1:$U$1,0)),0)</f>
        <v>0</v>
      </c>
      <c r="K10" s="118">
        <f>_xlfn.IFNA(INDEX('2010'!$C$6:$U$55,MATCH(K$4,'2010'!$B$6:$B$55,0),MATCH($B10,'2010'!$C$1:$U$1,0)),0)</f>
        <v>0</v>
      </c>
      <c r="L10" s="118">
        <f>_xlfn.IFNA(INDEX('2010'!$C$6:$U$55,MATCH(L$4,'2010'!$B$6:$B$55,0),MATCH($B10,'2010'!$C$1:$U$1,0)),0)</f>
        <v>0</v>
      </c>
      <c r="M10" s="118">
        <f>_xlfn.IFNA(INDEX('2010'!$C$6:$U$55,MATCH(M$4,'2010'!$B$6:$B$55,0),MATCH($B10,'2010'!$C$1:$U$1,0)),0)</f>
        <v>0</v>
      </c>
      <c r="N10" s="118">
        <f>_xlfn.IFNA(INDEX('2010'!$C$6:$U$55,MATCH(N$4,'2010'!$B$6:$B$55,0),MATCH($B10,'2010'!$C$1:$U$1,0)),0)</f>
        <v>0</v>
      </c>
      <c r="O10" s="118">
        <f>_xlfn.IFNA(INDEX('2010'!$C$6:$U$55,MATCH(O$4,'2010'!$B$6:$B$55,0),MATCH($B10,'2010'!$C$1:$U$1,0)),0)</f>
        <v>5.4</v>
      </c>
      <c r="P10" s="118">
        <f t="shared" ref="P10" si="1">SUM(C10:O10)</f>
        <v>102066</v>
      </c>
    </row>
    <row r="11" spans="2:19" ht="12.75" customHeight="1">
      <c r="B11" s="129" t="s">
        <v>51</v>
      </c>
      <c r="C11" s="118">
        <f>_xlfn.IFNA(INDEX('2010'!$C$6:$U$55,MATCH(C$4,'2010'!$B$6:$B$55,0),MATCH($B11,'2010'!$C$1:$U$1,0)),0)</f>
        <v>99519.558000000005</v>
      </c>
      <c r="D11" s="118">
        <f>_xlfn.IFNA(INDEX('2010'!$C$6:$U$55,MATCH(D$4,'2010'!$B$6:$B$55,0),MATCH($B11,'2010'!$C$1:$U$1,0)),0)</f>
        <v>224126.00700000001</v>
      </c>
      <c r="E11" s="118">
        <f>_xlfn.IFNA(INDEX('2010'!$C$6:$U$55,MATCH(E$4,'2010'!$B$6:$B$55,0),MATCH($B11,'2010'!$C$1:$U$1,0)),0)</f>
        <v>32190.673999999999</v>
      </c>
      <c r="F11" s="118">
        <f>_xlfn.IFNA(INDEX('2010'!$C$6:$U$55,MATCH(F$4,'2010'!$B$6:$B$55,0),MATCH($B11,'2010'!$C$1:$U$1,0)),0)</f>
        <v>102503.992</v>
      </c>
      <c r="G11" s="118">
        <f>_xlfn.IFNA(INDEX('2010'!$C$6:$U$55,MATCH(G$4,'2010'!$B$6:$B$55,0),MATCH($B11,'2010'!$C$1:$U$1,0)),0)</f>
        <v>38022.741999999998</v>
      </c>
      <c r="H11" s="118">
        <f>_xlfn.IFNA(INDEX('2010'!$C$6:$U$55,MATCH(H$4,'2010'!$B$6:$B$55,0),MATCH($B11,'2010'!$C$1:$U$1,0)),0)</f>
        <v>74901.570999999996</v>
      </c>
      <c r="I11" s="118">
        <f>_xlfn.IFNA(INDEX('2010'!$C$6:$U$55,MATCH(I$4,'2010'!$B$6:$B$55,0),MATCH($B11,'2010'!$C$1:$U$1,0)),0)</f>
        <v>6125.4709999999995</v>
      </c>
      <c r="J11" s="118">
        <f>_xlfn.IFNA(INDEX('2010'!$C$6:$U$55,MATCH(J$4,'2010'!$B$6:$B$55,0),MATCH($B11,'2010'!$C$1:$U$1,0)),0)</f>
        <v>105401.126</v>
      </c>
      <c r="K11" s="118">
        <f>_xlfn.IFNA(INDEX('2010'!$C$6:$U$55,MATCH(K$4,'2010'!$B$6:$B$55,0),MATCH($B11,'2010'!$C$1:$U$1,0)),0)</f>
        <v>94414.698000000004</v>
      </c>
      <c r="L11" s="118">
        <f>_xlfn.IFNA(INDEX('2010'!$C$6:$U$55,MATCH(L$4,'2010'!$B$6:$B$55,0),MATCH($B11,'2010'!$C$1:$U$1,0)),0)</f>
        <v>6317.1729999999998</v>
      </c>
      <c r="M11" s="118">
        <f>_xlfn.IFNA(INDEX('2010'!$C$6:$U$55,MATCH(M$4,'2010'!$B$6:$B$55,0),MATCH($B11,'2010'!$C$1:$U$1,0)),0)</f>
        <v>10936.927</v>
      </c>
      <c r="N11" s="118">
        <f>_xlfn.IFNA(INDEX('2010'!$C$6:$U$55,MATCH(N$4,'2010'!$B$6:$B$55,0),MATCH($B11,'2010'!$C$1:$U$1,0)),0)</f>
        <v>21828.853999999999</v>
      </c>
      <c r="O11" s="118">
        <f>_xlfn.IFNA(INDEX('2010'!$C$6:$U$55,MATCH(O$4,'2010'!$B$6:$B$55,0),MATCH($B11,'2010'!$C$1:$U$1,0)),0)</f>
        <v>27508.82</v>
      </c>
      <c r="P11" s="118">
        <f t="shared" si="0"/>
        <v>843797.61300000001</v>
      </c>
    </row>
    <row r="12" spans="2:19" ht="12.75" customHeight="1">
      <c r="B12" s="129" t="s">
        <v>77</v>
      </c>
      <c r="C12" s="118">
        <f>_xlfn.IFNA(INDEX('2010'!$C$6:$U$55,MATCH(C$4,'2010'!$B$6:$B$55,0),MATCH($B12,'2010'!$C$1:$U$1,0)),0)</f>
        <v>0</v>
      </c>
      <c r="D12" s="118">
        <f>_xlfn.IFNA(INDEX('2010'!$C$6:$U$55,MATCH(D$4,'2010'!$B$6:$B$55,0),MATCH($B12,'2010'!$C$1:$U$1,0)),0)</f>
        <v>0</v>
      </c>
      <c r="E12" s="118">
        <f>_xlfn.IFNA(INDEX('2010'!$C$6:$U$55,MATCH(E$4,'2010'!$B$6:$B$55,0),MATCH($B12,'2010'!$C$1:$U$1,0)),0)</f>
        <v>0</v>
      </c>
      <c r="F12" s="118">
        <f>_xlfn.IFNA(INDEX('2010'!$C$6:$U$55,MATCH(F$4,'2010'!$B$6:$B$55,0),MATCH($B12,'2010'!$C$1:$U$1,0)),0)</f>
        <v>0</v>
      </c>
      <c r="G12" s="118">
        <f>_xlfn.IFNA(INDEX('2010'!$C$6:$U$55,MATCH(G$4,'2010'!$B$6:$B$55,0),MATCH($B12,'2010'!$C$1:$U$1,0)),0)</f>
        <v>0</v>
      </c>
      <c r="H12" s="118">
        <f>_xlfn.IFNA(INDEX('2010'!$C$6:$U$55,MATCH(H$4,'2010'!$B$6:$B$55,0),MATCH($B12,'2010'!$C$1:$U$1,0)),0)</f>
        <v>0</v>
      </c>
      <c r="I12" s="118">
        <f>_xlfn.IFNA(INDEX('2010'!$C$6:$U$55,MATCH(I$4,'2010'!$B$6:$B$55,0),MATCH($B12,'2010'!$C$1:$U$1,0)),0)</f>
        <v>0</v>
      </c>
      <c r="J12" s="118">
        <f>_xlfn.IFNA(INDEX('2010'!$C$6:$U$55,MATCH(J$4,'2010'!$B$6:$B$55,0),MATCH($B12,'2010'!$C$1:$U$1,0)),0)</f>
        <v>0</v>
      </c>
      <c r="K12" s="118">
        <f>_xlfn.IFNA(INDEX('2010'!$C$6:$U$55,MATCH(K$4,'2010'!$B$6:$B$55,0),MATCH($B12,'2010'!$C$1:$U$1,0)),0)</f>
        <v>0</v>
      </c>
      <c r="L12" s="118">
        <f>_xlfn.IFNA(INDEX('2010'!$C$6:$U$55,MATCH(L$4,'2010'!$B$6:$B$55,0),MATCH($B12,'2010'!$C$1:$U$1,0)),0)</f>
        <v>0</v>
      </c>
      <c r="M12" s="118">
        <f>_xlfn.IFNA(INDEX('2010'!$C$6:$U$55,MATCH(M$4,'2010'!$B$6:$B$55,0),MATCH($B12,'2010'!$C$1:$U$1,0)),0)</f>
        <v>0</v>
      </c>
      <c r="N12" s="118">
        <f>_xlfn.IFNA(INDEX('2010'!$C$6:$U$55,MATCH(N$4,'2010'!$B$6:$B$55,0),MATCH($B12,'2010'!$C$1:$U$1,0)),0)</f>
        <v>0</v>
      </c>
      <c r="O12" s="118">
        <f>_xlfn.IFNA(INDEX('2010'!$C$6:$U$55,MATCH(O$4,'2010'!$B$6:$B$55,0),MATCH($B12,'2010'!$C$1:$U$1,0)),0)</f>
        <v>0</v>
      </c>
      <c r="P12" s="118">
        <f t="shared" si="0"/>
        <v>0</v>
      </c>
    </row>
    <row r="13" spans="2:19" ht="12.75" customHeight="1">
      <c r="B13" s="129" t="s">
        <v>78</v>
      </c>
      <c r="C13" s="118">
        <f>_xlfn.IFNA(INDEX('2010'!$C$6:$U$55,MATCH(C$4,'2010'!$B$6:$B$55,0),MATCH($B13,'2010'!$C$1:$U$1,0)),0)</f>
        <v>0</v>
      </c>
      <c r="D13" s="118">
        <f>_xlfn.IFNA(INDEX('2010'!$C$6:$U$55,MATCH(D$4,'2010'!$B$6:$B$55,0),MATCH($B13,'2010'!$C$1:$U$1,0)),0)</f>
        <v>0</v>
      </c>
      <c r="E13" s="118">
        <f>_xlfn.IFNA(INDEX('2010'!$C$6:$U$55,MATCH(E$4,'2010'!$B$6:$B$55,0),MATCH($B13,'2010'!$C$1:$U$1,0)),0)</f>
        <v>0</v>
      </c>
      <c r="F13" s="118">
        <f>_xlfn.IFNA(INDEX('2010'!$C$6:$U$55,MATCH(F$4,'2010'!$B$6:$B$55,0),MATCH($B13,'2010'!$C$1:$U$1,0)),0)</f>
        <v>0</v>
      </c>
      <c r="G13" s="118">
        <f>_xlfn.IFNA(INDEX('2010'!$C$6:$U$55,MATCH(G$4,'2010'!$B$6:$B$55,0),MATCH($B13,'2010'!$C$1:$U$1,0)),0)</f>
        <v>0</v>
      </c>
      <c r="H13" s="118">
        <f>_xlfn.IFNA(INDEX('2010'!$C$6:$U$55,MATCH(H$4,'2010'!$B$6:$B$55,0),MATCH($B13,'2010'!$C$1:$U$1,0)),0)</f>
        <v>0</v>
      </c>
      <c r="I13" s="118">
        <f>_xlfn.IFNA(INDEX('2010'!$C$6:$U$55,MATCH(I$4,'2010'!$B$6:$B$55,0),MATCH($B13,'2010'!$C$1:$U$1,0)),0)</f>
        <v>0</v>
      </c>
      <c r="J13" s="118">
        <f>_xlfn.IFNA(INDEX('2010'!$C$6:$U$55,MATCH(J$4,'2010'!$B$6:$B$55,0),MATCH($B13,'2010'!$C$1:$U$1,0)),0)</f>
        <v>0</v>
      </c>
      <c r="K13" s="118">
        <f>_xlfn.IFNA(INDEX('2010'!$C$6:$U$55,MATCH(K$4,'2010'!$B$6:$B$55,0),MATCH($B13,'2010'!$C$1:$U$1,0)),0)</f>
        <v>0</v>
      </c>
      <c r="L13" s="118">
        <f>_xlfn.IFNA(INDEX('2010'!$C$6:$U$55,MATCH(L$4,'2010'!$B$6:$B$55,0),MATCH($B13,'2010'!$C$1:$U$1,0)),0)</f>
        <v>0</v>
      </c>
      <c r="M13" s="118">
        <f>_xlfn.IFNA(INDEX('2010'!$C$6:$U$55,MATCH(M$4,'2010'!$B$6:$B$55,0),MATCH($B13,'2010'!$C$1:$U$1,0)),0)</f>
        <v>0</v>
      </c>
      <c r="N13" s="118">
        <f>_xlfn.IFNA(INDEX('2010'!$C$6:$U$55,MATCH(N$4,'2010'!$B$6:$B$55,0),MATCH($B13,'2010'!$C$1:$U$1,0)),0)</f>
        <v>0</v>
      </c>
      <c r="O13" s="118">
        <f>_xlfn.IFNA(INDEX('2010'!$C$6:$U$55,MATCH(O$4,'2010'!$B$6:$B$55,0),MATCH($B13,'2010'!$C$1:$U$1,0)),0)</f>
        <v>0</v>
      </c>
      <c r="P13" s="118">
        <f>SUM(C13:O13)</f>
        <v>0</v>
      </c>
      <c r="R13" s="128">
        <v>0.2</v>
      </c>
      <c r="S13" s="128" t="s">
        <v>507</v>
      </c>
    </row>
    <row r="14" spans="2:19" ht="12.75" customHeight="1">
      <c r="B14" s="129" t="s">
        <v>80</v>
      </c>
      <c r="C14" s="118">
        <f>_xlfn.IFNA(INDEX('2010'!$C$6:$U$55,MATCH(C$4,'2010'!$B$6:$B$55,0),MATCH($B14,'2010'!$C$1:$U$1,0)),0)</f>
        <v>0</v>
      </c>
      <c r="D14" s="118">
        <f>_xlfn.IFNA(INDEX('2010'!$C$6:$U$55,MATCH(D$4,'2010'!$B$6:$B$55,0),MATCH($B14,'2010'!$C$1:$U$1,0)),0)</f>
        <v>0</v>
      </c>
      <c r="E14" s="118">
        <f>_xlfn.IFNA(INDEX('2010'!$C$6:$U$55,MATCH(E$4,'2010'!$B$6:$B$55,0),MATCH($B14,'2010'!$C$1:$U$1,0)),0)</f>
        <v>0</v>
      </c>
      <c r="F14" s="118">
        <f>_xlfn.IFNA(INDEX('2010'!$C$6:$U$55,MATCH(F$4,'2010'!$B$6:$B$55,0),MATCH($B14,'2010'!$C$1:$U$1,0)),0)</f>
        <v>0</v>
      </c>
      <c r="G14" s="118">
        <f>_xlfn.IFNA(INDEX('2010'!$C$6:$U$55,MATCH(G$4,'2010'!$B$6:$B$55,0),MATCH($B14,'2010'!$C$1:$U$1,0)),0)</f>
        <v>0</v>
      </c>
      <c r="H14" s="118">
        <f>_xlfn.IFNA(INDEX('2010'!$C$6:$U$55,MATCH(H$4,'2010'!$B$6:$B$55,0),MATCH($B14,'2010'!$C$1:$U$1,0)),0)</f>
        <v>0</v>
      </c>
      <c r="I14" s="118">
        <f>_xlfn.IFNA(INDEX('2010'!$C$6:$U$55,MATCH(I$4,'2010'!$B$6:$B$55,0),MATCH($B14,'2010'!$C$1:$U$1,0)),0)</f>
        <v>0</v>
      </c>
      <c r="J14" s="118">
        <f>_xlfn.IFNA(INDEX('2010'!$C$6:$U$55,MATCH(J$4,'2010'!$B$6:$B$55,0),MATCH($B14,'2010'!$C$1:$U$1,0)),0)</f>
        <v>0</v>
      </c>
      <c r="K14" s="118">
        <f>_xlfn.IFNA(INDEX('2010'!$C$6:$U$55,MATCH(K$4,'2010'!$B$6:$B$55,0),MATCH($B14,'2010'!$C$1:$U$1,0)),0)</f>
        <v>0</v>
      </c>
      <c r="L14" s="118">
        <f>_xlfn.IFNA(INDEX('2010'!$C$6:$U$55,MATCH(L$4,'2010'!$B$6:$B$55,0),MATCH($B14,'2010'!$C$1:$U$1,0)),0)</f>
        <v>0</v>
      </c>
      <c r="M14" s="118">
        <f>_xlfn.IFNA(INDEX('2010'!$C$6:$U$55,MATCH(M$4,'2010'!$B$6:$B$55,0),MATCH($B14,'2010'!$C$1:$U$1,0)),0)</f>
        <v>0</v>
      </c>
      <c r="N14" s="118">
        <f>_xlfn.IFNA(INDEX('2010'!$C$6:$U$55,MATCH(N$4,'2010'!$B$6:$B$55,0),MATCH($B14,'2010'!$C$1:$U$1,0)),0)</f>
        <v>0</v>
      </c>
      <c r="O14" s="118">
        <f>_xlfn.IFNA(INDEX('2010'!$C$6:$U$55,MATCH(O$4,'2010'!$B$6:$B$55,0),MATCH($B14,'2010'!$C$1:$U$1,0)),0)</f>
        <v>0</v>
      </c>
      <c r="P14" s="118">
        <f t="shared" si="0"/>
        <v>0</v>
      </c>
      <c r="R14" s="128">
        <f>1-R13</f>
        <v>0.8</v>
      </c>
      <c r="S14" s="128" t="s">
        <v>507</v>
      </c>
    </row>
    <row r="15" spans="2:19" ht="12.75" customHeight="1">
      <c r="B15" s="129" t="s">
        <v>50</v>
      </c>
      <c r="C15" s="118">
        <f>_xlfn.IFNA(INDEX('2010'!$C$6:$U$55,MATCH(C$4,'2010'!$B$6:$B$55,0),MATCH($B15,'2010'!$C$1:$U$1,0)),0)</f>
        <v>97534.8</v>
      </c>
      <c r="D15" s="118">
        <f>_xlfn.IFNA(INDEX('2010'!$C$6:$U$55,MATCH(D$4,'2010'!$B$6:$B$55,0),MATCH($B15,'2010'!$C$1:$U$1,0)),0)</f>
        <v>188413.2</v>
      </c>
      <c r="E15" s="118">
        <f>_xlfn.IFNA(INDEX('2010'!$C$6:$U$55,MATCH(E$4,'2010'!$B$6:$B$55,0),MATCH($B15,'2010'!$C$1:$U$1,0)),0)</f>
        <v>49122</v>
      </c>
      <c r="F15" s="118">
        <f>_xlfn.IFNA(INDEX('2010'!$C$6:$U$55,MATCH(F$4,'2010'!$B$6:$B$55,0),MATCH($B15,'2010'!$C$1:$U$1,0)),0)</f>
        <v>44042.400000000001</v>
      </c>
      <c r="G15" s="118">
        <f>_xlfn.IFNA(INDEX('2010'!$C$6:$U$55,MATCH(G$4,'2010'!$B$6:$B$55,0),MATCH($B15,'2010'!$C$1:$U$1,0)),0)</f>
        <v>64216.800000000003</v>
      </c>
      <c r="H15" s="118">
        <f>_xlfn.IFNA(INDEX('2010'!$C$6:$U$55,MATCH(H$4,'2010'!$B$6:$B$55,0),MATCH($B15,'2010'!$C$1:$U$1,0)),0)</f>
        <v>118476</v>
      </c>
      <c r="I15" s="118">
        <f>_xlfn.IFNA(INDEX('2010'!$C$6:$U$55,MATCH(I$4,'2010'!$B$6:$B$55,0),MATCH($B15,'2010'!$C$1:$U$1,0)),0)</f>
        <v>7768.8</v>
      </c>
      <c r="J15" s="118">
        <f>_xlfn.IFNA(INDEX('2010'!$C$6:$U$55,MATCH(J$4,'2010'!$B$6:$B$55,0),MATCH($B15,'2010'!$C$1:$U$1,0)),0)</f>
        <v>63090</v>
      </c>
      <c r="K15" s="118">
        <f>_xlfn.IFNA(INDEX('2010'!$C$6:$U$55,MATCH(K$4,'2010'!$B$6:$B$55,0),MATCH($B15,'2010'!$C$1:$U$1,0)),0)</f>
        <v>87469.2</v>
      </c>
      <c r="L15" s="118">
        <f>_xlfn.IFNA(INDEX('2010'!$C$6:$U$55,MATCH(L$4,'2010'!$B$6:$B$55,0),MATCH($B15,'2010'!$C$1:$U$1,0)),0)</f>
        <v>16236</v>
      </c>
      <c r="M15" s="118">
        <f>_xlfn.IFNA(INDEX('2010'!$C$6:$U$55,MATCH(M$4,'2010'!$B$6:$B$55,0),MATCH($B15,'2010'!$C$1:$U$1,0)),0)</f>
        <v>8935.2000000000007</v>
      </c>
      <c r="N15" s="118">
        <f>_xlfn.IFNA(INDEX('2010'!$C$6:$U$55,MATCH(N$4,'2010'!$B$6:$B$55,0),MATCH($B15,'2010'!$C$1:$U$1,0)),0)</f>
        <v>14310</v>
      </c>
      <c r="O15" s="118">
        <f>_xlfn.IFNA(INDEX('2010'!$C$6:$U$55,MATCH(O$4,'2010'!$B$6:$B$55,0),MATCH($B15,'2010'!$C$1:$U$1,0)),0)</f>
        <v>63003.6</v>
      </c>
      <c r="P15" s="118">
        <f t="shared" si="0"/>
        <v>822617.99999999988</v>
      </c>
    </row>
    <row r="16" spans="2:19" ht="12.75" customHeight="1">
      <c r="B16" s="130" t="s">
        <v>52</v>
      </c>
      <c r="C16" s="118">
        <f>_xlfn.IFNA(INDEX('2010'!$C$6:$U$55,MATCH(C$4,'2010'!$B$6:$B$55,0),MATCH($B16,'2010'!$C$1:$U$1,0)),0)</f>
        <v>1774</v>
      </c>
      <c r="D16" s="118">
        <f>_xlfn.IFNA(INDEX('2010'!$C$6:$U$55,MATCH(D$4,'2010'!$B$6:$B$55,0),MATCH($B16,'2010'!$C$1:$U$1,0)),0)</f>
        <v>75475</v>
      </c>
      <c r="E16" s="118">
        <f>_xlfn.IFNA(INDEX('2010'!$C$6:$U$55,MATCH(E$4,'2010'!$B$6:$B$55,0),MATCH($B16,'2010'!$C$1:$U$1,0)),0)</f>
        <v>2571</v>
      </c>
      <c r="F16" s="118">
        <f>_xlfn.IFNA(INDEX('2010'!$C$6:$U$55,MATCH(F$4,'2010'!$B$6:$B$55,0),MATCH($B16,'2010'!$C$1:$U$1,0)),0)</f>
        <v>608</v>
      </c>
      <c r="G16" s="118">
        <f>_xlfn.IFNA(INDEX('2010'!$C$6:$U$55,MATCH(G$4,'2010'!$B$6:$B$55,0),MATCH($B16,'2010'!$C$1:$U$1,0)),0)</f>
        <v>15937</v>
      </c>
      <c r="H16" s="118">
        <f>_xlfn.IFNA(INDEX('2010'!$C$6:$U$55,MATCH(H$4,'2010'!$B$6:$B$55,0),MATCH($B16,'2010'!$C$1:$U$1,0)),0)</f>
        <v>13136</v>
      </c>
      <c r="I16" s="118">
        <f>_xlfn.IFNA(INDEX('2010'!$C$6:$U$55,MATCH(I$4,'2010'!$B$6:$B$55,0),MATCH($B16,'2010'!$C$1:$U$1,0)),0)</f>
        <v>56</v>
      </c>
      <c r="J16" s="118">
        <f>_xlfn.IFNA(INDEX('2010'!$C$6:$U$55,MATCH(J$4,'2010'!$B$6:$B$55,0),MATCH($B16,'2010'!$C$1:$U$1,0)),0)</f>
        <v>5601</v>
      </c>
      <c r="K16" s="118">
        <f>_xlfn.IFNA(INDEX('2010'!$C$6:$U$55,MATCH(K$4,'2010'!$B$6:$B$55,0),MATCH($B16,'2010'!$C$1:$U$1,0)),0)</f>
        <v>17725</v>
      </c>
      <c r="L16" s="118">
        <f>_xlfn.IFNA(INDEX('2010'!$C$6:$U$55,MATCH(L$4,'2010'!$B$6:$B$55,0),MATCH($B16,'2010'!$C$1:$U$1,0)),0)</f>
        <v>4184</v>
      </c>
      <c r="M16" s="118">
        <f>_xlfn.IFNA(INDEX('2010'!$C$6:$U$55,MATCH(M$4,'2010'!$B$6:$B$55,0),MATCH($B16,'2010'!$C$1:$U$1,0)),0)</f>
        <v>2521</v>
      </c>
      <c r="N16" s="118">
        <f>_xlfn.IFNA(INDEX('2010'!$C$6:$U$55,MATCH(N$4,'2010'!$B$6:$B$55,0),MATCH($B16,'2010'!$C$1:$U$1,0)),0)</f>
        <v>0</v>
      </c>
      <c r="O16" s="118">
        <f>_xlfn.IFNA(INDEX('2010'!$C$6:$U$55,MATCH(O$4,'2010'!$B$6:$B$55,0),MATCH($B16,'2010'!$C$1:$U$1,0)),0)</f>
        <v>6434</v>
      </c>
      <c r="P16" s="118">
        <f t="shared" si="0"/>
        <v>146022</v>
      </c>
    </row>
    <row r="17" spans="2:16" ht="12.75" customHeight="1">
      <c r="B17" s="129" t="s">
        <v>437</v>
      </c>
      <c r="C17" s="118">
        <f>_xlfn.IFNA(INDEX('2010'!$C$6:$U$55,MATCH(C$4,'2010'!$B$6:$B$55,0),MATCH($B17,'2010'!$C$1:$U$1,0)),0)</f>
        <v>134.768</v>
      </c>
      <c r="D17" s="118">
        <f>_xlfn.IFNA(INDEX('2010'!$C$6:$U$55,MATCH(D$4,'2010'!$B$6:$B$55,0),MATCH($B17,'2010'!$C$1:$U$1,0)),0)</f>
        <v>13253.46</v>
      </c>
      <c r="E17" s="118">
        <f>_xlfn.IFNA(INDEX('2010'!$C$6:$U$55,MATCH(E$4,'2010'!$B$6:$B$55,0),MATCH($B17,'2010'!$C$1:$U$1,0)),0)</f>
        <v>329</v>
      </c>
      <c r="F17" s="118">
        <f>_xlfn.IFNA(INDEX('2010'!$C$6:$U$55,MATCH(F$4,'2010'!$B$6:$B$55,0),MATCH($B17,'2010'!$C$1:$U$1,0)),0)</f>
        <v>40433.835999999996</v>
      </c>
      <c r="G17" s="118">
        <f>_xlfn.IFNA(INDEX('2010'!$C$6:$U$55,MATCH(G$4,'2010'!$B$6:$B$55,0),MATCH($B17,'2010'!$C$1:$U$1,0)),0)</f>
        <v>340.07600000000002</v>
      </c>
      <c r="H17" s="118">
        <f>_xlfn.IFNA(INDEX('2010'!$C$6:$U$55,MATCH(H$4,'2010'!$B$6:$B$55,0),MATCH($B17,'2010'!$C$1:$U$1,0)),0)</f>
        <v>1857.46</v>
      </c>
      <c r="I17" s="118">
        <f>_xlfn.IFNA(INDEX('2010'!$C$6:$U$55,MATCH(I$4,'2010'!$B$6:$B$55,0),MATCH($B17,'2010'!$C$1:$U$1,0)),0)</f>
        <v>638.38400000000001</v>
      </c>
      <c r="J17" s="118">
        <f>_xlfn.IFNA(INDEX('2010'!$C$6:$U$55,MATCH(J$4,'2010'!$B$6:$B$55,0),MATCH($B17,'2010'!$C$1:$U$1,0)),0)</f>
        <v>2386.8440000000001</v>
      </c>
      <c r="K17" s="118">
        <f>_xlfn.IFNA(INDEX('2010'!$C$6:$U$55,MATCH(K$4,'2010'!$B$6:$B$55,0),MATCH($B17,'2010'!$C$1:$U$1,0)),0)</f>
        <v>42786</v>
      </c>
      <c r="L17" s="118">
        <f>_xlfn.IFNA(INDEX('2010'!$C$6:$U$55,MATCH(L$4,'2010'!$B$6:$B$55,0),MATCH($B17,'2010'!$C$1:$U$1,0)),0)</f>
        <v>45952</v>
      </c>
      <c r="M17" s="118">
        <f>_xlfn.IFNA(INDEX('2010'!$C$6:$U$55,MATCH(M$4,'2010'!$B$6:$B$55,0),MATCH($B17,'2010'!$C$1:$U$1,0)),0)</f>
        <v>103</v>
      </c>
      <c r="N17" s="118">
        <f>_xlfn.IFNA(INDEX('2010'!$C$6:$U$55,MATCH(N$4,'2010'!$B$6:$B$55,0),MATCH($B17,'2010'!$C$1:$U$1,0)),0)</f>
        <v>0</v>
      </c>
      <c r="O17" s="118">
        <f>_xlfn.IFNA(INDEX('2010'!$C$6:$U$55,MATCH(O$4,'2010'!$B$6:$B$55,0),MATCH($B17,'2010'!$C$1:$U$1,0)),0)</f>
        <v>4089.692</v>
      </c>
      <c r="P17" s="118">
        <f t="shared" si="0"/>
        <v>152304.51999999999</v>
      </c>
    </row>
    <row r="18" spans="2:16" ht="12.75" customHeight="1">
      <c r="B18" s="118" t="s">
        <v>506</v>
      </c>
      <c r="C18" s="118">
        <f>SUM(C5:C16)</f>
        <v>330545.07400000002</v>
      </c>
      <c r="D18" s="118">
        <f t="shared" ref="D18:O18" si="2">SUM(D5:D16)</f>
        <v>562007.45900000003</v>
      </c>
      <c r="E18" s="118">
        <f t="shared" si="2"/>
        <v>87452.460999999996</v>
      </c>
      <c r="F18" s="118">
        <f t="shared" si="2"/>
        <v>225200.696</v>
      </c>
      <c r="G18" s="118">
        <f t="shared" si="2"/>
        <v>123219.15700000001</v>
      </c>
      <c r="H18" s="118">
        <f t="shared" si="2"/>
        <v>230512.56400000001</v>
      </c>
      <c r="I18" s="118">
        <f t="shared" si="2"/>
        <v>17770.580999999998</v>
      </c>
      <c r="J18" s="118">
        <f t="shared" si="2"/>
        <v>199323.351</v>
      </c>
      <c r="K18" s="118">
        <f t="shared" si="2"/>
        <v>219632.079</v>
      </c>
      <c r="L18" s="118">
        <f t="shared" si="2"/>
        <v>29511.909</v>
      </c>
      <c r="M18" s="118">
        <f t="shared" si="2"/>
        <v>24601.762000000002</v>
      </c>
      <c r="N18" s="118">
        <f t="shared" si="2"/>
        <v>36138.853999999999</v>
      </c>
      <c r="O18" s="118">
        <f t="shared" si="2"/>
        <v>109531.85699999999</v>
      </c>
      <c r="P18" s="118">
        <f>SUM(C18:O18)</f>
        <v>2195447.804</v>
      </c>
    </row>
    <row r="19" spans="2:16" ht="12.75" customHeight="1">
      <c r="B19" s="118" t="s">
        <v>57</v>
      </c>
      <c r="C19" s="118">
        <f>_xlfn.IFNA(INDEX('2010'!$C$6:$V$55,MATCH(C$4,'2010'!$B$6:$B$55,0),MATCH($B19,'2010'!$C$1:$V$1,0)),0)</f>
        <v>330774.06900000002</v>
      </c>
      <c r="D19" s="118">
        <f>_xlfn.IFNA(INDEX('2010'!$C$6:$V$55,MATCH(D$4,'2010'!$B$6:$B$55,0),MATCH($B19,'2010'!$C$1:$V$1,0)),0)</f>
        <v>588419.799</v>
      </c>
      <c r="E19" s="118">
        <f>_xlfn.IFNA(INDEX('2010'!$C$6:$V$55,MATCH(E$4,'2010'!$B$6:$B$55,0),MATCH($B19,'2010'!$C$1:$V$1,0)),0)</f>
        <v>89446.138000000006</v>
      </c>
      <c r="F19" s="118">
        <f>_xlfn.IFNA(INDEX('2010'!$C$6:$V$55,MATCH(F$4,'2010'!$B$6:$B$55,0),MATCH($B19,'2010'!$C$1:$V$1,0)),0)</f>
        <v>272879.16200000001</v>
      </c>
      <c r="G19" s="118">
        <f>_xlfn.IFNA(INDEX('2010'!$C$6:$V$55,MATCH(G$4,'2010'!$B$6:$B$55,0),MATCH($B19,'2010'!$C$1:$V$1,0)),0)</f>
        <v>123559.23300000001</v>
      </c>
      <c r="H19" s="118">
        <f>_xlfn.IFNA(INDEX('2010'!$C$6:$V$55,MATCH(H$4,'2010'!$B$6:$B$55,0),MATCH($B19,'2010'!$C$1:$V$1,0)),0)</f>
        <v>232432.842</v>
      </c>
      <c r="I19" s="118">
        <f>_xlfn.IFNA(INDEX('2010'!$C$6:$V$55,MATCH(I$4,'2010'!$B$6:$B$55,0),MATCH($B19,'2010'!$C$1:$V$1,0)),0)</f>
        <v>18503.191999999999</v>
      </c>
      <c r="J19" s="118">
        <f>_xlfn.IFNA(INDEX('2010'!$C$6:$V$55,MATCH(J$4,'2010'!$B$6:$B$55,0),MATCH($B19,'2010'!$C$1:$V$1,0)),0)</f>
        <v>201710.19500000001</v>
      </c>
      <c r="K19" s="118">
        <f>_xlfn.IFNA(INDEX('2010'!$C$6:$V$55,MATCH(K$4,'2010'!$B$6:$B$55,0),MATCH($B19,'2010'!$C$1:$V$1,0)),0)</f>
        <v>262458.24100000004</v>
      </c>
      <c r="L19" s="118">
        <f>_xlfn.IFNA(INDEX('2010'!$C$6:$V$55,MATCH(L$4,'2010'!$B$6:$B$55,0),MATCH($B19,'2010'!$C$1:$V$1,0)),0)</f>
        <v>75463.908999999985</v>
      </c>
      <c r="M19" s="118">
        <f>_xlfn.IFNA(INDEX('2010'!$C$6:$V$55,MATCH(M$4,'2010'!$B$6:$B$55,0),MATCH($B19,'2010'!$C$1:$V$1,0)),0)</f>
        <v>24704.761999999999</v>
      </c>
      <c r="N19" s="118">
        <f>_xlfn.IFNA(INDEX('2010'!$C$6:$V$55,MATCH(N$4,'2010'!$B$6:$B$55,0),MATCH($B19,'2010'!$C$1:$V$1,0)),0)</f>
        <v>36138.853999999999</v>
      </c>
      <c r="O19" s="118">
        <f>_xlfn.IFNA(INDEX('2010'!$C$6:$V$55,MATCH(O$4,'2010'!$B$6:$B$55,0),MATCH($B19,'2010'!$C$1:$V$1,0)),0)</f>
        <v>116123.69500000001</v>
      </c>
      <c r="P19" s="118">
        <f>SUM(C19:O19)</f>
        <v>2372614.091</v>
      </c>
    </row>
    <row r="23" spans="2:16" ht="12.75" customHeight="1">
      <c r="B23" s="115">
        <v>2015</v>
      </c>
      <c r="C23" s="285"/>
      <c r="D23" s="286"/>
      <c r="E23" s="285"/>
      <c r="F23" s="286"/>
      <c r="G23" s="285"/>
      <c r="H23" s="285"/>
      <c r="I23" s="285"/>
      <c r="J23" s="285"/>
      <c r="K23" s="285"/>
      <c r="L23" s="285"/>
      <c r="M23" s="285"/>
      <c r="N23" s="285"/>
    </row>
    <row r="24" spans="2:16" ht="12.75" customHeight="1">
      <c r="B24" s="119"/>
      <c r="C24" s="120" t="s">
        <v>474</v>
      </c>
      <c r="D24" s="120" t="s">
        <v>475</v>
      </c>
      <c r="E24" s="120" t="s">
        <v>476</v>
      </c>
      <c r="F24" s="120" t="s">
        <v>477</v>
      </c>
      <c r="G24" s="120" t="s">
        <v>478</v>
      </c>
      <c r="H24" s="120" t="s">
        <v>342</v>
      </c>
      <c r="I24" s="120" t="s">
        <v>479</v>
      </c>
      <c r="J24" s="120" t="s">
        <v>480</v>
      </c>
      <c r="K24" s="120" t="s">
        <v>481</v>
      </c>
      <c r="L24" s="120" t="s">
        <v>482</v>
      </c>
      <c r="M24" s="120" t="s">
        <v>483</v>
      </c>
      <c r="N24" s="120" t="s">
        <v>253</v>
      </c>
      <c r="O24" s="120" t="s">
        <v>484</v>
      </c>
      <c r="P24" s="120" t="s">
        <v>150</v>
      </c>
    </row>
    <row r="25" spans="2:16" ht="12.75" customHeight="1">
      <c r="B25" s="129" t="s">
        <v>55</v>
      </c>
      <c r="C25" s="118">
        <f>_xlfn.IFNA(INDEX('2015'!$C$6:$U$55,MATCH(C$4,'2015'!$B$6:$B$55,0),MATCH($B25,'2015'!$C$1:$U$1,0)),0)</f>
        <v>38292.796000000002</v>
      </c>
      <c r="D25" s="118">
        <f>_xlfn.IFNA(INDEX('2015'!$C$6:$U$55,MATCH(D$4,'2015'!$B$6:$B$55,0),MATCH($B25,'2015'!$C$1:$U$1,0)),0)</f>
        <v>41000.930999999997</v>
      </c>
      <c r="E25" s="118">
        <f>_xlfn.IFNA(INDEX('2015'!$C$6:$U$55,MATCH(E$4,'2015'!$B$6:$B$55,0),MATCH($B25,'2015'!$C$1:$U$1,0)),0)</f>
        <v>1343.058</v>
      </c>
      <c r="F25" s="118">
        <f>_xlfn.IFNA(INDEX('2015'!$C$6:$U$55,MATCH(F$4,'2015'!$B$6:$B$55,0),MATCH($B25,'2015'!$C$1:$U$1,0)),0)</f>
        <v>57791.9</v>
      </c>
      <c r="G25" s="118">
        <f>_xlfn.IFNA(INDEX('2015'!$C$6:$U$55,MATCH(G$4,'2015'!$B$6:$B$55,0),MATCH($B25,'2015'!$C$1:$U$1,0)),0)</f>
        <v>126.816</v>
      </c>
      <c r="H25" s="118">
        <f>_xlfn.IFNA(INDEX('2015'!$C$6:$U$55,MATCH(H$4,'2015'!$B$6:$B$55,0),MATCH($B25,'2015'!$C$1:$U$1,0)),0)</f>
        <v>336.67700000000002</v>
      </c>
      <c r="I25" s="118">
        <f>_xlfn.IFNA(INDEX('2015'!$C$6:$U$55,MATCH(I$4,'2015'!$B$6:$B$55,0),MATCH($B25,'2015'!$C$1:$U$1,0)),0)</f>
        <v>2557.4859999999999</v>
      </c>
      <c r="J25" s="118">
        <f>_xlfn.IFNA(INDEX('2015'!$C$6:$U$55,MATCH(J$4,'2015'!$B$6:$B$55,0),MATCH($B25,'2015'!$C$1:$U$1,0)),0)</f>
        <v>8783.3140000000003</v>
      </c>
      <c r="K25" s="118">
        <f>_xlfn.IFNA(INDEX('2015'!$C$6:$U$55,MATCH(K$4,'2015'!$B$6:$B$55,0),MATCH($B25,'2015'!$C$1:$U$1,0)),0)</f>
        <v>15391.97</v>
      </c>
      <c r="L25" s="118">
        <f>_xlfn.IFNA(INDEX('2015'!$C$6:$U$55,MATCH(L$4,'2015'!$B$6:$B$55,0),MATCH($B25,'2015'!$C$1:$U$1,0)),0)</f>
        <v>0</v>
      </c>
      <c r="M25" s="118">
        <f>_xlfn.IFNA(INDEX('2015'!$C$6:$U$55,MATCH(M$4,'2015'!$B$6:$B$55,0),MATCH($B25,'2015'!$C$1:$U$1,0)),0)</f>
        <v>253.63200000000001</v>
      </c>
      <c r="N25" s="118">
        <f>_xlfn.IFNA(INDEX('2015'!$C$6:$U$55,MATCH(N$4,'2015'!$B$6:$B$55,0),MATCH($B25,'2015'!$C$1:$U$1,0)),0)</f>
        <v>0</v>
      </c>
      <c r="O25" s="118">
        <f>_xlfn.IFNA(INDEX('2015'!$C$6:$U$55,MATCH(O$4,'2015'!$B$6:$B$55,0),MATCH($B25,'2015'!$C$1:$U$1,0)),0)</f>
        <v>107.63500000000001</v>
      </c>
      <c r="P25" s="118">
        <f>SUM(C25:O25)</f>
        <v>165986.21500000003</v>
      </c>
    </row>
    <row r="26" spans="2:16" ht="12.75" customHeight="1">
      <c r="B26" s="129" t="s">
        <v>54</v>
      </c>
      <c r="C26" s="118">
        <f>_xlfn.IFNA(INDEX('2015'!$C$6:$U$55,MATCH(C$4,'2015'!$B$6:$B$55,0),MATCH($B26,'2015'!$C$1:$U$1,0)),0)</f>
        <v>0</v>
      </c>
      <c r="D26" s="118">
        <f>_xlfn.IFNA(INDEX('2015'!$C$6:$U$55,MATCH(D$4,'2015'!$B$6:$B$55,0),MATCH($B26,'2015'!$C$1:$U$1,0)),0)</f>
        <v>53525.79</v>
      </c>
      <c r="E26" s="118">
        <f>_xlfn.IFNA(INDEX('2015'!$C$6:$U$55,MATCH(E$4,'2015'!$B$6:$B$55,0),MATCH($B26,'2015'!$C$1:$U$1,0)),0)</f>
        <v>1222.05</v>
      </c>
      <c r="F26" s="118">
        <f>_xlfn.IFNA(INDEX('2015'!$C$6:$U$55,MATCH(F$4,'2015'!$B$6:$B$55,0),MATCH($B26,'2015'!$C$1:$U$1,0)),0)</f>
        <v>3462.4749999999999</v>
      </c>
      <c r="G26" s="118">
        <f>_xlfn.IFNA(INDEX('2015'!$C$6:$U$55,MATCH(G$4,'2015'!$B$6:$B$55,0),MATCH($B26,'2015'!$C$1:$U$1,0)),0)</f>
        <v>0</v>
      </c>
      <c r="H26" s="118">
        <f>_xlfn.IFNA(INDEX('2015'!$C$6:$U$55,MATCH(H$4,'2015'!$B$6:$B$55,0),MATCH($B26,'2015'!$C$1:$U$1,0)),0)</f>
        <v>40.734999999999999</v>
      </c>
      <c r="I26" s="118">
        <f>_xlfn.IFNA(INDEX('2015'!$C$6:$U$55,MATCH(I$4,'2015'!$B$6:$B$55,0),MATCH($B26,'2015'!$C$1:$U$1,0)),0)</f>
        <v>40.734999999999999</v>
      </c>
      <c r="J26" s="118">
        <f>_xlfn.IFNA(INDEX('2015'!$C$6:$U$55,MATCH(J$4,'2015'!$B$6:$B$55,0),MATCH($B26,'2015'!$C$1:$U$1,0)),0)</f>
        <v>1059.1099999999999</v>
      </c>
      <c r="K26" s="118">
        <f>_xlfn.IFNA(INDEX('2015'!$C$6:$U$55,MATCH(K$4,'2015'!$B$6:$B$55,0),MATCH($B26,'2015'!$C$1:$U$1,0)),0)</f>
        <v>366.61500000000001</v>
      </c>
      <c r="L26" s="118">
        <f>_xlfn.IFNA(INDEX('2015'!$C$6:$U$55,MATCH(L$4,'2015'!$B$6:$B$55,0),MATCH($B26,'2015'!$C$1:$U$1,0)),0)</f>
        <v>40.734999999999999</v>
      </c>
      <c r="M26" s="118">
        <f>_xlfn.IFNA(INDEX('2015'!$C$6:$U$55,MATCH(M$4,'2015'!$B$6:$B$55,0),MATCH($B26,'2015'!$C$1:$U$1,0)),0)</f>
        <v>81.47</v>
      </c>
      <c r="N26" s="118">
        <f>_xlfn.IFNA(INDEX('2015'!$C$6:$U$55,MATCH(N$4,'2015'!$B$6:$B$55,0),MATCH($B26,'2015'!$C$1:$U$1,0)),0)</f>
        <v>0</v>
      </c>
      <c r="O26" s="118">
        <f>_xlfn.IFNA(INDEX('2015'!$C$6:$U$55,MATCH(O$4,'2015'!$B$6:$B$55,0),MATCH($B26,'2015'!$C$1:$U$1,0)),0)</f>
        <v>81.47</v>
      </c>
      <c r="P26" s="118">
        <f t="shared" ref="P26:P37" si="3">SUM(C26:O26)</f>
        <v>59921.185000000005</v>
      </c>
    </row>
    <row r="27" spans="2:16" ht="12.75" customHeight="1">
      <c r="B27" s="129" t="s">
        <v>68</v>
      </c>
      <c r="C27" s="118">
        <f>_xlfn.IFNA(INDEX('2015'!$C$6:$U$55,MATCH(C$4,'2015'!$B$6:$B$55,0),MATCH($B27,'2015'!$C$1:$U$1,0)),0)</f>
        <v>3382.306</v>
      </c>
      <c r="D27" s="118">
        <f>_xlfn.IFNA(INDEX('2015'!$C$6:$U$55,MATCH(D$4,'2015'!$B$6:$B$55,0),MATCH($B27,'2015'!$C$1:$U$1,0)),0)</f>
        <v>813.46600000000001</v>
      </c>
      <c r="E27" s="118">
        <f>_xlfn.IFNA(INDEX('2015'!$C$6:$U$55,MATCH(E$4,'2015'!$B$6:$B$55,0),MATCH($B27,'2015'!$C$1:$U$1,0)),0)</f>
        <v>642.21</v>
      </c>
      <c r="F27" s="118">
        <f>_xlfn.IFNA(INDEX('2015'!$C$6:$U$55,MATCH(F$4,'2015'!$B$6:$B$55,0),MATCH($B27,'2015'!$C$1:$U$1,0)),0)</f>
        <v>3339.4920000000002</v>
      </c>
      <c r="G27" s="118">
        <f>_xlfn.IFNA(INDEX('2015'!$C$6:$U$55,MATCH(G$4,'2015'!$B$6:$B$55,0),MATCH($B27,'2015'!$C$1:$U$1,0)),0)</f>
        <v>1626.932</v>
      </c>
      <c r="H27" s="118">
        <f>_xlfn.IFNA(INDEX('2015'!$C$6:$U$55,MATCH(H$4,'2015'!$B$6:$B$55,0),MATCH($B27,'2015'!$C$1:$U$1,0)),0)</f>
        <v>8263.1020000000008</v>
      </c>
      <c r="I27" s="118">
        <f>_xlfn.IFNA(INDEX('2015'!$C$6:$U$55,MATCH(I$4,'2015'!$B$6:$B$55,0),MATCH($B27,'2015'!$C$1:$U$1,0)),0)</f>
        <v>642.21</v>
      </c>
      <c r="J27" s="118">
        <f>_xlfn.IFNA(INDEX('2015'!$C$6:$U$55,MATCH(J$4,'2015'!$B$6:$B$55,0),MATCH($B27,'2015'!$C$1:$U$1,0)),0)</f>
        <v>6464.9139999999998</v>
      </c>
      <c r="K27" s="118">
        <f>_xlfn.IFNA(INDEX('2015'!$C$6:$U$55,MATCH(K$4,'2015'!$B$6:$B$55,0),MATCH($B27,'2015'!$C$1:$U$1,0)),0)</f>
        <v>1070.3499999999999</v>
      </c>
      <c r="L27" s="118">
        <f>_xlfn.IFNA(INDEX('2015'!$C$6:$U$55,MATCH(L$4,'2015'!$B$6:$B$55,0),MATCH($B27,'2015'!$C$1:$U$1,0)),0)</f>
        <v>470.95400000000001</v>
      </c>
      <c r="M27" s="118">
        <f>_xlfn.IFNA(INDEX('2015'!$C$6:$U$55,MATCH(M$4,'2015'!$B$6:$B$55,0),MATCH($B27,'2015'!$C$1:$U$1,0)),0)</f>
        <v>813.46600000000001</v>
      </c>
      <c r="N27" s="118">
        <f>_xlfn.IFNA(INDEX('2015'!$C$6:$U$55,MATCH(N$4,'2015'!$B$6:$B$55,0),MATCH($B27,'2015'!$C$1:$U$1,0)),0)</f>
        <v>0</v>
      </c>
      <c r="O27" s="118">
        <f>_xlfn.IFNA(INDEX('2015'!$C$6:$U$55,MATCH(O$4,'2015'!$B$6:$B$55,0),MATCH($B27,'2015'!$C$1:$U$1,0)),0)</f>
        <v>3896.0740000000001</v>
      </c>
      <c r="P27" s="118">
        <f t="shared" si="3"/>
        <v>31425.476000000002</v>
      </c>
    </row>
    <row r="28" spans="2:16" ht="12.75" customHeight="1">
      <c r="B28" s="129" t="s">
        <v>79</v>
      </c>
      <c r="C28" s="118">
        <f>_xlfn.IFNA(INDEX('2015'!$C$6:$U$55,MATCH(C$4,'2015'!$B$6:$B$55,0),MATCH($B28,'2015'!$C$1:$U$1,0)),0)</f>
        <v>0</v>
      </c>
      <c r="D28" s="118">
        <f>_xlfn.IFNA(INDEX('2015'!$C$6:$U$55,MATCH(D$4,'2015'!$B$6:$B$55,0),MATCH($B28,'2015'!$C$1:$U$1,0)),0)</f>
        <v>0</v>
      </c>
      <c r="E28" s="118">
        <f>_xlfn.IFNA(INDEX('2015'!$C$6:$U$55,MATCH(E$4,'2015'!$B$6:$B$55,0),MATCH($B28,'2015'!$C$1:$U$1,0)),0)</f>
        <v>0</v>
      </c>
      <c r="F28" s="118">
        <f>_xlfn.IFNA(INDEX('2015'!$C$6:$U$55,MATCH(F$4,'2015'!$B$6:$B$55,0),MATCH($B28,'2015'!$C$1:$U$1,0)),0)</f>
        <v>0</v>
      </c>
      <c r="G28" s="118">
        <f>_xlfn.IFNA(INDEX('2015'!$C$6:$U$55,MATCH(G$4,'2015'!$B$6:$B$55,0),MATCH($B28,'2015'!$C$1:$U$1,0)),0)</f>
        <v>0</v>
      </c>
      <c r="H28" s="118">
        <f>_xlfn.IFNA(INDEX('2015'!$C$6:$U$55,MATCH(H$4,'2015'!$B$6:$B$55,0),MATCH($B28,'2015'!$C$1:$U$1,0)),0)</f>
        <v>0</v>
      </c>
      <c r="I28" s="118">
        <f>_xlfn.IFNA(INDEX('2015'!$C$6:$U$55,MATCH(I$4,'2015'!$B$6:$B$55,0),MATCH($B28,'2015'!$C$1:$U$1,0)),0)</f>
        <v>0</v>
      </c>
      <c r="J28" s="118">
        <f>_xlfn.IFNA(INDEX('2015'!$C$6:$U$55,MATCH(J$4,'2015'!$B$6:$B$55,0),MATCH($B28,'2015'!$C$1:$U$1,0)),0)</f>
        <v>0</v>
      </c>
      <c r="K28" s="118">
        <f>_xlfn.IFNA(INDEX('2015'!$C$6:$U$55,MATCH(K$4,'2015'!$B$6:$B$55,0),MATCH($B28,'2015'!$C$1:$U$1,0)),0)</f>
        <v>0</v>
      </c>
      <c r="L28" s="118">
        <f>_xlfn.IFNA(INDEX('2015'!$C$6:$U$55,MATCH(L$4,'2015'!$B$6:$B$55,0),MATCH($B28,'2015'!$C$1:$U$1,0)),0)</f>
        <v>0</v>
      </c>
      <c r="M28" s="118">
        <f>_xlfn.IFNA(INDEX('2015'!$C$6:$U$55,MATCH(M$4,'2015'!$B$6:$B$55,0),MATCH($B28,'2015'!$C$1:$U$1,0)),0)</f>
        <v>0</v>
      </c>
      <c r="N28" s="118">
        <f>_xlfn.IFNA(INDEX('2015'!$C$6:$U$55,MATCH(N$4,'2015'!$B$6:$B$55,0),MATCH($B28,'2015'!$C$1:$U$1,0)),0)</f>
        <v>0</v>
      </c>
      <c r="O28" s="118">
        <f>_xlfn.IFNA(INDEX('2015'!$C$6:$U$55,MATCH(O$4,'2015'!$B$6:$B$55,0),MATCH($B28,'2015'!$C$1:$U$1,0)),0)</f>
        <v>0</v>
      </c>
      <c r="P28" s="118">
        <f t="shared" si="3"/>
        <v>0</v>
      </c>
    </row>
    <row r="29" spans="2:16" ht="12.75" customHeight="1">
      <c r="B29" s="129" t="s">
        <v>53</v>
      </c>
      <c r="C29" s="118">
        <f>_xlfn.IFNA(INDEX('2015'!$C$6:$U$55,MATCH(C$4,'2015'!$B$6:$B$55,0),MATCH($B29,'2015'!$C$1:$U$1,0)),0)</f>
        <v>45.366</v>
      </c>
      <c r="D29" s="118">
        <f>_xlfn.IFNA(INDEX('2015'!$C$6:$U$55,MATCH(D$4,'2015'!$B$6:$B$55,0),MATCH($B29,'2015'!$C$1:$U$1,0)),0)</f>
        <v>0</v>
      </c>
      <c r="E29" s="118">
        <f>_xlfn.IFNA(INDEX('2015'!$C$6:$U$55,MATCH(E$4,'2015'!$B$6:$B$55,0),MATCH($B29,'2015'!$C$1:$U$1,0)),0)</f>
        <v>90.731999999999999</v>
      </c>
      <c r="F29" s="118">
        <f>_xlfn.IFNA(INDEX('2015'!$C$6:$U$55,MATCH(F$4,'2015'!$B$6:$B$55,0),MATCH($B29,'2015'!$C$1:$U$1,0)),0)</f>
        <v>453.66</v>
      </c>
      <c r="G29" s="118">
        <f>_xlfn.IFNA(INDEX('2015'!$C$6:$U$55,MATCH(G$4,'2015'!$B$6:$B$55,0),MATCH($B29,'2015'!$C$1:$U$1,0)),0)</f>
        <v>136.09800000000001</v>
      </c>
      <c r="H29" s="118">
        <f>_xlfn.IFNA(INDEX('2015'!$C$6:$U$55,MATCH(H$4,'2015'!$B$6:$B$55,0),MATCH($B29,'2015'!$C$1:$U$1,0)),0)</f>
        <v>1497.078</v>
      </c>
      <c r="I29" s="118">
        <f>_xlfn.IFNA(INDEX('2015'!$C$6:$U$55,MATCH(I$4,'2015'!$B$6:$B$55,0),MATCH($B29,'2015'!$C$1:$U$1,0)),0)</f>
        <v>317.56200000000001</v>
      </c>
      <c r="J29" s="118">
        <f>_xlfn.IFNA(INDEX('2015'!$C$6:$U$55,MATCH(J$4,'2015'!$B$6:$B$55,0),MATCH($B29,'2015'!$C$1:$U$1,0)),0)</f>
        <v>226.83</v>
      </c>
      <c r="K29" s="118">
        <f>_xlfn.IFNA(INDEX('2015'!$C$6:$U$55,MATCH(K$4,'2015'!$B$6:$B$55,0),MATCH($B29,'2015'!$C$1:$U$1,0)),0)</f>
        <v>680.49</v>
      </c>
      <c r="L29" s="118">
        <f>_xlfn.IFNA(INDEX('2015'!$C$6:$U$55,MATCH(L$4,'2015'!$B$6:$B$55,0),MATCH($B29,'2015'!$C$1:$U$1,0)),0)</f>
        <v>45.366</v>
      </c>
      <c r="M29" s="118">
        <f>_xlfn.IFNA(INDEX('2015'!$C$6:$U$55,MATCH(M$4,'2015'!$B$6:$B$55,0),MATCH($B29,'2015'!$C$1:$U$1,0)),0)</f>
        <v>45.366</v>
      </c>
      <c r="N29" s="118">
        <f>_xlfn.IFNA(INDEX('2015'!$C$6:$U$55,MATCH(N$4,'2015'!$B$6:$B$55,0),MATCH($B29,'2015'!$C$1:$U$1,0)),0)</f>
        <v>0</v>
      </c>
      <c r="O29" s="118">
        <f>_xlfn.IFNA(INDEX('2015'!$C$6:$U$55,MATCH(O$4,'2015'!$B$6:$B$55,0),MATCH($B29,'2015'!$C$1:$U$1,0)),0)</f>
        <v>272.19600000000003</v>
      </c>
      <c r="P29" s="118">
        <f t="shared" si="3"/>
        <v>3810.7439999999997</v>
      </c>
    </row>
    <row r="30" spans="2:16" ht="12.75" customHeight="1">
      <c r="B30" s="129" t="s">
        <v>589</v>
      </c>
      <c r="C30" s="118">
        <f>_xlfn.IFNA(INDEX('2015'!$C$6:$U$55,MATCH(C$4,'2015'!$B$6:$B$55,0),MATCH($B30,'2015'!$C$1:$U$1,0)),0)</f>
        <v>98255.7</v>
      </c>
      <c r="D30" s="118">
        <f>_xlfn.IFNA(INDEX('2015'!$C$6:$U$55,MATCH(D$4,'2015'!$B$6:$B$55,0),MATCH($B30,'2015'!$C$1:$U$1,0)),0)</f>
        <v>2525.4</v>
      </c>
      <c r="E30" s="118">
        <f>_xlfn.IFNA(INDEX('2015'!$C$6:$U$55,MATCH(E$4,'2015'!$B$6:$B$55,0),MATCH($B30,'2015'!$C$1:$U$1,0)),0)</f>
        <v>0</v>
      </c>
      <c r="F30" s="118">
        <f>_xlfn.IFNA(INDEX('2015'!$C$6:$U$55,MATCH(F$4,'2015'!$B$6:$B$55,0),MATCH($B30,'2015'!$C$1:$U$1,0)),0)</f>
        <v>0</v>
      </c>
      <c r="G30" s="118">
        <f>_xlfn.IFNA(INDEX('2015'!$C$6:$U$55,MATCH(G$4,'2015'!$B$6:$B$55,0),MATCH($B30,'2015'!$C$1:$U$1,0)),0)</f>
        <v>1664.1</v>
      </c>
      <c r="H30" s="118">
        <f>_xlfn.IFNA(INDEX('2015'!$C$6:$U$55,MATCH(H$4,'2015'!$B$6:$B$55,0),MATCH($B30,'2015'!$C$1:$U$1,0)),0)</f>
        <v>613.79999999999995</v>
      </c>
      <c r="I30" s="118">
        <f>_xlfn.IFNA(INDEX('2015'!$C$6:$U$55,MATCH(I$4,'2015'!$B$6:$B$55,0),MATCH($B30,'2015'!$C$1:$U$1,0)),0)</f>
        <v>0</v>
      </c>
      <c r="J30" s="118">
        <f>_xlfn.IFNA(INDEX('2015'!$C$6:$U$55,MATCH(J$4,'2015'!$B$6:$B$55,0),MATCH($B30,'2015'!$C$1:$U$1,0)),0)</f>
        <v>0</v>
      </c>
      <c r="K30" s="118">
        <f>_xlfn.IFNA(INDEX('2015'!$C$6:$U$55,MATCH(K$4,'2015'!$B$6:$B$55,0),MATCH($B30,'2015'!$C$1:$U$1,0)),0)</f>
        <v>0</v>
      </c>
      <c r="L30" s="118">
        <f>_xlfn.IFNA(INDEX('2015'!$C$6:$U$55,MATCH(L$4,'2015'!$B$6:$B$55,0),MATCH($B30,'2015'!$C$1:$U$1,0)),0)</f>
        <v>0</v>
      </c>
      <c r="M30" s="118">
        <f>_xlfn.IFNA(INDEX('2015'!$C$6:$U$55,MATCH(M$4,'2015'!$B$6:$B$55,0),MATCH($B30,'2015'!$C$1:$U$1,0)),0)</f>
        <v>0</v>
      </c>
      <c r="N30" s="118">
        <f>_xlfn.IFNA(INDEX('2015'!$C$6:$U$55,MATCH(N$4,'2015'!$B$6:$B$55,0),MATCH($B30,'2015'!$C$1:$U$1,0)),0)</f>
        <v>0</v>
      </c>
      <c r="O30" s="118">
        <f>_xlfn.IFNA(INDEX('2015'!$C$6:$U$55,MATCH(O$4,'2015'!$B$6:$B$55,0),MATCH($B30,'2015'!$C$1:$U$1,0)),0)</f>
        <v>21.6</v>
      </c>
      <c r="P30" s="118">
        <f t="shared" ref="P30" si="4">SUM(C30:O30)</f>
        <v>103080.6</v>
      </c>
    </row>
    <row r="31" spans="2:16" ht="12.75" customHeight="1">
      <c r="B31" s="129" t="s">
        <v>51</v>
      </c>
      <c r="C31" s="118">
        <f>_xlfn.IFNA(INDEX('2015'!$C$6:$U$55,MATCH(C$4,'2015'!$B$6:$B$55,0),MATCH($B31,'2015'!$C$1:$U$1,0)),0)</f>
        <v>88242.3</v>
      </c>
      <c r="D31" s="118">
        <f>_xlfn.IFNA(INDEX('2015'!$C$6:$U$55,MATCH(D$4,'2015'!$B$6:$B$55,0),MATCH($B31,'2015'!$C$1:$U$1,0)),0)</f>
        <v>204782.4</v>
      </c>
      <c r="E31" s="118">
        <f>_xlfn.IFNA(INDEX('2015'!$C$6:$U$55,MATCH(E$4,'2015'!$B$6:$B$55,0),MATCH($B31,'2015'!$C$1:$U$1,0)),0)</f>
        <v>33843.599999999999</v>
      </c>
      <c r="F31" s="118">
        <f>_xlfn.IFNA(INDEX('2015'!$C$6:$U$55,MATCH(F$4,'2015'!$B$6:$B$55,0),MATCH($B31,'2015'!$C$1:$U$1,0)),0)</f>
        <v>104013</v>
      </c>
      <c r="G31" s="118">
        <f>_xlfn.IFNA(INDEX('2015'!$C$6:$U$55,MATCH(G$4,'2015'!$B$6:$B$55,0),MATCH($B31,'2015'!$C$1:$U$1,0)),0)</f>
        <v>36487.800000000003</v>
      </c>
      <c r="H31" s="118">
        <f>_xlfn.IFNA(INDEX('2015'!$C$6:$U$55,MATCH(H$4,'2015'!$B$6:$B$55,0),MATCH($B31,'2015'!$C$1:$U$1,0)),0)</f>
        <v>71144.100000000006</v>
      </c>
      <c r="I31" s="118">
        <f>_xlfn.IFNA(INDEX('2015'!$C$6:$U$55,MATCH(I$4,'2015'!$B$6:$B$55,0),MATCH($B31,'2015'!$C$1:$U$1,0)),0)</f>
        <v>4308.3</v>
      </c>
      <c r="J31" s="118">
        <f>_xlfn.IFNA(INDEX('2015'!$C$6:$U$55,MATCH(J$4,'2015'!$B$6:$B$55,0),MATCH($B31,'2015'!$C$1:$U$1,0)),0)</f>
        <v>110628.9</v>
      </c>
      <c r="K31" s="118">
        <f>_xlfn.IFNA(INDEX('2015'!$C$6:$U$55,MATCH(K$4,'2015'!$B$6:$B$55,0),MATCH($B31,'2015'!$C$1:$U$1,0)),0)</f>
        <v>86829.3</v>
      </c>
      <c r="L31" s="118">
        <f>_xlfn.IFNA(INDEX('2015'!$C$6:$U$55,MATCH(L$4,'2015'!$B$6:$B$55,0),MATCH($B31,'2015'!$C$1:$U$1,0)),0)</f>
        <v>5130</v>
      </c>
      <c r="M31" s="118">
        <f>_xlfn.IFNA(INDEX('2015'!$C$6:$U$55,MATCH(M$4,'2015'!$B$6:$B$55,0),MATCH($B31,'2015'!$C$1:$U$1,0)),0)</f>
        <v>9849.6</v>
      </c>
      <c r="N31" s="118">
        <f>_xlfn.IFNA(INDEX('2015'!$C$6:$U$55,MATCH(N$4,'2015'!$B$6:$B$55,0),MATCH($B31,'2015'!$C$1:$U$1,0)),0)</f>
        <v>20875.5</v>
      </c>
      <c r="O31" s="118">
        <f>_xlfn.IFNA(INDEX('2015'!$C$6:$U$55,MATCH(O$4,'2015'!$B$6:$B$55,0),MATCH($B31,'2015'!$C$1:$U$1,0)),0)</f>
        <v>27687.599999999999</v>
      </c>
      <c r="P31" s="118">
        <f t="shared" si="3"/>
        <v>803822.4</v>
      </c>
    </row>
    <row r="32" spans="2:16" ht="12.75" customHeight="1">
      <c r="B32" s="129" t="s">
        <v>77</v>
      </c>
      <c r="C32" s="118">
        <f>_xlfn.IFNA(INDEX('2015'!$C$6:$U$55,MATCH(C$4,'2015'!$B$6:$B$55,0),MATCH($B32,'2015'!$C$1:$U$1,0)),0)</f>
        <v>0</v>
      </c>
      <c r="D32" s="118">
        <f>_xlfn.IFNA(INDEX('2015'!$C$6:$U$55,MATCH(D$4,'2015'!$B$6:$B$55,0),MATCH($B32,'2015'!$C$1:$U$1,0)),0)</f>
        <v>0</v>
      </c>
      <c r="E32" s="118">
        <f>_xlfn.IFNA(INDEX('2015'!$C$6:$U$55,MATCH(E$4,'2015'!$B$6:$B$55,0),MATCH($B32,'2015'!$C$1:$U$1,0)),0)</f>
        <v>0</v>
      </c>
      <c r="F32" s="118">
        <f>_xlfn.IFNA(INDEX('2015'!$C$6:$U$55,MATCH(F$4,'2015'!$B$6:$B$55,0),MATCH($B32,'2015'!$C$1:$U$1,0)),0)</f>
        <v>0</v>
      </c>
      <c r="G32" s="118">
        <f>_xlfn.IFNA(INDEX('2015'!$C$6:$U$55,MATCH(G$4,'2015'!$B$6:$B$55,0),MATCH($B32,'2015'!$C$1:$U$1,0)),0)</f>
        <v>0</v>
      </c>
      <c r="H32" s="118">
        <f>_xlfn.IFNA(INDEX('2015'!$C$6:$U$55,MATCH(H$4,'2015'!$B$6:$B$55,0),MATCH($B32,'2015'!$C$1:$U$1,0)),0)</f>
        <v>0</v>
      </c>
      <c r="I32" s="118">
        <f>_xlfn.IFNA(INDEX('2015'!$C$6:$U$55,MATCH(I$4,'2015'!$B$6:$B$55,0),MATCH($B32,'2015'!$C$1:$U$1,0)),0)</f>
        <v>0</v>
      </c>
      <c r="J32" s="118">
        <f>_xlfn.IFNA(INDEX('2015'!$C$6:$U$55,MATCH(J$4,'2015'!$B$6:$B$55,0),MATCH($B32,'2015'!$C$1:$U$1,0)),0)</f>
        <v>0</v>
      </c>
      <c r="K32" s="118">
        <f>_xlfn.IFNA(INDEX('2015'!$C$6:$U$55,MATCH(K$4,'2015'!$B$6:$B$55,0),MATCH($B32,'2015'!$C$1:$U$1,0)),0)</f>
        <v>0</v>
      </c>
      <c r="L32" s="118">
        <f>_xlfn.IFNA(INDEX('2015'!$C$6:$U$55,MATCH(L$4,'2015'!$B$6:$B$55,0),MATCH($B32,'2015'!$C$1:$U$1,0)),0)</f>
        <v>0</v>
      </c>
      <c r="M32" s="118">
        <f>_xlfn.IFNA(INDEX('2015'!$C$6:$U$55,MATCH(M$4,'2015'!$B$6:$B$55,0),MATCH($B32,'2015'!$C$1:$U$1,0)),0)</f>
        <v>0</v>
      </c>
      <c r="N32" s="118">
        <f>_xlfn.IFNA(INDEX('2015'!$C$6:$U$55,MATCH(N$4,'2015'!$B$6:$B$55,0),MATCH($B32,'2015'!$C$1:$U$1,0)),0)</f>
        <v>0</v>
      </c>
      <c r="O32" s="118">
        <f>_xlfn.IFNA(INDEX('2015'!$C$6:$U$55,MATCH(O$4,'2015'!$B$6:$B$55,0),MATCH($B32,'2015'!$C$1:$U$1,0)),0)</f>
        <v>0</v>
      </c>
      <c r="P32" s="118">
        <f t="shared" si="3"/>
        <v>0</v>
      </c>
    </row>
    <row r="33" spans="2:19" ht="12.75" customHeight="1">
      <c r="B33" s="129" t="s">
        <v>78</v>
      </c>
      <c r="C33" s="118">
        <f>_xlfn.IFNA(INDEX('2015'!$C$6:$U$55,MATCH(C$4,'2015'!$B$6:$B$55,0),MATCH($B33,'2015'!$C$1:$U$1,0)),0)</f>
        <v>0</v>
      </c>
      <c r="D33" s="118">
        <f>_xlfn.IFNA(INDEX('2015'!$C$6:$U$55,MATCH(D$4,'2015'!$B$6:$B$55,0),MATCH($B33,'2015'!$C$1:$U$1,0)),0)</f>
        <v>0</v>
      </c>
      <c r="E33" s="118">
        <f>_xlfn.IFNA(INDEX('2015'!$C$6:$U$55,MATCH(E$4,'2015'!$B$6:$B$55,0),MATCH($B33,'2015'!$C$1:$U$1,0)),0)</f>
        <v>0</v>
      </c>
      <c r="F33" s="118">
        <f>_xlfn.IFNA(INDEX('2015'!$C$6:$U$55,MATCH(F$4,'2015'!$B$6:$B$55,0),MATCH($B33,'2015'!$C$1:$U$1,0)),0)</f>
        <v>0</v>
      </c>
      <c r="G33" s="118">
        <f>_xlfn.IFNA(INDEX('2015'!$C$6:$U$55,MATCH(G$4,'2015'!$B$6:$B$55,0),MATCH($B33,'2015'!$C$1:$U$1,0)),0)</f>
        <v>0</v>
      </c>
      <c r="H33" s="118">
        <f>_xlfn.IFNA(INDEX('2015'!$C$6:$U$55,MATCH(H$4,'2015'!$B$6:$B$55,0),MATCH($B33,'2015'!$C$1:$U$1,0)),0)</f>
        <v>0</v>
      </c>
      <c r="I33" s="118">
        <f>_xlfn.IFNA(INDEX('2015'!$C$6:$U$55,MATCH(I$4,'2015'!$B$6:$B$55,0),MATCH($B33,'2015'!$C$1:$U$1,0)),0)</f>
        <v>0</v>
      </c>
      <c r="J33" s="118">
        <f>_xlfn.IFNA(INDEX('2015'!$C$6:$U$55,MATCH(J$4,'2015'!$B$6:$B$55,0),MATCH($B33,'2015'!$C$1:$U$1,0)),0)</f>
        <v>0</v>
      </c>
      <c r="K33" s="118">
        <f>_xlfn.IFNA(INDEX('2015'!$C$6:$U$55,MATCH(K$4,'2015'!$B$6:$B$55,0),MATCH($B33,'2015'!$C$1:$U$1,0)),0)</f>
        <v>0</v>
      </c>
      <c r="L33" s="118">
        <f>_xlfn.IFNA(INDEX('2015'!$C$6:$U$55,MATCH(L$4,'2015'!$B$6:$B$55,0),MATCH($B33,'2015'!$C$1:$U$1,0)),0)</f>
        <v>0</v>
      </c>
      <c r="M33" s="118">
        <f>_xlfn.IFNA(INDEX('2015'!$C$6:$U$55,MATCH(M$4,'2015'!$B$6:$B$55,0),MATCH($B33,'2015'!$C$1:$U$1,0)),0)</f>
        <v>0</v>
      </c>
      <c r="N33" s="118">
        <f>_xlfn.IFNA(INDEX('2015'!$C$6:$U$55,MATCH(N$4,'2015'!$B$6:$B$55,0),MATCH($B33,'2015'!$C$1:$U$1,0)),0)</f>
        <v>0</v>
      </c>
      <c r="O33" s="118">
        <f>_xlfn.IFNA(INDEX('2015'!$C$6:$U$55,MATCH(O$4,'2015'!$B$6:$B$55,0),MATCH($B33,'2015'!$C$1:$U$1,0)),0)</f>
        <v>0</v>
      </c>
      <c r="P33" s="118">
        <f t="shared" si="3"/>
        <v>0</v>
      </c>
      <c r="R33" s="128">
        <v>0.4</v>
      </c>
      <c r="S33" s="128" t="s">
        <v>507</v>
      </c>
    </row>
    <row r="34" spans="2:19" ht="12.75" customHeight="1">
      <c r="B34" s="129" t="s">
        <v>80</v>
      </c>
      <c r="C34" s="118">
        <f>_xlfn.IFNA(INDEX('2015'!$C$6:$U$55,MATCH(C$4,'2015'!$B$6:$B$55,0),MATCH($B34,'2015'!$C$1:$U$1,0)),0)</f>
        <v>0</v>
      </c>
      <c r="D34" s="118">
        <f>_xlfn.IFNA(INDEX('2015'!$C$6:$U$55,MATCH(D$4,'2015'!$B$6:$B$55,0),MATCH($B34,'2015'!$C$1:$U$1,0)),0)</f>
        <v>0</v>
      </c>
      <c r="E34" s="118">
        <f>_xlfn.IFNA(INDEX('2015'!$C$6:$U$55,MATCH(E$4,'2015'!$B$6:$B$55,0),MATCH($B34,'2015'!$C$1:$U$1,0)),0)</f>
        <v>0</v>
      </c>
      <c r="F34" s="118">
        <f>_xlfn.IFNA(INDEX('2015'!$C$6:$U$55,MATCH(F$4,'2015'!$B$6:$B$55,0),MATCH($B34,'2015'!$C$1:$U$1,0)),0)</f>
        <v>0</v>
      </c>
      <c r="G34" s="118">
        <f>_xlfn.IFNA(INDEX('2015'!$C$6:$U$55,MATCH(G$4,'2015'!$B$6:$B$55,0),MATCH($B34,'2015'!$C$1:$U$1,0)),0)</f>
        <v>0</v>
      </c>
      <c r="H34" s="118">
        <f>_xlfn.IFNA(INDEX('2015'!$C$6:$U$55,MATCH(H$4,'2015'!$B$6:$B$55,0),MATCH($B34,'2015'!$C$1:$U$1,0)),0)</f>
        <v>0</v>
      </c>
      <c r="I34" s="118">
        <f>_xlfn.IFNA(INDEX('2015'!$C$6:$U$55,MATCH(I$4,'2015'!$B$6:$B$55,0),MATCH($B34,'2015'!$C$1:$U$1,0)),0)</f>
        <v>0</v>
      </c>
      <c r="J34" s="118">
        <f>_xlfn.IFNA(INDEX('2015'!$C$6:$U$55,MATCH(J$4,'2015'!$B$6:$B$55,0),MATCH($B34,'2015'!$C$1:$U$1,0)),0)</f>
        <v>0</v>
      </c>
      <c r="K34" s="118">
        <f>_xlfn.IFNA(INDEX('2015'!$C$6:$U$55,MATCH(K$4,'2015'!$B$6:$B$55,0),MATCH($B34,'2015'!$C$1:$U$1,0)),0)</f>
        <v>0</v>
      </c>
      <c r="L34" s="118">
        <f>_xlfn.IFNA(INDEX('2015'!$C$6:$U$55,MATCH(L$4,'2015'!$B$6:$B$55,0),MATCH($B34,'2015'!$C$1:$U$1,0)),0)</f>
        <v>0</v>
      </c>
      <c r="M34" s="118">
        <f>_xlfn.IFNA(INDEX('2015'!$C$6:$U$55,MATCH(M$4,'2015'!$B$6:$B$55,0),MATCH($B34,'2015'!$C$1:$U$1,0)),0)</f>
        <v>0</v>
      </c>
      <c r="N34" s="118">
        <f>_xlfn.IFNA(INDEX('2015'!$C$6:$U$55,MATCH(N$4,'2015'!$B$6:$B$55,0),MATCH($B34,'2015'!$C$1:$U$1,0)),0)</f>
        <v>0</v>
      </c>
      <c r="O34" s="118">
        <f>_xlfn.IFNA(INDEX('2015'!$C$6:$U$55,MATCH(O$4,'2015'!$B$6:$B$55,0),MATCH($B34,'2015'!$C$1:$U$1,0)),0)</f>
        <v>0</v>
      </c>
      <c r="P34" s="118">
        <f t="shared" si="3"/>
        <v>0</v>
      </c>
      <c r="R34" s="128">
        <f>1-R33</f>
        <v>0.6</v>
      </c>
      <c r="S34" s="128" t="s">
        <v>507</v>
      </c>
    </row>
    <row r="35" spans="2:19" ht="12.75" customHeight="1">
      <c r="B35" s="129" t="s">
        <v>50</v>
      </c>
      <c r="C35" s="118">
        <f>_xlfn.IFNA(INDEX('2015'!$C$6:$U$55,MATCH(C$4,'2015'!$B$6:$B$55,0),MATCH($B35,'2015'!$C$1:$U$1,0)),0)</f>
        <v>93826.8</v>
      </c>
      <c r="D35" s="118">
        <f>_xlfn.IFNA(INDEX('2015'!$C$6:$U$55,MATCH(D$4,'2015'!$B$6:$B$55,0),MATCH($B35,'2015'!$C$1:$U$1,0)),0)</f>
        <v>192474</v>
      </c>
      <c r="E35" s="118">
        <f>_xlfn.IFNA(INDEX('2015'!$C$6:$U$55,MATCH(E$4,'2015'!$B$6:$B$55,0),MATCH($B35,'2015'!$C$1:$U$1,0)),0)</f>
        <v>57135.6</v>
      </c>
      <c r="F35" s="118">
        <f>_xlfn.IFNA(INDEX('2015'!$C$6:$U$55,MATCH(F$4,'2015'!$B$6:$B$55,0),MATCH($B35,'2015'!$C$1:$U$1,0)),0)</f>
        <v>44265.599999999999</v>
      </c>
      <c r="G35" s="118">
        <f>_xlfn.IFNA(INDEX('2015'!$C$6:$U$55,MATCH(G$4,'2015'!$B$6:$B$55,0),MATCH($B35,'2015'!$C$1:$U$1,0)),0)</f>
        <v>66654</v>
      </c>
      <c r="H35" s="118">
        <f>_xlfn.IFNA(INDEX('2015'!$C$6:$U$55,MATCH(H$4,'2015'!$B$6:$B$55,0),MATCH($B35,'2015'!$C$1:$U$1,0)),0)</f>
        <v>120315.6</v>
      </c>
      <c r="I35" s="118">
        <f>_xlfn.IFNA(INDEX('2015'!$C$6:$U$55,MATCH(I$4,'2015'!$B$6:$B$55,0),MATCH($B35,'2015'!$C$1:$U$1,0)),0)</f>
        <v>6264</v>
      </c>
      <c r="J35" s="118">
        <f>_xlfn.IFNA(INDEX('2015'!$C$6:$U$55,MATCH(J$4,'2015'!$B$6:$B$55,0),MATCH($B35,'2015'!$C$1:$U$1,0)),0)</f>
        <v>65498.400000000001</v>
      </c>
      <c r="K35" s="118">
        <f>_xlfn.IFNA(INDEX('2015'!$C$6:$U$55,MATCH(K$4,'2015'!$B$6:$B$55,0),MATCH($B35,'2015'!$C$1:$U$1,0)),0)</f>
        <v>76762.8</v>
      </c>
      <c r="L35" s="118">
        <f>_xlfn.IFNA(INDEX('2015'!$C$6:$U$55,MATCH(L$4,'2015'!$B$6:$B$55,0),MATCH($B35,'2015'!$C$1:$U$1,0)),0)</f>
        <v>16171.2</v>
      </c>
      <c r="M35" s="118">
        <f>_xlfn.IFNA(INDEX('2015'!$C$6:$U$55,MATCH(M$4,'2015'!$B$6:$B$55,0),MATCH($B35,'2015'!$C$1:$U$1,0)),0)</f>
        <v>8132.4</v>
      </c>
      <c r="N35" s="118">
        <f>_xlfn.IFNA(INDEX('2015'!$C$6:$U$55,MATCH(N$4,'2015'!$B$6:$B$55,0),MATCH($B35,'2015'!$C$1:$U$1,0)),0)</f>
        <v>14202</v>
      </c>
      <c r="O35" s="118">
        <f>_xlfn.IFNA(INDEX('2015'!$C$6:$U$55,MATCH(O$4,'2015'!$B$6:$B$55,0),MATCH($B35,'2015'!$C$1:$U$1,0)),0)</f>
        <v>62067.6</v>
      </c>
      <c r="P35" s="118">
        <f t="shared" si="3"/>
        <v>823770</v>
      </c>
    </row>
    <row r="36" spans="2:19" ht="12.75" customHeight="1">
      <c r="B36" s="130" t="s">
        <v>52</v>
      </c>
      <c r="C36" s="118">
        <f>_xlfn.IFNA(INDEX('2015'!$C$6:$U$55,MATCH(C$4,'2015'!$B$6:$B$55,0),MATCH($B36,'2015'!$C$1:$U$1,0)),0)</f>
        <v>1520</v>
      </c>
      <c r="D36" s="118">
        <f>_xlfn.IFNA(INDEX('2015'!$C$6:$U$55,MATCH(D$4,'2015'!$B$6:$B$55,0),MATCH($B36,'2015'!$C$1:$U$1,0)),0)</f>
        <v>97183</v>
      </c>
      <c r="E36" s="118">
        <f>_xlfn.IFNA(INDEX('2015'!$C$6:$U$55,MATCH(E$4,'2015'!$B$6:$B$55,0),MATCH($B36,'2015'!$C$1:$U$1,0)),0)</f>
        <v>1109</v>
      </c>
      <c r="F36" s="118">
        <f>_xlfn.IFNA(INDEX('2015'!$C$6:$U$55,MATCH(F$4,'2015'!$B$6:$B$55,0),MATCH($B36,'2015'!$C$1:$U$1,0)),0)</f>
        <v>775</v>
      </c>
      <c r="G36" s="118">
        <f>_xlfn.IFNA(INDEX('2015'!$C$6:$U$55,MATCH(G$4,'2015'!$B$6:$B$55,0),MATCH($B36,'2015'!$C$1:$U$1,0)),0)</f>
        <v>13440</v>
      </c>
      <c r="H36" s="118">
        <f>_xlfn.IFNA(INDEX('2015'!$C$6:$U$55,MATCH(H$4,'2015'!$B$6:$B$55,0),MATCH($B36,'2015'!$C$1:$U$1,0)),0)</f>
        <v>9929</v>
      </c>
      <c r="I36" s="118">
        <f>_xlfn.IFNA(INDEX('2015'!$C$6:$U$55,MATCH(I$4,'2015'!$B$6:$B$55,0),MATCH($B36,'2015'!$C$1:$U$1,0)),0)</f>
        <v>116</v>
      </c>
      <c r="J36" s="118">
        <f>_xlfn.IFNA(INDEX('2015'!$C$6:$U$55,MATCH(J$4,'2015'!$B$6:$B$55,0),MATCH($B36,'2015'!$C$1:$U$1,0)),0)</f>
        <v>9825</v>
      </c>
      <c r="K36" s="118">
        <f>_xlfn.IFNA(INDEX('2015'!$C$6:$U$55,MATCH(K$4,'2015'!$B$6:$B$55,0),MATCH($B36,'2015'!$C$1:$U$1,0)),0)</f>
        <v>27747</v>
      </c>
      <c r="L36" s="118">
        <f>_xlfn.IFNA(INDEX('2015'!$C$6:$U$55,MATCH(L$4,'2015'!$B$6:$B$55,0),MATCH($B36,'2015'!$C$1:$U$1,0)),0)</f>
        <v>2838</v>
      </c>
      <c r="M36" s="118">
        <f>_xlfn.IFNA(INDEX('2015'!$C$6:$U$55,MATCH(M$4,'2015'!$B$6:$B$55,0),MATCH($B36,'2015'!$C$1:$U$1,0)),0)</f>
        <v>2298</v>
      </c>
      <c r="N36" s="118">
        <f>_xlfn.IFNA(INDEX('2015'!$C$6:$U$55,MATCH(N$4,'2015'!$B$6:$B$55,0),MATCH($B36,'2015'!$C$1:$U$1,0)),0)</f>
        <v>0</v>
      </c>
      <c r="O36" s="118">
        <f>_xlfn.IFNA(INDEX('2015'!$C$6:$U$55,MATCH(O$4,'2015'!$B$6:$B$55,0),MATCH($B36,'2015'!$C$1:$U$1,0)),0)</f>
        <v>6650</v>
      </c>
      <c r="P36" s="118">
        <f t="shared" si="3"/>
        <v>173430</v>
      </c>
    </row>
    <row r="37" spans="2:19" ht="12.75" customHeight="1">
      <c r="B37" s="129" t="s">
        <v>437</v>
      </c>
      <c r="C37" s="118">
        <f>_xlfn.IFNA(INDEX('2015'!$C$6:$U$55,MATCH(C$4,'2015'!$B$6:$B$55,0),MATCH($B37,'2015'!$C$1:$U$1,0)),0)</f>
        <v>64</v>
      </c>
      <c r="D37" s="118">
        <f>_xlfn.IFNA(INDEX('2015'!$C$6:$U$55,MATCH(D$4,'2015'!$B$6:$B$55,0),MATCH($B37,'2015'!$C$1:$U$1,0)),0)</f>
        <v>10831.034</v>
      </c>
      <c r="E37" s="118">
        <f>_xlfn.IFNA(INDEX('2015'!$C$6:$U$55,MATCH(E$4,'2015'!$B$6:$B$55,0),MATCH($B37,'2015'!$C$1:$U$1,0)),0)</f>
        <v>269</v>
      </c>
      <c r="F37" s="118">
        <f>_xlfn.IFNA(INDEX('2015'!$C$6:$U$55,MATCH(F$4,'2015'!$B$6:$B$55,0),MATCH($B37,'2015'!$C$1:$U$1,0)),0)</f>
        <v>50390.585999999996</v>
      </c>
      <c r="G37" s="118">
        <f>_xlfn.IFNA(INDEX('2015'!$C$6:$U$55,MATCH(G$4,'2015'!$B$6:$B$55,0),MATCH($B37,'2015'!$C$1:$U$1,0)),0)</f>
        <v>277.86200000000002</v>
      </c>
      <c r="H37" s="118">
        <f>_xlfn.IFNA(INDEX('2015'!$C$6:$U$55,MATCH(H$4,'2015'!$B$6:$B$55,0),MATCH($B37,'2015'!$C$1:$U$1,0)),0)</f>
        <v>2592.2930000000001</v>
      </c>
      <c r="I37" s="118">
        <f>_xlfn.IFNA(INDEX('2015'!$C$6:$U$55,MATCH(I$4,'2015'!$B$6:$B$55,0),MATCH($B37,'2015'!$C$1:$U$1,0)),0)</f>
        <v>859</v>
      </c>
      <c r="J37" s="118">
        <f>_xlfn.IFNA(INDEX('2015'!$C$6:$U$55,MATCH(J$4,'2015'!$B$6:$B$55,0),MATCH($B37,'2015'!$C$1:$U$1,0)),0)</f>
        <v>2357.431</v>
      </c>
      <c r="K37" s="118">
        <f>_xlfn.IFNA(INDEX('2015'!$C$6:$U$55,MATCH(K$4,'2015'!$B$6:$B$55,0),MATCH($B37,'2015'!$C$1:$U$1,0)),0)</f>
        <v>29066.154999999999</v>
      </c>
      <c r="L37" s="118">
        <f>_xlfn.IFNA(INDEX('2015'!$C$6:$U$55,MATCH(L$4,'2015'!$B$6:$B$55,0),MATCH($B37,'2015'!$C$1:$U$1,0)),0)</f>
        <v>50300</v>
      </c>
      <c r="M37" s="118">
        <f>_xlfn.IFNA(INDEX('2015'!$C$6:$U$55,MATCH(M$4,'2015'!$B$6:$B$55,0),MATCH($B37,'2015'!$C$1:$U$1,0)),0)</f>
        <v>96</v>
      </c>
      <c r="N37" s="118">
        <f>_xlfn.IFNA(INDEX('2015'!$C$6:$U$55,MATCH(N$4,'2015'!$B$6:$B$55,0),MATCH($B37,'2015'!$C$1:$U$1,0)),0)</f>
        <v>0</v>
      </c>
      <c r="O37" s="118">
        <f>_xlfn.IFNA(INDEX('2015'!$C$6:$U$55,MATCH(O$4,'2015'!$B$6:$B$55,0),MATCH($B37,'2015'!$C$1:$U$1,0)),0)</f>
        <v>5473</v>
      </c>
      <c r="P37" s="118">
        <f t="shared" si="3"/>
        <v>152576.36099999998</v>
      </c>
    </row>
    <row r="38" spans="2:19" ht="12.75" customHeight="1">
      <c r="B38" s="118" t="s">
        <v>506</v>
      </c>
      <c r="C38" s="118">
        <f>SUM(C25:C36)</f>
        <v>323565.26799999998</v>
      </c>
      <c r="D38" s="118">
        <f t="shared" ref="D38:O38" si="5">SUM(D25:D36)</f>
        <v>592304.98699999996</v>
      </c>
      <c r="E38" s="118">
        <f t="shared" si="5"/>
        <v>95386.25</v>
      </c>
      <c r="F38" s="118">
        <f t="shared" si="5"/>
        <v>214101.12700000001</v>
      </c>
      <c r="G38" s="118">
        <f t="shared" si="5"/>
        <v>120135.746</v>
      </c>
      <c r="H38" s="118">
        <f t="shared" si="5"/>
        <v>212140.092</v>
      </c>
      <c r="I38" s="118">
        <f t="shared" si="5"/>
        <v>14246.293</v>
      </c>
      <c r="J38" s="118">
        <f t="shared" si="5"/>
        <v>202486.46799999999</v>
      </c>
      <c r="K38" s="118">
        <f t="shared" si="5"/>
        <v>208848.52500000002</v>
      </c>
      <c r="L38" s="118">
        <f t="shared" si="5"/>
        <v>24696.255000000001</v>
      </c>
      <c r="M38" s="118">
        <f t="shared" si="5"/>
        <v>21473.934000000001</v>
      </c>
      <c r="N38" s="118">
        <f t="shared" si="5"/>
        <v>35077.5</v>
      </c>
      <c r="O38" s="118">
        <f t="shared" si="5"/>
        <v>100784.17499999999</v>
      </c>
      <c r="P38" s="118">
        <f>SUM(C38:O38)</f>
        <v>2165246.6199999996</v>
      </c>
    </row>
    <row r="39" spans="2:19" ht="12.75" customHeight="1">
      <c r="B39" s="118" t="s">
        <v>57</v>
      </c>
      <c r="C39" s="118">
        <f>_xlfn.IFNA(INDEX('2015'!$C$6:$V$55,MATCH(C$4,'2015'!$B$6:$B$55,0),MATCH($B39,'2015'!$C$1:$V$1,0)),0)</f>
        <v>323693.26800000004</v>
      </c>
      <c r="D39" s="118">
        <f>_xlfn.IFNA(INDEX('2015'!$C$6:$V$55,MATCH(D$4,'2015'!$B$6:$B$55,0),MATCH($B39,'2015'!$C$1:$V$1,0)),0)</f>
        <v>617383.64199999999</v>
      </c>
      <c r="E39" s="118">
        <f>_xlfn.IFNA(INDEX('2015'!$C$6:$V$55,MATCH(E$4,'2015'!$B$6:$B$55,0),MATCH($B39,'2015'!$C$1:$V$1,0)),0)</f>
        <v>96839.25</v>
      </c>
      <c r="F39" s="118">
        <f>_xlfn.IFNA(INDEX('2015'!$C$6:$V$55,MATCH(F$4,'2015'!$B$6:$B$55,0),MATCH($B39,'2015'!$C$1:$V$1,0)),0)</f>
        <v>274429.65700000001</v>
      </c>
      <c r="G39" s="118">
        <f>_xlfn.IFNA(INDEX('2015'!$C$6:$V$55,MATCH(G$4,'2015'!$B$6:$B$55,0),MATCH($B39,'2015'!$C$1:$V$1,0)),0)</f>
        <v>120490.32000000002</v>
      </c>
      <c r="H39" s="118">
        <f>_xlfn.IFNA(INDEX('2015'!$C$6:$V$55,MATCH(H$4,'2015'!$B$6:$B$55,0),MATCH($B39,'2015'!$C$1:$V$1,0)),0)</f>
        <v>214809.09700000001</v>
      </c>
      <c r="I39" s="118">
        <f>_xlfn.IFNA(INDEX('2015'!$C$6:$V$55,MATCH(I$4,'2015'!$B$6:$B$55,0),MATCH($B39,'2015'!$C$1:$V$1,0)),0)</f>
        <v>15335.649000000001</v>
      </c>
      <c r="J39" s="118">
        <f>_xlfn.IFNA(INDEX('2015'!$C$6:$V$55,MATCH(J$4,'2015'!$B$6:$B$55,0),MATCH($B39,'2015'!$C$1:$V$1,0)),0)</f>
        <v>204843.899</v>
      </c>
      <c r="K39" s="118">
        <f>_xlfn.IFNA(INDEX('2015'!$C$6:$V$55,MATCH(K$4,'2015'!$B$6:$B$55,0),MATCH($B39,'2015'!$C$1:$V$1,0)),0)</f>
        <v>237953.03599999999</v>
      </c>
      <c r="L39" s="118">
        <f>_xlfn.IFNA(INDEX('2015'!$C$6:$V$55,MATCH(L$4,'2015'!$B$6:$B$55,0),MATCH($B39,'2015'!$C$1:$V$1,0)),0)</f>
        <v>74996.255000000005</v>
      </c>
      <c r="M39" s="118">
        <f>_xlfn.IFNA(INDEX('2015'!$C$6:$V$55,MATCH(M$4,'2015'!$B$6:$B$55,0),MATCH($B39,'2015'!$C$1:$V$1,0)),0)</f>
        <v>21569.934000000001</v>
      </c>
      <c r="N39" s="118">
        <f>_xlfn.IFNA(INDEX('2015'!$C$6:$V$55,MATCH(N$4,'2015'!$B$6:$B$55,0),MATCH($B39,'2015'!$C$1:$V$1,0)),0)</f>
        <v>35077.5</v>
      </c>
      <c r="O39" s="118">
        <f>_xlfn.IFNA(INDEX('2015'!$C$6:$V$55,MATCH(O$4,'2015'!$B$6:$B$55,0),MATCH($B39,'2015'!$C$1:$V$1,0)),0)</f>
        <v>110016.336</v>
      </c>
      <c r="P39" s="118">
        <f>SUM(C39:O39)</f>
        <v>2347437.8429999999</v>
      </c>
    </row>
    <row r="43" spans="2:19" ht="12.75" customHeight="1">
      <c r="B43" s="115">
        <v>2019</v>
      </c>
      <c r="C43" s="25"/>
      <c r="D43" s="25"/>
      <c r="E43" s="25"/>
      <c r="F43" s="25"/>
      <c r="G43" s="25"/>
      <c r="H43" s="25"/>
      <c r="I43" s="25"/>
      <c r="J43" s="25"/>
      <c r="K43" s="25"/>
      <c r="L43" s="25"/>
      <c r="M43" s="25"/>
      <c r="N43" s="25"/>
    </row>
    <row r="44" spans="2:19" ht="12.75" customHeight="1">
      <c r="B44" s="119"/>
      <c r="C44" s="120" t="s">
        <v>474</v>
      </c>
      <c r="D44" s="120" t="s">
        <v>475</v>
      </c>
      <c r="E44" s="120" t="s">
        <v>476</v>
      </c>
      <c r="F44" s="120" t="s">
        <v>477</v>
      </c>
      <c r="G44" s="120" t="s">
        <v>478</v>
      </c>
      <c r="H44" s="120" t="s">
        <v>342</v>
      </c>
      <c r="I44" s="120" t="s">
        <v>479</v>
      </c>
      <c r="J44" s="120" t="s">
        <v>480</v>
      </c>
      <c r="K44" s="120" t="s">
        <v>481</v>
      </c>
      <c r="L44" s="120" t="s">
        <v>482</v>
      </c>
      <c r="M44" s="120" t="s">
        <v>483</v>
      </c>
      <c r="N44" s="120" t="s">
        <v>253</v>
      </c>
      <c r="O44" s="120" t="s">
        <v>484</v>
      </c>
      <c r="P44" s="120" t="s">
        <v>150</v>
      </c>
    </row>
    <row r="45" spans="2:19" ht="12.75" customHeight="1">
      <c r="B45" s="129" t="s">
        <v>55</v>
      </c>
      <c r="C45" s="118">
        <f>_xlfn.IFNA(INDEX('2019'!$C$6:$U$55,MATCH(C$4,'2019'!$B$6:$B$55,0),MATCH($B45,'2019'!$C$1:$U$1,0)),0)</f>
        <v>28433.278999999999</v>
      </c>
      <c r="D45" s="118">
        <f>_xlfn.IFNA(INDEX('2019'!$C$6:$U$55,MATCH(D$4,'2019'!$B$6:$B$55,0),MATCH($B45,'2019'!$C$1:$U$1,0)),0)</f>
        <v>14652.936</v>
      </c>
      <c r="E45" s="118">
        <f>_xlfn.IFNA(INDEX('2019'!$C$6:$U$55,MATCH(E$4,'2019'!$B$6:$B$55,0),MATCH($B45,'2019'!$C$1:$U$1,0)),0)</f>
        <v>1097.598</v>
      </c>
      <c r="F45" s="118">
        <f>_xlfn.IFNA(INDEX('2019'!$C$6:$U$55,MATCH(F$4,'2019'!$B$6:$B$55,0),MATCH($B45,'2019'!$C$1:$U$1,0)),0)</f>
        <v>53875.453000000001</v>
      </c>
      <c r="G45" s="118">
        <f>_xlfn.IFNA(INDEX('2019'!$C$6:$U$55,MATCH(G$4,'2019'!$B$6:$B$55,0),MATCH($B45,'2019'!$C$1:$U$1,0)),0)</f>
        <v>7161.88</v>
      </c>
      <c r="H45" s="118">
        <f>_xlfn.IFNA(INDEX('2019'!$C$6:$U$55,MATCH(H$4,'2019'!$B$6:$B$55,0),MATCH($B45,'2019'!$C$1:$U$1,0)),0)</f>
        <v>574.64200000000005</v>
      </c>
      <c r="I45" s="118">
        <f>_xlfn.IFNA(INDEX('2019'!$C$6:$U$55,MATCH(I$4,'2019'!$B$6:$B$55,0),MATCH($B45,'2019'!$C$1:$U$1,0)),0)</f>
        <v>2624.08</v>
      </c>
      <c r="J45" s="118">
        <f>_xlfn.IFNA(INDEX('2019'!$C$6:$U$55,MATCH(J$4,'2019'!$B$6:$B$55,0),MATCH($B45,'2019'!$C$1:$U$1,0)),0)</f>
        <v>7846.0739999999996</v>
      </c>
      <c r="K45" s="118">
        <f>_xlfn.IFNA(INDEX('2019'!$C$6:$U$55,MATCH(K$4,'2019'!$B$6:$B$55,0),MATCH($B45,'2019'!$C$1:$U$1,0)),0)</f>
        <v>10776.85</v>
      </c>
      <c r="L45" s="118">
        <f>_xlfn.IFNA(INDEX('2019'!$C$6:$U$55,MATCH(L$4,'2019'!$B$6:$B$55,0),MATCH($B45,'2019'!$C$1:$U$1,0)),0)</f>
        <v>0</v>
      </c>
      <c r="M45" s="118">
        <f>_xlfn.IFNA(INDEX('2019'!$C$6:$U$55,MATCH(M$4,'2019'!$B$6:$B$55,0),MATCH($B45,'2019'!$C$1:$U$1,0)),0)</f>
        <v>180.55199999999999</v>
      </c>
      <c r="N45" s="118">
        <f>_xlfn.IFNA(INDEX('2019'!$C$6:$U$55,MATCH(N$4,'2019'!$B$6:$B$55,0),MATCH($B45,'2019'!$C$1:$U$1,0)),0)</f>
        <v>0</v>
      </c>
      <c r="O45" s="118">
        <f>_xlfn.IFNA(INDEX('2019'!$C$6:$U$55,MATCH(O$4,'2019'!$B$6:$B$55,0),MATCH($B45,'2019'!$C$1:$U$1,0)),0)</f>
        <v>1474.5050000000001</v>
      </c>
      <c r="P45" s="118">
        <f>SUM(C45:O45)</f>
        <v>128697.84900000002</v>
      </c>
    </row>
    <row r="46" spans="2:19" ht="12.75" customHeight="1">
      <c r="B46" s="129" t="s">
        <v>54</v>
      </c>
      <c r="C46" s="118">
        <f>_xlfn.IFNA(INDEX('2019'!$C$6:$U$55,MATCH(C$4,'2019'!$B$6:$B$55,0),MATCH($B46,'2019'!$C$1:$U$1,0)),0)</f>
        <v>0</v>
      </c>
      <c r="D46" s="118">
        <f>_xlfn.IFNA(INDEX('2019'!$C$6:$U$55,MATCH(D$4,'2019'!$B$6:$B$55,0),MATCH($B46,'2019'!$C$1:$U$1,0)),0)</f>
        <v>21139.732</v>
      </c>
      <c r="E46" s="118">
        <f>_xlfn.IFNA(INDEX('2019'!$C$6:$U$55,MATCH(E$4,'2019'!$B$6:$B$55,0),MATCH($B46,'2019'!$C$1:$U$1,0)),0)</f>
        <v>685.83100000000002</v>
      </c>
      <c r="F46" s="118">
        <f>_xlfn.IFNA(INDEX('2019'!$C$6:$U$55,MATCH(F$4,'2019'!$B$6:$B$55,0),MATCH($B46,'2019'!$C$1:$U$1,0)),0)</f>
        <v>2339.8939999999998</v>
      </c>
      <c r="G46" s="118">
        <f>_xlfn.IFNA(INDEX('2019'!$C$6:$U$55,MATCH(G$4,'2019'!$B$6:$B$55,0),MATCH($B46,'2019'!$C$1:$U$1,0)),0)</f>
        <v>0</v>
      </c>
      <c r="H46" s="118">
        <f>_xlfn.IFNA(INDEX('2019'!$C$6:$U$55,MATCH(H$4,'2019'!$B$6:$B$55,0),MATCH($B46,'2019'!$C$1:$U$1,0)),0)</f>
        <v>40.343000000000004</v>
      </c>
      <c r="I46" s="118">
        <f>_xlfn.IFNA(INDEX('2019'!$C$6:$U$55,MATCH(I$4,'2019'!$B$6:$B$55,0),MATCH($B46,'2019'!$C$1:$U$1,0)),0)</f>
        <v>40.343000000000004</v>
      </c>
      <c r="J46" s="118">
        <f>_xlfn.IFNA(INDEX('2019'!$C$6:$U$55,MATCH(J$4,'2019'!$B$6:$B$55,0),MATCH($B46,'2019'!$C$1:$U$1,0)),0)</f>
        <v>1210.29</v>
      </c>
      <c r="K46" s="118">
        <f>_xlfn.IFNA(INDEX('2019'!$C$6:$U$55,MATCH(K$4,'2019'!$B$6:$B$55,0),MATCH($B46,'2019'!$C$1:$U$1,0)),0)</f>
        <v>403.43</v>
      </c>
      <c r="L46" s="118">
        <f>_xlfn.IFNA(INDEX('2019'!$C$6:$U$55,MATCH(L$4,'2019'!$B$6:$B$55,0),MATCH($B46,'2019'!$C$1:$U$1,0)),0)</f>
        <v>40.343000000000004</v>
      </c>
      <c r="M46" s="118">
        <f>_xlfn.IFNA(INDEX('2019'!$C$6:$U$55,MATCH(M$4,'2019'!$B$6:$B$55,0),MATCH($B46,'2019'!$C$1:$U$1,0)),0)</f>
        <v>0</v>
      </c>
      <c r="N46" s="118">
        <f>_xlfn.IFNA(INDEX('2019'!$C$6:$U$55,MATCH(N$4,'2019'!$B$6:$B$55,0),MATCH($B46,'2019'!$C$1:$U$1,0)),0)</f>
        <v>0</v>
      </c>
      <c r="O46" s="118">
        <f>_xlfn.IFNA(INDEX('2019'!$C$6:$U$55,MATCH(O$4,'2019'!$B$6:$B$55,0),MATCH($B46,'2019'!$C$1:$U$1,0)),0)</f>
        <v>40.343000000000004</v>
      </c>
      <c r="P46" s="118">
        <f t="shared" ref="P46:P57" si="6">SUM(C46:O46)</f>
        <v>25940.549000000003</v>
      </c>
    </row>
    <row r="47" spans="2:19" ht="12.75" customHeight="1">
      <c r="B47" s="129" t="s">
        <v>68</v>
      </c>
      <c r="C47" s="118">
        <f>_xlfn.IFNA(INDEX('2019'!$C$6:$U$55,MATCH(C$4,'2019'!$B$6:$B$55,0),MATCH($B47,'2019'!$C$1:$U$1,0)),0)</f>
        <v>429.27</v>
      </c>
      <c r="D47" s="118">
        <f>_xlfn.IFNA(INDEX('2019'!$C$6:$U$55,MATCH(D$4,'2019'!$B$6:$B$55,0),MATCH($B47,'2019'!$C$1:$U$1,0)),0)</f>
        <v>1588.299</v>
      </c>
      <c r="E47" s="118">
        <f>_xlfn.IFNA(INDEX('2019'!$C$6:$U$55,MATCH(E$4,'2019'!$B$6:$B$55,0),MATCH($B47,'2019'!$C$1:$U$1,0)),0)</f>
        <v>472.197</v>
      </c>
      <c r="F47" s="118">
        <f>_xlfn.IFNA(INDEX('2019'!$C$6:$U$55,MATCH(F$4,'2019'!$B$6:$B$55,0),MATCH($B47,'2019'!$C$1:$U$1,0)),0)</f>
        <v>3176.598</v>
      </c>
      <c r="G47" s="118">
        <f>_xlfn.IFNA(INDEX('2019'!$C$6:$U$55,MATCH(G$4,'2019'!$B$6:$B$55,0),MATCH($B47,'2019'!$C$1:$U$1,0)),0)</f>
        <v>1373.664</v>
      </c>
      <c r="H47" s="118">
        <f>_xlfn.IFNA(INDEX('2019'!$C$6:$U$55,MATCH(H$4,'2019'!$B$6:$B$55,0),MATCH($B47,'2019'!$C$1:$U$1,0)),0)</f>
        <v>7469.2979999999998</v>
      </c>
      <c r="I47" s="118">
        <f>_xlfn.IFNA(INDEX('2019'!$C$6:$U$55,MATCH(I$4,'2019'!$B$6:$B$55,0),MATCH($B47,'2019'!$C$1:$U$1,0)),0)</f>
        <v>729.75900000000001</v>
      </c>
      <c r="J47" s="118">
        <f>_xlfn.IFNA(INDEX('2019'!$C$6:$U$55,MATCH(J$4,'2019'!$B$6:$B$55,0),MATCH($B47,'2019'!$C$1:$U$1,0)),0)</f>
        <v>5365.875</v>
      </c>
      <c r="K47" s="118">
        <f>_xlfn.IFNA(INDEX('2019'!$C$6:$U$55,MATCH(K$4,'2019'!$B$6:$B$55,0),MATCH($B47,'2019'!$C$1:$U$1,0)),0)</f>
        <v>1116.1020000000001</v>
      </c>
      <c r="L47" s="118">
        <f>_xlfn.IFNA(INDEX('2019'!$C$6:$U$55,MATCH(L$4,'2019'!$B$6:$B$55,0),MATCH($B47,'2019'!$C$1:$U$1,0)),0)</f>
        <v>558.05100000000004</v>
      </c>
      <c r="M47" s="118">
        <f>_xlfn.IFNA(INDEX('2019'!$C$6:$U$55,MATCH(M$4,'2019'!$B$6:$B$55,0),MATCH($B47,'2019'!$C$1:$U$1,0)),0)</f>
        <v>558.05100000000004</v>
      </c>
      <c r="N47" s="118">
        <f>_xlfn.IFNA(INDEX('2019'!$C$6:$U$55,MATCH(N$4,'2019'!$B$6:$B$55,0),MATCH($B47,'2019'!$C$1:$U$1,0)),0)</f>
        <v>53229.48</v>
      </c>
      <c r="O47" s="118">
        <f>_xlfn.IFNA(INDEX('2019'!$C$6:$U$55,MATCH(O$4,'2019'!$B$6:$B$55,0),MATCH($B47,'2019'!$C$1:$U$1,0)),0)</f>
        <v>3219.5250000000001</v>
      </c>
      <c r="P47" s="118">
        <f t="shared" si="6"/>
        <v>79286.168999999994</v>
      </c>
    </row>
    <row r="48" spans="2:19" ht="12.75" customHeight="1">
      <c r="B48" s="129" t="s">
        <v>79</v>
      </c>
      <c r="C48" s="118">
        <f>_xlfn.IFNA(INDEX('2019'!$C$6:$U$55,MATCH(C$4,'2019'!$B$6:$B$55,0),MATCH($B48,'2019'!$C$1:$U$1,0)),0)</f>
        <v>0</v>
      </c>
      <c r="D48" s="118">
        <f>_xlfn.IFNA(INDEX('2019'!$C$6:$U$55,MATCH(D$4,'2019'!$B$6:$B$55,0),MATCH($B48,'2019'!$C$1:$U$1,0)),0)</f>
        <v>0</v>
      </c>
      <c r="E48" s="118">
        <f>_xlfn.IFNA(INDEX('2019'!$C$6:$U$55,MATCH(E$4,'2019'!$B$6:$B$55,0),MATCH($B48,'2019'!$C$1:$U$1,0)),0)</f>
        <v>0</v>
      </c>
      <c r="F48" s="118">
        <f>_xlfn.IFNA(INDEX('2019'!$C$6:$U$55,MATCH(F$4,'2019'!$B$6:$B$55,0),MATCH($B48,'2019'!$C$1:$U$1,0)),0)</f>
        <v>0</v>
      </c>
      <c r="G48" s="118">
        <f>_xlfn.IFNA(INDEX('2019'!$C$6:$U$55,MATCH(G$4,'2019'!$B$6:$B$55,0),MATCH($B48,'2019'!$C$1:$U$1,0)),0)</f>
        <v>0</v>
      </c>
      <c r="H48" s="118">
        <f>_xlfn.IFNA(INDEX('2019'!$C$6:$U$55,MATCH(H$4,'2019'!$B$6:$B$55,0),MATCH($B48,'2019'!$C$1:$U$1,0)),0)</f>
        <v>0</v>
      </c>
      <c r="I48" s="118">
        <f>_xlfn.IFNA(INDEX('2019'!$C$6:$U$55,MATCH(I$4,'2019'!$B$6:$B$55,0),MATCH($B48,'2019'!$C$1:$U$1,0)),0)</f>
        <v>0</v>
      </c>
      <c r="J48" s="118">
        <f>_xlfn.IFNA(INDEX('2019'!$C$6:$U$55,MATCH(J$4,'2019'!$B$6:$B$55,0),MATCH($B48,'2019'!$C$1:$U$1,0)),0)</f>
        <v>0</v>
      </c>
      <c r="K48" s="118">
        <f>_xlfn.IFNA(INDEX('2019'!$C$6:$U$55,MATCH(K$4,'2019'!$B$6:$B$55,0),MATCH($B48,'2019'!$C$1:$U$1,0)),0)</f>
        <v>0</v>
      </c>
      <c r="L48" s="118">
        <f>_xlfn.IFNA(INDEX('2019'!$C$6:$U$55,MATCH(L$4,'2019'!$B$6:$B$55,0),MATCH($B48,'2019'!$C$1:$U$1,0)),0)</f>
        <v>0</v>
      </c>
      <c r="M48" s="118">
        <f>_xlfn.IFNA(INDEX('2019'!$C$6:$U$55,MATCH(M$4,'2019'!$B$6:$B$55,0),MATCH($B48,'2019'!$C$1:$U$1,0)),0)</f>
        <v>0</v>
      </c>
      <c r="N48" s="118">
        <f>_xlfn.IFNA(INDEX('2019'!$C$6:$U$55,MATCH(N$4,'2019'!$B$6:$B$55,0),MATCH($B48,'2019'!$C$1:$U$1,0)),0)</f>
        <v>3086.5129999999999</v>
      </c>
      <c r="O48" s="118">
        <f>_xlfn.IFNA(INDEX('2019'!$C$6:$U$55,MATCH(O$4,'2019'!$B$6:$B$55,0),MATCH($B48,'2019'!$C$1:$U$1,0)),0)</f>
        <v>0</v>
      </c>
      <c r="P48" s="118">
        <f t="shared" si="6"/>
        <v>3086.5129999999999</v>
      </c>
    </row>
    <row r="49" spans="2:19" ht="12.75" customHeight="1">
      <c r="B49" s="129" t="s">
        <v>53</v>
      </c>
      <c r="C49" s="118">
        <f>_xlfn.IFNA(INDEX('2019'!$C$6:$U$55,MATCH(C$4,'2019'!$B$6:$B$55,0),MATCH($B49,'2019'!$C$1:$U$1,0)),0)</f>
        <v>43.073999999999998</v>
      </c>
      <c r="D49" s="118">
        <f>_xlfn.IFNA(INDEX('2019'!$C$6:$U$55,MATCH(D$4,'2019'!$B$6:$B$55,0),MATCH($B49,'2019'!$C$1:$U$1,0)),0)</f>
        <v>0</v>
      </c>
      <c r="E49" s="118">
        <f>_xlfn.IFNA(INDEX('2019'!$C$6:$U$55,MATCH(E$4,'2019'!$B$6:$B$55,0),MATCH($B49,'2019'!$C$1:$U$1,0)),0)</f>
        <v>86.147999999999996</v>
      </c>
      <c r="F49" s="118">
        <f>_xlfn.IFNA(INDEX('2019'!$C$6:$U$55,MATCH(F$4,'2019'!$B$6:$B$55,0),MATCH($B49,'2019'!$C$1:$U$1,0)),0)</f>
        <v>516.88800000000003</v>
      </c>
      <c r="G49" s="118">
        <f>_xlfn.IFNA(INDEX('2019'!$C$6:$U$55,MATCH(G$4,'2019'!$B$6:$B$55,0),MATCH($B49,'2019'!$C$1:$U$1,0)),0)</f>
        <v>215.37</v>
      </c>
      <c r="H49" s="118">
        <f>_xlfn.IFNA(INDEX('2019'!$C$6:$U$55,MATCH(H$4,'2019'!$B$6:$B$55,0),MATCH($B49,'2019'!$C$1:$U$1,0)),0)</f>
        <v>947.62800000000004</v>
      </c>
      <c r="I49" s="118">
        <f>_xlfn.IFNA(INDEX('2019'!$C$6:$U$55,MATCH(I$4,'2019'!$B$6:$B$55,0),MATCH($B49,'2019'!$C$1:$U$1,0)),0)</f>
        <v>129.22200000000001</v>
      </c>
      <c r="J49" s="118">
        <f>_xlfn.IFNA(INDEX('2019'!$C$6:$U$55,MATCH(J$4,'2019'!$B$6:$B$55,0),MATCH($B49,'2019'!$C$1:$U$1,0)),0)</f>
        <v>258.44400000000002</v>
      </c>
      <c r="K49" s="118">
        <f>_xlfn.IFNA(INDEX('2019'!$C$6:$U$55,MATCH(K$4,'2019'!$B$6:$B$55,0),MATCH($B49,'2019'!$C$1:$U$1,0)),0)</f>
        <v>86.147999999999996</v>
      </c>
      <c r="L49" s="118">
        <f>_xlfn.IFNA(INDEX('2019'!$C$6:$U$55,MATCH(L$4,'2019'!$B$6:$B$55,0),MATCH($B49,'2019'!$C$1:$U$1,0)),0)</f>
        <v>43.073999999999998</v>
      </c>
      <c r="M49" s="118">
        <f>_xlfn.IFNA(INDEX('2019'!$C$6:$U$55,MATCH(M$4,'2019'!$B$6:$B$55,0),MATCH($B49,'2019'!$C$1:$U$1,0)),0)</f>
        <v>43.073999999999998</v>
      </c>
      <c r="N49" s="118">
        <f>_xlfn.IFNA(INDEX('2019'!$C$6:$U$55,MATCH(N$4,'2019'!$B$6:$B$55,0),MATCH($B49,'2019'!$C$1:$U$1,0)),0)</f>
        <v>0</v>
      </c>
      <c r="O49" s="118">
        <f>_xlfn.IFNA(INDEX('2019'!$C$6:$U$55,MATCH(O$4,'2019'!$B$6:$B$55,0),MATCH($B49,'2019'!$C$1:$U$1,0)),0)</f>
        <v>430.74</v>
      </c>
      <c r="P49" s="118">
        <f t="shared" si="6"/>
        <v>2799.8100000000004</v>
      </c>
    </row>
    <row r="50" spans="2:19" ht="12.75" customHeight="1">
      <c r="B50" s="129" t="s">
        <v>589</v>
      </c>
      <c r="C50" s="118">
        <f>_xlfn.IFNA(INDEX('2019'!$C$6:$U$55,MATCH(C$4,'2019'!$B$6:$B$55,0),MATCH($B50,'2019'!$C$1:$U$1,0)),0)</f>
        <v>93782.1</v>
      </c>
      <c r="D50" s="118">
        <f>_xlfn.IFNA(INDEX('2019'!$C$6:$U$55,MATCH(D$4,'2019'!$B$6:$B$55,0),MATCH($B50,'2019'!$C$1:$U$1,0)),0)</f>
        <v>1692</v>
      </c>
      <c r="E50" s="118">
        <f>_xlfn.IFNA(INDEX('2019'!$C$6:$U$55,MATCH(E$4,'2019'!$B$6:$B$55,0),MATCH($B50,'2019'!$C$1:$U$1,0)),0)</f>
        <v>0</v>
      </c>
      <c r="F50" s="118">
        <f>_xlfn.IFNA(INDEX('2019'!$C$6:$U$55,MATCH(F$4,'2019'!$B$6:$B$55,0),MATCH($B50,'2019'!$C$1:$U$1,0)),0)</f>
        <v>0</v>
      </c>
      <c r="G50" s="118">
        <f>_xlfn.IFNA(INDEX('2019'!$C$6:$U$55,MATCH(G$4,'2019'!$B$6:$B$55,0),MATCH($B50,'2019'!$C$1:$U$1,0)),0)</f>
        <v>1139.4000000000001</v>
      </c>
      <c r="H50" s="118">
        <f>_xlfn.IFNA(INDEX('2019'!$C$6:$U$55,MATCH(H$4,'2019'!$B$6:$B$55,0),MATCH($B50,'2019'!$C$1:$U$1,0)),0)</f>
        <v>365.4</v>
      </c>
      <c r="I50" s="118">
        <f>_xlfn.IFNA(INDEX('2019'!$C$6:$U$55,MATCH(I$4,'2019'!$B$6:$B$55,0),MATCH($B50,'2019'!$C$1:$U$1,0)),0)</f>
        <v>0</v>
      </c>
      <c r="J50" s="118">
        <f>_xlfn.IFNA(INDEX('2019'!$C$6:$U$55,MATCH(J$4,'2019'!$B$6:$B$55,0),MATCH($B50,'2019'!$C$1:$U$1,0)),0)</f>
        <v>0</v>
      </c>
      <c r="K50" s="118">
        <f>_xlfn.IFNA(INDEX('2019'!$C$6:$U$55,MATCH(K$4,'2019'!$B$6:$B$55,0),MATCH($B50,'2019'!$C$1:$U$1,0)),0)</f>
        <v>0</v>
      </c>
      <c r="L50" s="118">
        <f>_xlfn.IFNA(INDEX('2019'!$C$6:$U$55,MATCH(L$4,'2019'!$B$6:$B$55,0),MATCH($B50,'2019'!$C$1:$U$1,0)),0)</f>
        <v>0</v>
      </c>
      <c r="M50" s="118">
        <f>_xlfn.IFNA(INDEX('2019'!$C$6:$U$55,MATCH(M$4,'2019'!$B$6:$B$55,0),MATCH($B50,'2019'!$C$1:$U$1,0)),0)</f>
        <v>0</v>
      </c>
      <c r="N50" s="118">
        <f>_xlfn.IFNA(INDEX('2019'!$C$6:$U$55,MATCH(N$4,'2019'!$B$6:$B$55,0),MATCH($B50,'2019'!$C$1:$U$1,0)),0)</f>
        <v>0</v>
      </c>
      <c r="O50" s="118">
        <f>_xlfn.IFNA(INDEX('2019'!$C$6:$U$55,MATCH(O$4,'2019'!$B$6:$B$55,0),MATCH($B50,'2019'!$C$1:$U$1,0)),0)</f>
        <v>13.5</v>
      </c>
      <c r="P50" s="118">
        <f t="shared" ref="P50" si="7">SUM(C50:O50)</f>
        <v>96992.4</v>
      </c>
    </row>
    <row r="51" spans="2:19" ht="12.75" customHeight="1">
      <c r="B51" s="129" t="s">
        <v>51</v>
      </c>
      <c r="C51" s="118">
        <f>_xlfn.IFNA(INDEX('2019'!$C$6:$U$55,MATCH(C$4,'2019'!$B$6:$B$55,0),MATCH($B51,'2019'!$C$1:$U$1,0)),0)</f>
        <v>86104.111999999994</v>
      </c>
      <c r="D51" s="118">
        <f>_xlfn.IFNA(INDEX('2019'!$C$6:$U$55,MATCH(D$4,'2019'!$B$6:$B$55,0),MATCH($B51,'2019'!$C$1:$U$1,0)),0)</f>
        <v>209784.61600000001</v>
      </c>
      <c r="E51" s="118">
        <f>_xlfn.IFNA(INDEX('2019'!$C$6:$U$55,MATCH(E$4,'2019'!$B$6:$B$55,0),MATCH($B51,'2019'!$C$1:$U$1,0)),0)</f>
        <v>35464.18</v>
      </c>
      <c r="F51" s="118">
        <f>_xlfn.IFNA(INDEX('2019'!$C$6:$U$55,MATCH(F$4,'2019'!$B$6:$B$55,0),MATCH($B51,'2019'!$C$1:$U$1,0)),0)</f>
        <v>105073.03</v>
      </c>
      <c r="G51" s="118">
        <f>_xlfn.IFNA(INDEX('2019'!$C$6:$U$55,MATCH(G$4,'2019'!$B$6:$B$55,0),MATCH($B51,'2019'!$C$1:$U$1,0)),0)</f>
        <v>36605.161</v>
      </c>
      <c r="H51" s="118">
        <f>_xlfn.IFNA(INDEX('2019'!$C$6:$U$55,MATCH(H$4,'2019'!$B$6:$B$55,0),MATCH($B51,'2019'!$C$1:$U$1,0)),0)</f>
        <v>73810.733999999997</v>
      </c>
      <c r="I51" s="118">
        <f>_xlfn.IFNA(INDEX('2019'!$C$6:$U$55,MATCH(I$4,'2019'!$B$6:$B$55,0),MATCH($B51,'2019'!$C$1:$U$1,0)),0)</f>
        <v>3917.636</v>
      </c>
      <c r="J51" s="118">
        <f>_xlfn.IFNA(INDEX('2019'!$C$6:$U$55,MATCH(J$4,'2019'!$B$6:$B$55,0),MATCH($B51,'2019'!$C$1:$U$1,0)),0)</f>
        <v>116593.553</v>
      </c>
      <c r="K51" s="118">
        <f>_xlfn.IFNA(INDEX('2019'!$C$6:$U$55,MATCH(K$4,'2019'!$B$6:$B$55,0),MATCH($B51,'2019'!$C$1:$U$1,0)),0)</f>
        <v>78489.357000000004</v>
      </c>
      <c r="L51" s="118">
        <f>_xlfn.IFNA(INDEX('2019'!$C$6:$U$55,MATCH(L$4,'2019'!$B$6:$B$55,0),MATCH($B51,'2019'!$C$1:$U$1,0)),0)</f>
        <v>4556.9449999999997</v>
      </c>
      <c r="M51" s="118">
        <f>_xlfn.IFNA(INDEX('2019'!$C$6:$U$55,MATCH(M$4,'2019'!$B$6:$B$55,0),MATCH($B51,'2019'!$C$1:$U$1,0)),0)</f>
        <v>8865.5460000000003</v>
      </c>
      <c r="N51" s="118">
        <f>_xlfn.IFNA(INDEX('2019'!$C$6:$U$55,MATCH(N$4,'2019'!$B$6:$B$55,0),MATCH($B51,'2019'!$C$1:$U$1,0)),0)</f>
        <v>26449.200000000001</v>
      </c>
      <c r="O51" s="118">
        <f>_xlfn.IFNA(INDEX('2019'!$C$6:$U$55,MATCH(O$4,'2019'!$B$6:$B$55,0),MATCH($B51,'2019'!$C$1:$U$1,0)),0)</f>
        <v>29694.444</v>
      </c>
      <c r="P51" s="118">
        <f t="shared" si="6"/>
        <v>815408.51399999985</v>
      </c>
    </row>
    <row r="52" spans="2:19" ht="12.75" customHeight="1">
      <c r="B52" s="129" t="s">
        <v>77</v>
      </c>
      <c r="C52" s="118">
        <f>_xlfn.IFNA(INDEX('2019'!$C$6:$U$55,MATCH(C$4,'2019'!$B$6:$B$55,0),MATCH($B52,'2019'!$C$1:$U$1,0)),0)</f>
        <v>0</v>
      </c>
      <c r="D52" s="118">
        <f>_xlfn.IFNA(INDEX('2019'!$C$6:$U$55,MATCH(D$4,'2019'!$B$6:$B$55,0),MATCH($B52,'2019'!$C$1:$U$1,0)),0)</f>
        <v>0</v>
      </c>
      <c r="E52" s="118">
        <f>_xlfn.IFNA(INDEX('2019'!$C$6:$U$55,MATCH(E$4,'2019'!$B$6:$B$55,0),MATCH($B52,'2019'!$C$1:$U$1,0)),0)</f>
        <v>0</v>
      </c>
      <c r="F52" s="118">
        <f>_xlfn.IFNA(INDEX('2019'!$C$6:$U$55,MATCH(F$4,'2019'!$B$6:$B$55,0),MATCH($B52,'2019'!$C$1:$U$1,0)),0)</f>
        <v>0</v>
      </c>
      <c r="G52" s="118">
        <f>_xlfn.IFNA(INDEX('2019'!$C$6:$U$55,MATCH(G$4,'2019'!$B$6:$B$55,0),MATCH($B52,'2019'!$C$1:$U$1,0)),0)</f>
        <v>0</v>
      </c>
      <c r="H52" s="118">
        <f>_xlfn.IFNA(INDEX('2019'!$C$6:$U$55,MATCH(H$4,'2019'!$B$6:$B$55,0),MATCH($B52,'2019'!$C$1:$U$1,0)),0)</f>
        <v>0</v>
      </c>
      <c r="I52" s="118">
        <f>_xlfn.IFNA(INDEX('2019'!$C$6:$U$55,MATCH(I$4,'2019'!$B$6:$B$55,0),MATCH($B52,'2019'!$C$1:$U$1,0)),0)</f>
        <v>0</v>
      </c>
      <c r="J52" s="118">
        <f>_xlfn.IFNA(INDEX('2019'!$C$6:$U$55,MATCH(J$4,'2019'!$B$6:$B$55,0),MATCH($B52,'2019'!$C$1:$U$1,0)),0)</f>
        <v>0</v>
      </c>
      <c r="K52" s="118">
        <f>_xlfn.IFNA(INDEX('2019'!$C$6:$U$55,MATCH(K$4,'2019'!$B$6:$B$55,0),MATCH($B52,'2019'!$C$1:$U$1,0)),0)</f>
        <v>0</v>
      </c>
      <c r="L52" s="118">
        <f>_xlfn.IFNA(INDEX('2019'!$C$6:$U$55,MATCH(L$4,'2019'!$B$6:$B$55,0),MATCH($B52,'2019'!$C$1:$U$1,0)),0)</f>
        <v>0</v>
      </c>
      <c r="M52" s="118">
        <f>_xlfn.IFNA(INDEX('2019'!$C$6:$U$55,MATCH(M$4,'2019'!$B$6:$B$55,0),MATCH($B52,'2019'!$C$1:$U$1,0)),0)</f>
        <v>0</v>
      </c>
      <c r="N52" s="118">
        <f>_xlfn.IFNA(INDEX('2019'!$C$6:$U$55,MATCH(N$4,'2019'!$B$6:$B$55,0),MATCH($B52,'2019'!$C$1:$U$1,0)),0)</f>
        <v>0</v>
      </c>
      <c r="O52" s="118">
        <f>_xlfn.IFNA(INDEX('2019'!$C$6:$U$55,MATCH(O$4,'2019'!$B$6:$B$55,0),MATCH($B52,'2019'!$C$1:$U$1,0)),0)</f>
        <v>0</v>
      </c>
      <c r="P52" s="118">
        <f t="shared" si="6"/>
        <v>0</v>
      </c>
    </row>
    <row r="53" spans="2:19" ht="12.75" customHeight="1">
      <c r="B53" s="129" t="s">
        <v>78</v>
      </c>
      <c r="C53" s="118">
        <f>_xlfn.IFNA(INDEX('2019'!$C$6:$U$55,MATCH(C$4,'2019'!$B$6:$B$55,0),MATCH($B53,'2019'!$C$1:$U$1,0)),0)</f>
        <v>0</v>
      </c>
      <c r="D53" s="118">
        <f>_xlfn.IFNA(INDEX('2019'!$C$6:$U$55,MATCH(D$4,'2019'!$B$6:$B$55,0),MATCH($B53,'2019'!$C$1:$U$1,0)),0)</f>
        <v>0</v>
      </c>
      <c r="E53" s="118">
        <f>_xlfn.IFNA(INDEX('2019'!$C$6:$U$55,MATCH(E$4,'2019'!$B$6:$B$55,0),MATCH($B53,'2019'!$C$1:$U$1,0)),0)</f>
        <v>0</v>
      </c>
      <c r="F53" s="118">
        <f>_xlfn.IFNA(INDEX('2019'!$C$6:$U$55,MATCH(F$4,'2019'!$B$6:$B$55,0),MATCH($B53,'2019'!$C$1:$U$1,0)),0)</f>
        <v>0</v>
      </c>
      <c r="G53" s="118">
        <f>_xlfn.IFNA(INDEX('2019'!$C$6:$U$55,MATCH(G$4,'2019'!$B$6:$B$55,0),MATCH($B53,'2019'!$C$1:$U$1,0)),0)</f>
        <v>0</v>
      </c>
      <c r="H53" s="118">
        <f>_xlfn.IFNA(INDEX('2019'!$C$6:$U$55,MATCH(H$4,'2019'!$B$6:$B$55,0),MATCH($B53,'2019'!$C$1:$U$1,0)),0)</f>
        <v>0</v>
      </c>
      <c r="I53" s="118">
        <f>_xlfn.IFNA(INDEX('2019'!$C$6:$U$55,MATCH(I$4,'2019'!$B$6:$B$55,0),MATCH($B53,'2019'!$C$1:$U$1,0)),0)</f>
        <v>0</v>
      </c>
      <c r="J53" s="118">
        <f>_xlfn.IFNA(INDEX('2019'!$C$6:$U$55,MATCH(J$4,'2019'!$B$6:$B$55,0),MATCH($B53,'2019'!$C$1:$U$1,0)),0)</f>
        <v>0</v>
      </c>
      <c r="K53" s="118">
        <f>_xlfn.IFNA(INDEX('2019'!$C$6:$U$55,MATCH(K$4,'2019'!$B$6:$B$55,0),MATCH($B53,'2019'!$C$1:$U$1,0)),0)</f>
        <v>0</v>
      </c>
      <c r="L53" s="118">
        <f>_xlfn.IFNA(INDEX('2019'!$C$6:$U$55,MATCH(L$4,'2019'!$B$6:$B$55,0),MATCH($B53,'2019'!$C$1:$U$1,0)),0)</f>
        <v>0</v>
      </c>
      <c r="M53" s="118">
        <f>_xlfn.IFNA(INDEX('2019'!$C$6:$U$55,MATCH(M$4,'2019'!$B$6:$B$55,0),MATCH($B53,'2019'!$C$1:$U$1,0)),0)</f>
        <v>0</v>
      </c>
      <c r="N53" s="118">
        <f>_xlfn.IFNA(INDEX('2019'!$C$6:$U$55,MATCH(N$4,'2019'!$B$6:$B$55,0),MATCH($B53,'2019'!$C$1:$U$1,0)),0)</f>
        <v>0</v>
      </c>
      <c r="O53" s="118">
        <f>_xlfn.IFNA(INDEX('2019'!$C$6:$U$55,MATCH(O$4,'2019'!$B$6:$B$55,0),MATCH($B53,'2019'!$C$1:$U$1,0)),0)</f>
        <v>0</v>
      </c>
      <c r="P53" s="118">
        <f t="shared" si="6"/>
        <v>0</v>
      </c>
      <c r="R53" s="128">
        <v>0.5</v>
      </c>
      <c r="S53" s="128" t="s">
        <v>507</v>
      </c>
    </row>
    <row r="54" spans="2:19" ht="12.75" customHeight="1">
      <c r="B54" s="129" t="s">
        <v>80</v>
      </c>
      <c r="C54" s="118">
        <f>_xlfn.IFNA(INDEX('2019'!$C$6:$U$55,MATCH(C$4,'2019'!$B$6:$B$55,0),MATCH($B54,'2019'!$C$1:$U$1,0)),0)</f>
        <v>0</v>
      </c>
      <c r="D54" s="118">
        <f>_xlfn.IFNA(INDEX('2019'!$C$6:$U$55,MATCH(D$4,'2019'!$B$6:$B$55,0),MATCH($B54,'2019'!$C$1:$U$1,0)),0)</f>
        <v>0</v>
      </c>
      <c r="E54" s="118">
        <f>_xlfn.IFNA(INDEX('2019'!$C$6:$U$55,MATCH(E$4,'2019'!$B$6:$B$55,0),MATCH($B54,'2019'!$C$1:$U$1,0)),0)</f>
        <v>0</v>
      </c>
      <c r="F54" s="118">
        <f>_xlfn.IFNA(INDEX('2019'!$C$6:$U$55,MATCH(F$4,'2019'!$B$6:$B$55,0),MATCH($B54,'2019'!$C$1:$U$1,0)),0)</f>
        <v>0</v>
      </c>
      <c r="G54" s="118">
        <f>_xlfn.IFNA(INDEX('2019'!$C$6:$U$55,MATCH(G$4,'2019'!$B$6:$B$55,0),MATCH($B54,'2019'!$C$1:$U$1,0)),0)</f>
        <v>0</v>
      </c>
      <c r="H54" s="118">
        <f>_xlfn.IFNA(INDEX('2019'!$C$6:$U$55,MATCH(H$4,'2019'!$B$6:$B$55,0),MATCH($B54,'2019'!$C$1:$U$1,0)),0)</f>
        <v>0</v>
      </c>
      <c r="I54" s="118">
        <f>_xlfn.IFNA(INDEX('2019'!$C$6:$U$55,MATCH(I$4,'2019'!$B$6:$B$55,0),MATCH($B54,'2019'!$C$1:$U$1,0)),0)</f>
        <v>0</v>
      </c>
      <c r="J54" s="118">
        <f>_xlfn.IFNA(INDEX('2019'!$C$6:$U$55,MATCH(J$4,'2019'!$B$6:$B$55,0),MATCH($B54,'2019'!$C$1:$U$1,0)),0)</f>
        <v>0</v>
      </c>
      <c r="K54" s="118">
        <f>_xlfn.IFNA(INDEX('2019'!$C$6:$U$55,MATCH(K$4,'2019'!$B$6:$B$55,0),MATCH($B54,'2019'!$C$1:$U$1,0)),0)</f>
        <v>0</v>
      </c>
      <c r="L54" s="118">
        <f>_xlfn.IFNA(INDEX('2019'!$C$6:$U$55,MATCH(L$4,'2019'!$B$6:$B$55,0),MATCH($B54,'2019'!$C$1:$U$1,0)),0)</f>
        <v>0</v>
      </c>
      <c r="M54" s="118">
        <f>_xlfn.IFNA(INDEX('2019'!$C$6:$U$55,MATCH(M$4,'2019'!$B$6:$B$55,0),MATCH($B54,'2019'!$C$1:$U$1,0)),0)</f>
        <v>0</v>
      </c>
      <c r="N54" s="118">
        <f>_xlfn.IFNA(INDEX('2019'!$C$6:$U$55,MATCH(N$4,'2019'!$B$6:$B$55,0),MATCH($B54,'2019'!$C$1:$U$1,0)),0)</f>
        <v>0</v>
      </c>
      <c r="O54" s="118">
        <f>_xlfn.IFNA(INDEX('2019'!$C$6:$U$55,MATCH(O$4,'2019'!$B$6:$B$55,0),MATCH($B54,'2019'!$C$1:$U$1,0)),0)</f>
        <v>0</v>
      </c>
      <c r="P54" s="118">
        <f t="shared" si="6"/>
        <v>0</v>
      </c>
      <c r="R54" s="128">
        <f>1-R53</f>
        <v>0.5</v>
      </c>
      <c r="S54" s="128" t="s">
        <v>507</v>
      </c>
    </row>
    <row r="55" spans="2:19" ht="12.75" customHeight="1">
      <c r="B55" s="129" t="s">
        <v>50</v>
      </c>
      <c r="C55" s="118">
        <f>_xlfn.IFNA(INDEX('2019'!$C$6:$U$55,MATCH(C$4,'2019'!$B$6:$B$55,0),MATCH($B55,'2019'!$C$1:$U$1,0)),0)</f>
        <v>87739.199999999997</v>
      </c>
      <c r="D55" s="118">
        <f>_xlfn.IFNA(INDEX('2019'!$C$6:$U$55,MATCH(D$4,'2019'!$B$6:$B$55,0),MATCH($B55,'2019'!$C$1:$U$1,0)),0)</f>
        <v>189748.8</v>
      </c>
      <c r="E55" s="118">
        <f>_xlfn.IFNA(INDEX('2019'!$C$6:$U$55,MATCH(E$4,'2019'!$B$6:$B$55,0),MATCH($B55,'2019'!$C$1:$U$1,0)),0)</f>
        <v>54954</v>
      </c>
      <c r="F55" s="118">
        <f>_xlfn.IFNA(INDEX('2019'!$C$6:$U$55,MATCH(F$4,'2019'!$B$6:$B$55,0),MATCH($B55,'2019'!$C$1:$U$1,0)),0)</f>
        <v>44971.199999999997</v>
      </c>
      <c r="G55" s="118">
        <f>_xlfn.IFNA(INDEX('2019'!$C$6:$U$55,MATCH(G$4,'2019'!$B$6:$B$55,0),MATCH($B55,'2019'!$C$1:$U$1,0)),0)</f>
        <v>61120.800000000003</v>
      </c>
      <c r="H55" s="118">
        <f>_xlfn.IFNA(INDEX('2019'!$C$6:$U$55,MATCH(H$4,'2019'!$B$6:$B$55,0),MATCH($B55,'2019'!$C$1:$U$1,0)),0)</f>
        <v>118558.8</v>
      </c>
      <c r="I55" s="118">
        <f>_xlfn.IFNA(INDEX('2019'!$C$6:$U$55,MATCH(I$4,'2019'!$B$6:$B$55,0),MATCH($B55,'2019'!$C$1:$U$1,0)),0)</f>
        <v>6440.4</v>
      </c>
      <c r="J55" s="118">
        <f>_xlfn.IFNA(INDEX('2019'!$C$6:$U$55,MATCH(J$4,'2019'!$B$6:$B$55,0),MATCH($B55,'2019'!$C$1:$U$1,0)),0)</f>
        <v>67237.2</v>
      </c>
      <c r="K55" s="118">
        <f>_xlfn.IFNA(INDEX('2019'!$C$6:$U$55,MATCH(K$4,'2019'!$B$6:$B$55,0),MATCH($B55,'2019'!$C$1:$U$1,0)),0)</f>
        <v>71236.800000000003</v>
      </c>
      <c r="L55" s="118">
        <f>_xlfn.IFNA(INDEX('2019'!$C$6:$U$55,MATCH(L$4,'2019'!$B$6:$B$55,0),MATCH($B55,'2019'!$C$1:$U$1,0)),0)</f>
        <v>16434</v>
      </c>
      <c r="M55" s="118">
        <f>_xlfn.IFNA(INDEX('2019'!$C$6:$U$55,MATCH(M$4,'2019'!$B$6:$B$55,0),MATCH($B55,'2019'!$C$1:$U$1,0)),0)</f>
        <v>7005.6</v>
      </c>
      <c r="N55" s="118">
        <f>_xlfn.IFNA(INDEX('2019'!$C$6:$U$55,MATCH(N$4,'2019'!$B$6:$B$55,0),MATCH($B55,'2019'!$C$1:$U$1,0)),0)</f>
        <v>17344.8</v>
      </c>
      <c r="O55" s="118">
        <f>_xlfn.IFNA(INDEX('2019'!$C$6:$U$55,MATCH(O$4,'2019'!$B$6:$B$55,0),MATCH($B55,'2019'!$C$1:$U$1,0)),0)</f>
        <v>60969.599999999999</v>
      </c>
      <c r="P55" s="118">
        <f t="shared" si="6"/>
        <v>803761.20000000007</v>
      </c>
    </row>
    <row r="56" spans="2:19" ht="12.75" customHeight="1">
      <c r="B56" s="130" t="s">
        <v>52</v>
      </c>
      <c r="C56" s="118">
        <f>_xlfn.IFNA(INDEX('2019'!$C$6:$U$55,MATCH(C$4,'2019'!$B$6:$B$55,0),MATCH($B56,'2019'!$C$1:$U$1,0)),0)</f>
        <v>1410</v>
      </c>
      <c r="D56" s="118">
        <f>_xlfn.IFNA(INDEX('2019'!$C$6:$U$55,MATCH(D$4,'2019'!$B$6:$B$55,0),MATCH($B56,'2019'!$C$1:$U$1,0)),0)</f>
        <v>105172</v>
      </c>
      <c r="E56" s="118">
        <f>_xlfn.IFNA(INDEX('2019'!$C$6:$U$55,MATCH(E$4,'2019'!$B$6:$B$55,0),MATCH($B56,'2019'!$C$1:$U$1,0)),0)</f>
        <v>1131</v>
      </c>
      <c r="F56" s="118">
        <f>_xlfn.IFNA(INDEX('2019'!$C$6:$U$55,MATCH(F$4,'2019'!$B$6:$B$55,0),MATCH($B56,'2019'!$C$1:$U$1,0)),0)</f>
        <v>889</v>
      </c>
      <c r="G56" s="118">
        <f>_xlfn.IFNA(INDEX('2019'!$C$6:$U$55,MATCH(G$4,'2019'!$B$6:$B$55,0),MATCH($B56,'2019'!$C$1:$U$1,0)),0)</f>
        <v>12126</v>
      </c>
      <c r="H56" s="118">
        <f>_xlfn.IFNA(INDEX('2019'!$C$6:$U$55,MATCH(H$4,'2019'!$B$6:$B$55,0),MATCH($B56,'2019'!$C$1:$U$1,0)),0)</f>
        <v>10178</v>
      </c>
      <c r="I56" s="118">
        <f>_xlfn.IFNA(INDEX('2019'!$C$6:$U$55,MATCH(I$4,'2019'!$B$6:$B$55,0),MATCH($B56,'2019'!$C$1:$U$1,0)),0)</f>
        <v>194</v>
      </c>
      <c r="J56" s="118">
        <f>_xlfn.IFNA(INDEX('2019'!$C$6:$U$55,MATCH(J$4,'2019'!$B$6:$B$55,0),MATCH($B56,'2019'!$C$1:$U$1,0)),0)</f>
        <v>11956</v>
      </c>
      <c r="K56" s="118">
        <f>_xlfn.IFNA(INDEX('2019'!$C$6:$U$55,MATCH(K$4,'2019'!$B$6:$B$55,0),MATCH($B56,'2019'!$C$1:$U$1,0)),0)</f>
        <v>26801</v>
      </c>
      <c r="L56" s="118">
        <f>_xlfn.IFNA(INDEX('2019'!$C$6:$U$55,MATCH(L$4,'2019'!$B$6:$B$55,0),MATCH($B56,'2019'!$C$1:$U$1,0)),0)</f>
        <v>2227</v>
      </c>
      <c r="M56" s="118">
        <f>_xlfn.IFNA(INDEX('2019'!$C$6:$U$55,MATCH(M$4,'2019'!$B$6:$B$55,0),MATCH($B56,'2019'!$C$1:$U$1,0)),0)</f>
        <v>544</v>
      </c>
      <c r="N56" s="118">
        <f>_xlfn.IFNA(INDEX('2019'!$C$6:$U$55,MATCH(N$4,'2019'!$B$6:$B$55,0),MATCH($B56,'2019'!$C$1:$U$1,0)),0)</f>
        <v>0</v>
      </c>
      <c r="O56" s="118">
        <f>_xlfn.IFNA(INDEX('2019'!$C$6:$U$55,MATCH(O$4,'2019'!$B$6:$B$55,0),MATCH($B56,'2019'!$C$1:$U$1,0)),0)</f>
        <v>6585</v>
      </c>
      <c r="P56" s="118">
        <f t="shared" si="6"/>
        <v>179213</v>
      </c>
    </row>
    <row r="57" spans="2:19" ht="12.75" customHeight="1">
      <c r="B57" s="129" t="s">
        <v>437</v>
      </c>
      <c r="C57" s="118">
        <f>_xlfn.IFNA(INDEX('2019'!$C$6:$U$55,MATCH(C$4,'2019'!$B$6:$B$55,0),MATCH($B57,'2019'!$C$1:$U$1,0)),0)</f>
        <v>4</v>
      </c>
      <c r="D57" s="118">
        <f>_xlfn.IFNA(INDEX('2019'!$C$6:$U$55,MATCH(D$4,'2019'!$B$6:$B$55,0),MATCH($B57,'2019'!$C$1:$U$1,0)),0)</f>
        <v>10570.925999999999</v>
      </c>
      <c r="E57" s="118">
        <f>_xlfn.IFNA(INDEX('2019'!$C$6:$U$55,MATCH(E$4,'2019'!$B$6:$B$55,0),MATCH($B57,'2019'!$C$1:$U$1,0)),0)</f>
        <v>248</v>
      </c>
      <c r="F57" s="118">
        <f>_xlfn.IFNA(INDEX('2019'!$C$6:$U$55,MATCH(F$4,'2019'!$B$6:$B$55,0),MATCH($B57,'2019'!$C$1:$U$1,0)),0)</f>
        <v>60597.334000000003</v>
      </c>
      <c r="G57" s="118">
        <f>_xlfn.IFNA(INDEX('2019'!$C$6:$U$55,MATCH(G$4,'2019'!$B$6:$B$55,0),MATCH($B57,'2019'!$C$1:$U$1,0)),0)</f>
        <v>464.92599999999999</v>
      </c>
      <c r="H57" s="118">
        <f>_xlfn.IFNA(INDEX('2019'!$C$6:$U$55,MATCH(H$4,'2019'!$B$6:$B$55,0),MATCH($B57,'2019'!$C$1:$U$1,0)),0)</f>
        <v>2225.7780000000002</v>
      </c>
      <c r="I57" s="118">
        <f>_xlfn.IFNA(INDEX('2019'!$C$6:$U$55,MATCH(I$4,'2019'!$B$6:$B$55,0),MATCH($B57,'2019'!$C$1:$U$1,0)),0)</f>
        <v>229.92599999999999</v>
      </c>
      <c r="J57" s="118">
        <f>_xlfn.IFNA(INDEX('2019'!$C$6:$U$55,MATCH(J$4,'2019'!$B$6:$B$55,0),MATCH($B57,'2019'!$C$1:$U$1,0)),0)</f>
        <v>3008.8519999999999</v>
      </c>
      <c r="K57" s="118">
        <f>_xlfn.IFNA(INDEX('2019'!$C$6:$U$55,MATCH(K$4,'2019'!$B$6:$B$55,0),MATCH($B57,'2019'!$C$1:$U$1,0)),0)</f>
        <v>34984.630000000005</v>
      </c>
      <c r="L57" s="118">
        <f>_xlfn.IFNA(INDEX('2019'!$C$6:$U$55,MATCH(L$4,'2019'!$B$6:$B$55,0),MATCH($B57,'2019'!$C$1:$U$1,0)),0)</f>
        <v>48445.851999999999</v>
      </c>
      <c r="M57" s="118">
        <f>_xlfn.IFNA(INDEX('2019'!$C$6:$U$55,MATCH(M$4,'2019'!$B$6:$B$55,0),MATCH($B57,'2019'!$C$1:$U$1,0)),0)</f>
        <v>123</v>
      </c>
      <c r="N57" s="118">
        <f>_xlfn.IFNA(INDEX('2019'!$C$6:$U$55,MATCH(N$4,'2019'!$B$6:$B$55,0),MATCH($B57,'2019'!$C$1:$U$1,0)),0)</f>
        <v>2099.4290000000001</v>
      </c>
      <c r="O57" s="118">
        <f>_xlfn.IFNA(INDEX('2019'!$C$6:$U$55,MATCH(O$4,'2019'!$B$6:$B$55,0),MATCH($B57,'2019'!$C$1:$U$1,0)),0)</f>
        <v>4755</v>
      </c>
      <c r="P57" s="118">
        <f t="shared" si="6"/>
        <v>167757.65300000005</v>
      </c>
    </row>
    <row r="58" spans="2:19" ht="12.75" customHeight="1">
      <c r="B58" s="118" t="s">
        <v>506</v>
      </c>
      <c r="C58" s="118">
        <f>SUM(C45:C56)</f>
        <v>297941.03499999997</v>
      </c>
      <c r="D58" s="118">
        <f t="shared" ref="D58:O58" si="8">SUM(D45:D56)</f>
        <v>543778.38300000003</v>
      </c>
      <c r="E58" s="118">
        <f t="shared" si="8"/>
        <v>93890.953999999998</v>
      </c>
      <c r="F58" s="118">
        <f t="shared" si="8"/>
        <v>210842.06300000002</v>
      </c>
      <c r="G58" s="118">
        <f t="shared" si="8"/>
        <v>119742.27499999999</v>
      </c>
      <c r="H58" s="118">
        <f t="shared" si="8"/>
        <v>211944.845</v>
      </c>
      <c r="I58" s="118">
        <f t="shared" si="8"/>
        <v>14075.439999999999</v>
      </c>
      <c r="J58" s="118">
        <f>SUM(J45:J56)</f>
        <v>210467.43599999999</v>
      </c>
      <c r="K58" s="118">
        <f t="shared" si="8"/>
        <v>188909.68700000001</v>
      </c>
      <c r="L58" s="118">
        <f t="shared" si="8"/>
        <v>23859.413</v>
      </c>
      <c r="M58" s="118">
        <f t="shared" si="8"/>
        <v>17196.823</v>
      </c>
      <c r="N58" s="118">
        <f t="shared" si="8"/>
        <v>100109.993</v>
      </c>
      <c r="O58" s="118">
        <f t="shared" si="8"/>
        <v>102427.65700000001</v>
      </c>
      <c r="P58" s="118">
        <f>SUM(C58:O58)</f>
        <v>2135186.0039999997</v>
      </c>
    </row>
    <row r="59" spans="2:19" ht="12.75" customHeight="1">
      <c r="B59" s="118" t="s">
        <v>57</v>
      </c>
      <c r="C59" s="118">
        <f>_xlfn.IFNA(INDEX('2019'!$C$6:$V$55,MATCH(C$4,'2019'!$B$6:$B$55,0),MATCH($B59,'2019'!$C$1:$V$1,0)),0)</f>
        <v>298073.03499999997</v>
      </c>
      <c r="D59" s="118">
        <f>_xlfn.IFNA(INDEX('2019'!$C$6:$V$55,MATCH(D$4,'2019'!$B$6:$B$55,0),MATCH($B59,'2019'!$C$1:$V$1,0)),0)</f>
        <v>567567.0689999999</v>
      </c>
      <c r="E59" s="118">
        <f>_xlfn.IFNA(INDEX('2019'!$C$6:$V$55,MATCH(E$4,'2019'!$B$6:$B$55,0),MATCH($B59,'2019'!$C$1:$V$1,0)),0)</f>
        <v>94496.459000000003</v>
      </c>
      <c r="F59" s="118">
        <f>_xlfn.IFNA(INDEX('2019'!$C$6:$V$55,MATCH(F$4,'2019'!$B$6:$B$55,0),MATCH($B59,'2019'!$C$1:$V$1,0)),0)</f>
        <v>281834.08399999997</v>
      </c>
      <c r="G59" s="118">
        <f>_xlfn.IFNA(INDEX('2019'!$C$6:$V$55,MATCH(G$4,'2019'!$B$6:$B$55,0),MATCH($B59,'2019'!$C$1:$V$1,0)),0)</f>
        <v>120246.702</v>
      </c>
      <c r="H59" s="118">
        <f>_xlfn.IFNA(INDEX('2019'!$C$6:$V$55,MATCH(H$4,'2019'!$B$6:$B$55,0),MATCH($B59,'2019'!$C$1:$V$1,0)),0)</f>
        <v>214289.12599999999</v>
      </c>
      <c r="I59" s="118">
        <f>_xlfn.IFNA(INDEX('2019'!$C$6:$V$55,MATCH(I$4,'2019'!$B$6:$B$55,0),MATCH($B59,'2019'!$C$1:$V$1,0)),0)</f>
        <v>14600.867</v>
      </c>
      <c r="J59" s="118">
        <f>_xlfn.IFNA(INDEX('2019'!$C$6:$V$55,MATCH(J$4,'2019'!$B$6:$B$55,0),MATCH($B59,'2019'!$C$1:$V$1,0)),0)</f>
        <v>213476.28799999997</v>
      </c>
      <c r="K59" s="118">
        <f>_xlfn.IFNA(INDEX('2019'!$C$6:$V$55,MATCH(K$4,'2019'!$B$6:$B$55,0),MATCH($B59,'2019'!$C$1:$V$1,0)),0)</f>
        <v>223933.818</v>
      </c>
      <c r="L59" s="118">
        <f>_xlfn.IFNA(INDEX('2019'!$C$6:$V$55,MATCH(L$4,'2019'!$B$6:$B$55,0),MATCH($B59,'2019'!$C$1:$V$1,0)),0)</f>
        <v>72305.264999999999</v>
      </c>
      <c r="M59" s="118">
        <f>_xlfn.IFNA(INDEX('2019'!$C$6:$V$55,MATCH(M$4,'2019'!$B$6:$B$55,0),MATCH($B59,'2019'!$C$1:$V$1,0)),0)</f>
        <v>17319.823</v>
      </c>
      <c r="N59" s="118">
        <f>_xlfn.IFNA(INDEX('2019'!$C$6:$V$55,MATCH(N$4,'2019'!$B$6:$B$55,0),MATCH($B59,'2019'!$C$1:$V$1,0)),0)</f>
        <v>102209.42200000001</v>
      </c>
      <c r="O59" s="118">
        <f>_xlfn.IFNA(INDEX('2019'!$C$6:$V$55,MATCH(O$4,'2019'!$B$6:$B$55,0),MATCH($B59,'2019'!$C$1:$V$1,0)),0)</f>
        <v>109114.849</v>
      </c>
      <c r="P59" s="118">
        <f>SUM(C59:O59)</f>
        <v>2329466.8069999996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21" t="str">
        <f t="shared" ref="B2:AM2" si="0">B9</f>
        <v>01 Iron and steel</v>
      </c>
      <c r="C2" s="621" t="str">
        <f t="shared" si="0"/>
        <v>01 Iron and steel</v>
      </c>
      <c r="D2" s="621" t="str">
        <f t="shared" si="0"/>
        <v>01 Iron and steel</v>
      </c>
      <c r="E2" s="621" t="str">
        <f t="shared" si="0"/>
        <v>02 Chemical and petrochemical</v>
      </c>
      <c r="F2" s="621" t="str">
        <f t="shared" si="0"/>
        <v>02 Chemical and petrochemical</v>
      </c>
      <c r="G2" s="621" t="str">
        <f t="shared" si="0"/>
        <v>02 Chemical and petrochemical</v>
      </c>
      <c r="H2" s="621" t="str">
        <f t="shared" si="0"/>
        <v>03 Non-ferrous metal</v>
      </c>
      <c r="I2" s="621" t="str">
        <f t="shared" si="0"/>
        <v>03 Non-ferrous metal</v>
      </c>
      <c r="J2" s="621" t="str">
        <f t="shared" si="0"/>
        <v>03 Non-ferrous metal</v>
      </c>
      <c r="K2" s="621" t="str">
        <f t="shared" si="0"/>
        <v>04 Non-metallic minerals</v>
      </c>
      <c r="L2" s="621" t="str">
        <f t="shared" si="0"/>
        <v>04 Non-metallic minerals</v>
      </c>
      <c r="M2" s="621" t="str">
        <f t="shared" si="0"/>
        <v>04 Non-metallic minerals</v>
      </c>
      <c r="N2" s="621" t="str">
        <f t="shared" si="0"/>
        <v>05 Transport equipment</v>
      </c>
      <c r="O2" s="621" t="str">
        <f t="shared" si="0"/>
        <v>05 Transport equipment</v>
      </c>
      <c r="P2" s="621" t="str">
        <f t="shared" si="0"/>
        <v>05 Transport equipment</v>
      </c>
      <c r="Q2" s="621" t="str">
        <f t="shared" si="0"/>
        <v>06 Machinery</v>
      </c>
      <c r="R2" s="621" t="str">
        <f t="shared" si="0"/>
        <v>06 Machinery</v>
      </c>
      <c r="S2" s="621" t="str">
        <f t="shared" si="0"/>
        <v>06 Machinery</v>
      </c>
      <c r="T2" s="621" t="str">
        <f t="shared" si="0"/>
        <v>07 Mining and quarrying</v>
      </c>
      <c r="U2" s="621" t="str">
        <f t="shared" si="0"/>
        <v>07 Mining and quarrying</v>
      </c>
      <c r="V2" s="621" t="str">
        <f t="shared" si="0"/>
        <v>07 Mining and quarrying</v>
      </c>
      <c r="W2" s="621" t="str">
        <f t="shared" si="0"/>
        <v>08 Food and tobacco</v>
      </c>
      <c r="X2" s="621" t="str">
        <f t="shared" si="0"/>
        <v>08 Food and tobacco</v>
      </c>
      <c r="Y2" s="621" t="str">
        <f t="shared" si="0"/>
        <v>08 Food and tobacco</v>
      </c>
      <c r="Z2" s="621" t="str">
        <f t="shared" si="0"/>
        <v>09 Paper, pulp and printing</v>
      </c>
      <c r="AA2" s="621" t="str">
        <f t="shared" si="0"/>
        <v>09 Paper, pulp and printing</v>
      </c>
      <c r="AB2" s="621" t="str">
        <f t="shared" si="0"/>
        <v>09 Paper, pulp and printing</v>
      </c>
      <c r="AC2" s="621" t="str">
        <f t="shared" si="0"/>
        <v>010 Wood and wood products</v>
      </c>
      <c r="AD2" s="621" t="str">
        <f t="shared" si="0"/>
        <v>010 Wood and wood products</v>
      </c>
      <c r="AE2" s="621" t="str">
        <f t="shared" si="0"/>
        <v>010 Wood and wood products</v>
      </c>
      <c r="AF2" s="621" t="str">
        <f t="shared" si="0"/>
        <v>011 Textile and leather</v>
      </c>
      <c r="AG2" s="621" t="str">
        <f t="shared" si="0"/>
        <v>011 Textile and leather</v>
      </c>
      <c r="AH2" s="621" t="str">
        <f t="shared" si="0"/>
        <v>011 Textile and leather</v>
      </c>
      <c r="AI2" s="621" t="str">
        <f t="shared" si="0"/>
        <v>012 Construction</v>
      </c>
      <c r="AJ2" s="621" t="str">
        <f t="shared" si="0"/>
        <v>012 Construction</v>
      </c>
      <c r="AK2" s="621" t="str">
        <f t="shared" si="0"/>
        <v>012 Construction</v>
      </c>
      <c r="AL2" s="621" t="str">
        <f t="shared" si="0"/>
        <v>013 Non-specified</v>
      </c>
      <c r="AM2" s="621" t="str">
        <f t="shared" si="0"/>
        <v>013 Non-specified</v>
      </c>
      <c r="AN2" s="621"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601" t="s">
        <v>525</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545</v>
      </c>
      <c r="C9" s="411" t="str">
        <f>B9</f>
        <v>01 Iron and steel</v>
      </c>
      <c r="D9" s="411" t="str">
        <f>C9</f>
        <v>01 Iron and steel</v>
      </c>
      <c r="E9" s="411" t="s">
        <v>546</v>
      </c>
      <c r="F9" s="411" t="str">
        <f>E9</f>
        <v>02 Chemical and petrochemical</v>
      </c>
      <c r="G9" s="411" t="str">
        <f>F9</f>
        <v>02 Chemical and petrochemical</v>
      </c>
      <c r="H9" s="411" t="s">
        <v>547</v>
      </c>
      <c r="I9" s="411" t="str">
        <f>H9</f>
        <v>03 Non-ferrous metal</v>
      </c>
      <c r="J9" s="411" t="str">
        <f>I9</f>
        <v>03 Non-ferrous metal</v>
      </c>
      <c r="K9" s="411" t="s">
        <v>548</v>
      </c>
      <c r="L9" s="411" t="str">
        <f>K9</f>
        <v>04 Non-metallic minerals</v>
      </c>
      <c r="M9" s="411" t="str">
        <f>L9</f>
        <v>04 Non-metallic minerals</v>
      </c>
      <c r="N9" s="411" t="s">
        <v>549</v>
      </c>
      <c r="O9" s="411" t="str">
        <f>N9</f>
        <v>05 Transport equipment</v>
      </c>
      <c r="P9" s="411" t="str">
        <f>O9</f>
        <v>05 Transport equipment</v>
      </c>
      <c r="Q9" s="411" t="s">
        <v>550</v>
      </c>
      <c r="R9" s="411" t="str">
        <f>Q9</f>
        <v>06 Machinery</v>
      </c>
      <c r="S9" s="411" t="str">
        <f>R9</f>
        <v>06 Machinery</v>
      </c>
      <c r="T9" s="411" t="s">
        <v>551</v>
      </c>
      <c r="U9" s="411" t="str">
        <f>T9</f>
        <v>07 Mining and quarrying</v>
      </c>
      <c r="V9" s="411" t="str">
        <f>U9</f>
        <v>07 Mining and quarrying</v>
      </c>
      <c r="W9" s="411" t="s">
        <v>552</v>
      </c>
      <c r="X9" s="411" t="str">
        <f>W9</f>
        <v>08 Food and tobacco</v>
      </c>
      <c r="Y9" s="411" t="str">
        <f>X9</f>
        <v>08 Food and tobacco</v>
      </c>
      <c r="Z9" s="411" t="s">
        <v>553</v>
      </c>
      <c r="AA9" s="411" t="str">
        <f>Z9</f>
        <v>09 Paper, pulp and printing</v>
      </c>
      <c r="AB9" s="411" t="str">
        <f>AA9</f>
        <v>09 Paper, pulp and printing</v>
      </c>
      <c r="AC9" s="411" t="s">
        <v>554</v>
      </c>
      <c r="AD9" s="411" t="str">
        <f>AC9</f>
        <v>010 Wood and wood products</v>
      </c>
      <c r="AE9" s="411" t="str">
        <f>AD9</f>
        <v>010 Wood and wood products</v>
      </c>
      <c r="AF9" s="411" t="s">
        <v>555</v>
      </c>
      <c r="AG9" s="411" t="str">
        <f>AF9</f>
        <v>011 Textile and leather</v>
      </c>
      <c r="AH9" s="411" t="str">
        <f>AG9</f>
        <v>011 Textile and leather</v>
      </c>
      <c r="AI9" s="411" t="s">
        <v>556</v>
      </c>
      <c r="AJ9" s="411" t="str">
        <f>AI9</f>
        <v>012 Construction</v>
      </c>
      <c r="AK9" s="411" t="str">
        <f>AJ9</f>
        <v>012 Construction</v>
      </c>
      <c r="AL9" s="411" t="s">
        <v>557</v>
      </c>
      <c r="AM9" s="411" t="str">
        <f>AL9</f>
        <v>013 Non-specified</v>
      </c>
      <c r="AN9" s="411" t="str">
        <f>AM9</f>
        <v>013 Non-specified</v>
      </c>
    </row>
    <row r="14" spans="1:40" s="443" customFormat="1"/>
    <row r="15" spans="1:40" ht="15" customHeight="1">
      <c r="C15" s="667" t="s">
        <v>366</v>
      </c>
      <c r="D15" s="667"/>
      <c r="E15" s="667" t="s">
        <v>367</v>
      </c>
      <c r="F15" s="667"/>
      <c r="G15" s="412"/>
      <c r="H15" s="667" t="s">
        <v>368</v>
      </c>
      <c r="I15" s="667"/>
      <c r="J15" s="667"/>
      <c r="L15" s="667" t="s">
        <v>369</v>
      </c>
      <c r="M15" s="667"/>
      <c r="N15" s="667"/>
      <c r="P15" s="667" t="s">
        <v>370</v>
      </c>
      <c r="Q15" s="667"/>
      <c r="R15" s="667"/>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69"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69"/>
      <c r="B18" s="415" t="s">
        <v>373</v>
      </c>
      <c r="C18" s="668">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69"/>
      <c r="B19" s="415" t="s">
        <v>374</v>
      </c>
      <c r="C19" s="668"/>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69"/>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69"/>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69"/>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69"/>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69"/>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69"/>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69"/>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69"/>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69"/>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0"/>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1"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69"/>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69"/>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69"/>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69"/>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69"/>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5"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5"/>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6" t="s">
        <v>396</v>
      </c>
      <c r="B41" s="411" t="s">
        <v>397</v>
      </c>
      <c r="C41" s="411">
        <v>14.391</v>
      </c>
      <c r="D41" s="411">
        <v>13.577999999999999</v>
      </c>
    </row>
    <row r="42" spans="1:18">
      <c r="A42" s="666"/>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V55"/>
  <sheetViews>
    <sheetView showGridLines="0" zoomScaleNormal="100" workbookViewId="0">
      <pane xSplit="3" ySplit="5" topLeftCell="D22" activePane="bottomRight" state="frozen"/>
      <selection pane="topRight" activeCell="D1" sqref="D1"/>
      <selection pane="bottomLeft" activeCell="A6" sqref="A6"/>
      <selection pane="bottomRight" activeCell="C30" sqref="C30"/>
    </sheetView>
  </sheetViews>
  <sheetFormatPr baseColWidth="10" defaultColWidth="9.1640625" defaultRowHeight="14"/>
  <cols>
    <col min="1" max="1" width="5.6640625" style="461" customWidth="1"/>
    <col min="2" max="2" width="35.6640625" style="461" customWidth="1"/>
    <col min="3" max="21" width="11.6640625" style="461" customWidth="1"/>
    <col min="22" max="22" width="12.6640625" style="461" customWidth="1"/>
    <col min="23" max="257" width="9.1640625" style="461"/>
    <col min="258" max="258" width="5.6640625" style="461" customWidth="1"/>
    <col min="259" max="259" width="35.6640625" style="461" customWidth="1"/>
    <col min="260" max="277" width="11.6640625" style="461" customWidth="1"/>
    <col min="278" max="513" width="9.1640625" style="461"/>
    <col min="514" max="514" width="5.6640625" style="461" customWidth="1"/>
    <col min="515" max="515" width="35.6640625" style="461" customWidth="1"/>
    <col min="516" max="533" width="11.6640625" style="461" customWidth="1"/>
    <col min="534" max="769" width="9.1640625" style="461"/>
    <col min="770" max="770" width="5.6640625" style="461" customWidth="1"/>
    <col min="771" max="771" width="35.6640625" style="461" customWidth="1"/>
    <col min="772" max="789" width="11.6640625" style="461" customWidth="1"/>
    <col min="790" max="1025" width="9.1640625" style="461"/>
    <col min="1026" max="1026" width="5.6640625" style="461" customWidth="1"/>
    <col min="1027" max="1027" width="35.6640625" style="461" customWidth="1"/>
    <col min="1028" max="1045" width="11.6640625" style="461" customWidth="1"/>
    <col min="1046" max="1281" width="9.1640625" style="461"/>
    <col min="1282" max="1282" width="5.6640625" style="461" customWidth="1"/>
    <col min="1283" max="1283" width="35.6640625" style="461" customWidth="1"/>
    <col min="1284" max="1301" width="11.6640625" style="461" customWidth="1"/>
    <col min="1302" max="1537" width="9.1640625" style="461"/>
    <col min="1538" max="1538" width="5.6640625" style="461" customWidth="1"/>
    <col min="1539" max="1539" width="35.6640625" style="461" customWidth="1"/>
    <col min="1540" max="1557" width="11.6640625" style="461" customWidth="1"/>
    <col min="1558" max="1793" width="9.1640625" style="461"/>
    <col min="1794" max="1794" width="5.6640625" style="461" customWidth="1"/>
    <col min="1795" max="1795" width="35.6640625" style="461" customWidth="1"/>
    <col min="1796" max="1813" width="11.6640625" style="461" customWidth="1"/>
    <col min="1814" max="2049" width="9.1640625" style="461"/>
    <col min="2050" max="2050" width="5.6640625" style="461" customWidth="1"/>
    <col min="2051" max="2051" width="35.6640625" style="461" customWidth="1"/>
    <col min="2052" max="2069" width="11.6640625" style="461" customWidth="1"/>
    <col min="2070" max="2305" width="9.1640625" style="461"/>
    <col min="2306" max="2306" width="5.6640625" style="461" customWidth="1"/>
    <col min="2307" max="2307" width="35.6640625" style="461" customWidth="1"/>
    <col min="2308" max="2325" width="11.6640625" style="461" customWidth="1"/>
    <col min="2326" max="2561" width="9.1640625" style="461"/>
    <col min="2562" max="2562" width="5.6640625" style="461" customWidth="1"/>
    <col min="2563" max="2563" width="35.6640625" style="461" customWidth="1"/>
    <col min="2564" max="2581" width="11.6640625" style="461" customWidth="1"/>
    <col min="2582" max="2817" width="9.1640625" style="461"/>
    <col min="2818" max="2818" width="5.6640625" style="461" customWidth="1"/>
    <col min="2819" max="2819" width="35.6640625" style="461" customWidth="1"/>
    <col min="2820" max="2837" width="11.6640625" style="461" customWidth="1"/>
    <col min="2838" max="3073" width="9.1640625" style="461"/>
    <col min="3074" max="3074" width="5.6640625" style="461" customWidth="1"/>
    <col min="3075" max="3075" width="35.6640625" style="461" customWidth="1"/>
    <col min="3076" max="3093" width="11.6640625" style="461" customWidth="1"/>
    <col min="3094" max="3329" width="9.1640625" style="461"/>
    <col min="3330" max="3330" width="5.6640625" style="461" customWidth="1"/>
    <col min="3331" max="3331" width="35.6640625" style="461" customWidth="1"/>
    <col min="3332" max="3349" width="11.6640625" style="461" customWidth="1"/>
    <col min="3350" max="3585" width="9.1640625" style="461"/>
    <col min="3586" max="3586" width="5.6640625" style="461" customWidth="1"/>
    <col min="3587" max="3587" width="35.6640625" style="461" customWidth="1"/>
    <col min="3588" max="3605" width="11.6640625" style="461" customWidth="1"/>
    <col min="3606" max="3841" width="9.1640625" style="461"/>
    <col min="3842" max="3842" width="5.6640625" style="461" customWidth="1"/>
    <col min="3843" max="3843" width="35.6640625" style="461" customWidth="1"/>
    <col min="3844" max="3861" width="11.6640625" style="461" customWidth="1"/>
    <col min="3862" max="4097" width="9.1640625" style="461"/>
    <col min="4098" max="4098" width="5.6640625" style="461" customWidth="1"/>
    <col min="4099" max="4099" width="35.6640625" style="461" customWidth="1"/>
    <col min="4100" max="4117" width="11.6640625" style="461" customWidth="1"/>
    <col min="4118" max="4353" width="9.1640625" style="461"/>
    <col min="4354" max="4354" width="5.6640625" style="461" customWidth="1"/>
    <col min="4355" max="4355" width="35.6640625" style="461" customWidth="1"/>
    <col min="4356" max="4373" width="11.6640625" style="461" customWidth="1"/>
    <col min="4374" max="4609" width="9.1640625" style="461"/>
    <col min="4610" max="4610" width="5.6640625" style="461" customWidth="1"/>
    <col min="4611" max="4611" width="35.6640625" style="461" customWidth="1"/>
    <col min="4612" max="4629" width="11.6640625" style="461" customWidth="1"/>
    <col min="4630" max="4865" width="9.1640625" style="461"/>
    <col min="4866" max="4866" width="5.6640625" style="461" customWidth="1"/>
    <col min="4867" max="4867" width="35.6640625" style="461" customWidth="1"/>
    <col min="4868" max="4885" width="11.6640625" style="461" customWidth="1"/>
    <col min="4886" max="5121" width="9.1640625" style="461"/>
    <col min="5122" max="5122" width="5.6640625" style="461" customWidth="1"/>
    <col min="5123" max="5123" width="35.6640625" style="461" customWidth="1"/>
    <col min="5124" max="5141" width="11.6640625" style="461" customWidth="1"/>
    <col min="5142" max="5377" width="9.1640625" style="461"/>
    <col min="5378" max="5378" width="5.6640625" style="461" customWidth="1"/>
    <col min="5379" max="5379" width="35.6640625" style="461" customWidth="1"/>
    <col min="5380" max="5397" width="11.6640625" style="461" customWidth="1"/>
    <col min="5398" max="5633" width="9.1640625" style="461"/>
    <col min="5634" max="5634" width="5.6640625" style="461" customWidth="1"/>
    <col min="5635" max="5635" width="35.6640625" style="461" customWidth="1"/>
    <col min="5636" max="5653" width="11.6640625" style="461" customWidth="1"/>
    <col min="5654" max="5889" width="9.1640625" style="461"/>
    <col min="5890" max="5890" width="5.6640625" style="461" customWidth="1"/>
    <col min="5891" max="5891" width="35.6640625" style="461" customWidth="1"/>
    <col min="5892" max="5909" width="11.6640625" style="461" customWidth="1"/>
    <col min="5910" max="6145" width="9.1640625" style="461"/>
    <col min="6146" max="6146" width="5.6640625" style="461" customWidth="1"/>
    <col min="6147" max="6147" width="35.6640625" style="461" customWidth="1"/>
    <col min="6148" max="6165" width="11.6640625" style="461" customWidth="1"/>
    <col min="6166" max="6401" width="9.1640625" style="461"/>
    <col min="6402" max="6402" width="5.6640625" style="461" customWidth="1"/>
    <col min="6403" max="6403" width="35.6640625" style="461" customWidth="1"/>
    <col min="6404" max="6421" width="11.6640625" style="461" customWidth="1"/>
    <col min="6422" max="6657" width="9.1640625" style="461"/>
    <col min="6658" max="6658" width="5.6640625" style="461" customWidth="1"/>
    <col min="6659" max="6659" width="35.6640625" style="461" customWidth="1"/>
    <col min="6660" max="6677" width="11.6640625" style="461" customWidth="1"/>
    <col min="6678" max="6913" width="9.1640625" style="461"/>
    <col min="6914" max="6914" width="5.6640625" style="461" customWidth="1"/>
    <col min="6915" max="6915" width="35.6640625" style="461" customWidth="1"/>
    <col min="6916" max="6933" width="11.6640625" style="461" customWidth="1"/>
    <col min="6934" max="7169" width="9.1640625" style="461"/>
    <col min="7170" max="7170" width="5.6640625" style="461" customWidth="1"/>
    <col min="7171" max="7171" width="35.6640625" style="461" customWidth="1"/>
    <col min="7172" max="7189" width="11.6640625" style="461" customWidth="1"/>
    <col min="7190" max="7425" width="9.1640625" style="461"/>
    <col min="7426" max="7426" width="5.6640625" style="461" customWidth="1"/>
    <col min="7427" max="7427" width="35.6640625" style="461" customWidth="1"/>
    <col min="7428" max="7445" width="11.6640625" style="461" customWidth="1"/>
    <col min="7446" max="7681" width="9.1640625" style="461"/>
    <col min="7682" max="7682" width="5.6640625" style="461" customWidth="1"/>
    <col min="7683" max="7683" width="35.6640625" style="461" customWidth="1"/>
    <col min="7684" max="7701" width="11.6640625" style="461" customWidth="1"/>
    <col min="7702" max="7937" width="9.1640625" style="461"/>
    <col min="7938" max="7938" width="5.6640625" style="461" customWidth="1"/>
    <col min="7939" max="7939" width="35.6640625" style="461" customWidth="1"/>
    <col min="7940" max="7957" width="11.6640625" style="461" customWidth="1"/>
    <col min="7958" max="8193" width="9.1640625" style="461"/>
    <col min="8194" max="8194" width="5.6640625" style="461" customWidth="1"/>
    <col min="8195" max="8195" width="35.6640625" style="461" customWidth="1"/>
    <col min="8196" max="8213" width="11.6640625" style="461" customWidth="1"/>
    <col min="8214" max="8449" width="9.1640625" style="461"/>
    <col min="8450" max="8450" width="5.6640625" style="461" customWidth="1"/>
    <col min="8451" max="8451" width="35.6640625" style="461" customWidth="1"/>
    <col min="8452" max="8469" width="11.6640625" style="461" customWidth="1"/>
    <col min="8470" max="8705" width="9.1640625" style="461"/>
    <col min="8706" max="8706" width="5.6640625" style="461" customWidth="1"/>
    <col min="8707" max="8707" width="35.6640625" style="461" customWidth="1"/>
    <col min="8708" max="8725" width="11.6640625" style="461" customWidth="1"/>
    <col min="8726" max="8961" width="9.1640625" style="461"/>
    <col min="8962" max="8962" width="5.6640625" style="461" customWidth="1"/>
    <col min="8963" max="8963" width="35.6640625" style="461" customWidth="1"/>
    <col min="8964" max="8981" width="11.6640625" style="461" customWidth="1"/>
    <col min="8982" max="9217" width="9.1640625" style="461"/>
    <col min="9218" max="9218" width="5.6640625" style="461" customWidth="1"/>
    <col min="9219" max="9219" width="35.6640625" style="461" customWidth="1"/>
    <col min="9220" max="9237" width="11.6640625" style="461" customWidth="1"/>
    <col min="9238" max="9473" width="9.1640625" style="461"/>
    <col min="9474" max="9474" width="5.6640625" style="461" customWidth="1"/>
    <col min="9475" max="9475" width="35.6640625" style="461" customWidth="1"/>
    <col min="9476" max="9493" width="11.6640625" style="461" customWidth="1"/>
    <col min="9494" max="9729" width="9.1640625" style="461"/>
    <col min="9730" max="9730" width="5.6640625" style="461" customWidth="1"/>
    <col min="9731" max="9731" width="35.6640625" style="461" customWidth="1"/>
    <col min="9732" max="9749" width="11.6640625" style="461" customWidth="1"/>
    <col min="9750" max="9985" width="9.1640625" style="461"/>
    <col min="9986" max="9986" width="5.6640625" style="461" customWidth="1"/>
    <col min="9987" max="9987" width="35.6640625" style="461" customWidth="1"/>
    <col min="9988" max="10005" width="11.6640625" style="461" customWidth="1"/>
    <col min="10006" max="10241" width="9.1640625" style="461"/>
    <col min="10242" max="10242" width="5.6640625" style="461" customWidth="1"/>
    <col min="10243" max="10243" width="35.6640625" style="461" customWidth="1"/>
    <col min="10244" max="10261" width="11.6640625" style="461" customWidth="1"/>
    <col min="10262" max="10497" width="9.1640625" style="461"/>
    <col min="10498" max="10498" width="5.6640625" style="461" customWidth="1"/>
    <col min="10499" max="10499" width="35.6640625" style="461" customWidth="1"/>
    <col min="10500" max="10517" width="11.6640625" style="461" customWidth="1"/>
    <col min="10518" max="10753" width="9.1640625" style="461"/>
    <col min="10754" max="10754" width="5.6640625" style="461" customWidth="1"/>
    <col min="10755" max="10755" width="35.6640625" style="461" customWidth="1"/>
    <col min="10756" max="10773" width="11.6640625" style="461" customWidth="1"/>
    <col min="10774" max="11009" width="9.1640625" style="461"/>
    <col min="11010" max="11010" width="5.6640625" style="461" customWidth="1"/>
    <col min="11011" max="11011" width="35.6640625" style="461" customWidth="1"/>
    <col min="11012" max="11029" width="11.6640625" style="461" customWidth="1"/>
    <col min="11030" max="11265" width="9.1640625" style="461"/>
    <col min="11266" max="11266" width="5.6640625" style="461" customWidth="1"/>
    <col min="11267" max="11267" width="35.6640625" style="461" customWidth="1"/>
    <col min="11268" max="11285" width="11.6640625" style="461" customWidth="1"/>
    <col min="11286" max="11521" width="9.1640625" style="461"/>
    <col min="11522" max="11522" width="5.6640625" style="461" customWidth="1"/>
    <col min="11523" max="11523" width="35.6640625" style="461" customWidth="1"/>
    <col min="11524" max="11541" width="11.6640625" style="461" customWidth="1"/>
    <col min="11542" max="11777" width="9.1640625" style="461"/>
    <col min="11778" max="11778" width="5.6640625" style="461" customWidth="1"/>
    <col min="11779" max="11779" width="35.6640625" style="461" customWidth="1"/>
    <col min="11780" max="11797" width="11.6640625" style="461" customWidth="1"/>
    <col min="11798" max="12033" width="9.1640625" style="461"/>
    <col min="12034" max="12034" width="5.6640625" style="461" customWidth="1"/>
    <col min="12035" max="12035" width="35.6640625" style="461" customWidth="1"/>
    <col min="12036" max="12053" width="11.6640625" style="461" customWidth="1"/>
    <col min="12054" max="12289" width="9.1640625" style="461"/>
    <col min="12290" max="12290" width="5.6640625" style="461" customWidth="1"/>
    <col min="12291" max="12291" width="35.6640625" style="461" customWidth="1"/>
    <col min="12292" max="12309" width="11.6640625" style="461" customWidth="1"/>
    <col min="12310" max="12545" width="9.1640625" style="461"/>
    <col min="12546" max="12546" width="5.6640625" style="461" customWidth="1"/>
    <col min="12547" max="12547" width="35.6640625" style="461" customWidth="1"/>
    <col min="12548" max="12565" width="11.6640625" style="461" customWidth="1"/>
    <col min="12566" max="12801" width="9.1640625" style="461"/>
    <col min="12802" max="12802" width="5.6640625" style="461" customWidth="1"/>
    <col min="12803" max="12803" width="35.6640625" style="461" customWidth="1"/>
    <col min="12804" max="12821" width="11.6640625" style="461" customWidth="1"/>
    <col min="12822" max="13057" width="9.1640625" style="461"/>
    <col min="13058" max="13058" width="5.6640625" style="461" customWidth="1"/>
    <col min="13059" max="13059" width="35.6640625" style="461" customWidth="1"/>
    <col min="13060" max="13077" width="11.6640625" style="461" customWidth="1"/>
    <col min="13078" max="13313" width="9.1640625" style="461"/>
    <col min="13314" max="13314" width="5.6640625" style="461" customWidth="1"/>
    <col min="13315" max="13315" width="35.6640625" style="461" customWidth="1"/>
    <col min="13316" max="13333" width="11.6640625" style="461" customWidth="1"/>
    <col min="13334" max="13569" width="9.1640625" style="461"/>
    <col min="13570" max="13570" width="5.6640625" style="461" customWidth="1"/>
    <col min="13571" max="13571" width="35.6640625" style="461" customWidth="1"/>
    <col min="13572" max="13589" width="11.6640625" style="461" customWidth="1"/>
    <col min="13590" max="13825" width="9.1640625" style="461"/>
    <col min="13826" max="13826" width="5.6640625" style="461" customWidth="1"/>
    <col min="13827" max="13827" width="35.6640625" style="461" customWidth="1"/>
    <col min="13828" max="13845" width="11.6640625" style="461" customWidth="1"/>
    <col min="13846" max="14081" width="9.1640625" style="461"/>
    <col min="14082" max="14082" width="5.6640625" style="461" customWidth="1"/>
    <col min="14083" max="14083" width="35.6640625" style="461" customWidth="1"/>
    <col min="14084" max="14101" width="11.6640625" style="461" customWidth="1"/>
    <col min="14102" max="14337" width="9.1640625" style="461"/>
    <col min="14338" max="14338" width="5.6640625" style="461" customWidth="1"/>
    <col min="14339" max="14339" width="35.6640625" style="461" customWidth="1"/>
    <col min="14340" max="14357" width="11.6640625" style="461" customWidth="1"/>
    <col min="14358" max="14593" width="9.1640625" style="461"/>
    <col min="14594" max="14594" width="5.6640625" style="461" customWidth="1"/>
    <col min="14595" max="14595" width="35.6640625" style="461" customWidth="1"/>
    <col min="14596" max="14613" width="11.6640625" style="461" customWidth="1"/>
    <col min="14614" max="14849" width="9.1640625" style="461"/>
    <col min="14850" max="14850" width="5.6640625" style="461" customWidth="1"/>
    <col min="14851" max="14851" width="35.6640625" style="461" customWidth="1"/>
    <col min="14852" max="14869" width="11.6640625" style="461" customWidth="1"/>
    <col min="14870" max="15105" width="9.1640625" style="461"/>
    <col min="15106" max="15106" width="5.6640625" style="461" customWidth="1"/>
    <col min="15107" max="15107" width="35.6640625" style="461" customWidth="1"/>
    <col min="15108" max="15125" width="11.6640625" style="461" customWidth="1"/>
    <col min="15126" max="15361" width="9.1640625" style="461"/>
    <col min="15362" max="15362" width="5.6640625" style="461" customWidth="1"/>
    <col min="15363" max="15363" width="35.6640625" style="461" customWidth="1"/>
    <col min="15364" max="15381" width="11.6640625" style="461" customWidth="1"/>
    <col min="15382" max="15617" width="9.1640625" style="461"/>
    <col min="15618" max="15618" width="5.6640625" style="461" customWidth="1"/>
    <col min="15619" max="15619" width="35.6640625" style="461" customWidth="1"/>
    <col min="15620" max="15637" width="11.6640625" style="461" customWidth="1"/>
    <col min="15638" max="15873" width="9.1640625" style="461"/>
    <col min="15874" max="15874" width="5.6640625" style="461" customWidth="1"/>
    <col min="15875" max="15875" width="35.6640625" style="461" customWidth="1"/>
    <col min="15876" max="15893" width="11.6640625" style="461" customWidth="1"/>
    <col min="15894" max="16129" width="9.1640625" style="461"/>
    <col min="16130" max="16130" width="5.6640625" style="461" customWidth="1"/>
    <col min="16131" max="16131" width="35.6640625" style="461" customWidth="1"/>
    <col min="16132" max="16149" width="11.6640625" style="461" customWidth="1"/>
    <col min="16150" max="16384" width="9.1640625" style="461"/>
  </cols>
  <sheetData>
    <row r="1" spans="1:22" ht="15">
      <c r="A1" s="461" t="s">
        <v>450</v>
      </c>
      <c r="C1" s="461" t="s">
        <v>450</v>
      </c>
      <c r="D1" s="461" t="s">
        <v>55</v>
      </c>
      <c r="E1" s="461" t="s">
        <v>450</v>
      </c>
      <c r="F1" s="461" t="s">
        <v>450</v>
      </c>
      <c r="G1" s="461" t="s">
        <v>450</v>
      </c>
      <c r="H1" s="461" t="s">
        <v>450</v>
      </c>
      <c r="I1" s="461" t="s">
        <v>53</v>
      </c>
      <c r="J1" s="461" t="s">
        <v>79</v>
      </c>
      <c r="K1" s="461" t="s">
        <v>450</v>
      </c>
      <c r="L1" s="461" t="s">
        <v>450</v>
      </c>
      <c r="M1" s="461" t="s">
        <v>68</v>
      </c>
      <c r="N1" s="461" t="s">
        <v>54</v>
      </c>
      <c r="O1" s="461" t="s">
        <v>450</v>
      </c>
      <c r="P1" s="461" t="s">
        <v>450</v>
      </c>
      <c r="Q1" s="461" t="s">
        <v>51</v>
      </c>
      <c r="R1" s="129" t="s">
        <v>437</v>
      </c>
      <c r="S1" s="461" t="s">
        <v>52</v>
      </c>
      <c r="T1" s="461" t="s">
        <v>50</v>
      </c>
      <c r="U1" s="461" t="s">
        <v>589</v>
      </c>
      <c r="V1" s="461" t="s">
        <v>57</v>
      </c>
    </row>
    <row r="2" spans="1:22">
      <c r="B2" s="676" t="s">
        <v>429</v>
      </c>
      <c r="C2" s="676"/>
      <c r="D2" s="676"/>
      <c r="E2" s="676"/>
      <c r="F2" s="676"/>
      <c r="G2" s="676"/>
      <c r="H2" s="676"/>
      <c r="I2" s="676"/>
      <c r="J2" s="676"/>
      <c r="K2" s="676"/>
      <c r="L2" s="676"/>
      <c r="M2" s="676"/>
      <c r="N2" s="676"/>
      <c r="O2" s="676"/>
      <c r="P2" s="676"/>
      <c r="Q2" s="676"/>
      <c r="R2" s="676"/>
      <c r="S2" s="676"/>
      <c r="T2" s="676"/>
      <c r="U2" s="676"/>
    </row>
    <row r="3" spans="1:22" ht="15" thickBot="1">
      <c r="B3" s="677" t="s">
        <v>430</v>
      </c>
      <c r="C3" s="677"/>
      <c r="D3" s="677"/>
      <c r="E3" s="677"/>
      <c r="F3" s="677"/>
      <c r="G3" s="677"/>
      <c r="H3" s="677"/>
      <c r="I3" s="677"/>
      <c r="J3" s="677"/>
      <c r="K3" s="677"/>
      <c r="L3" s="677"/>
      <c r="M3" s="677"/>
      <c r="N3" s="677"/>
      <c r="O3" s="677"/>
      <c r="P3" s="677"/>
      <c r="Q3" s="677"/>
      <c r="R3" s="677"/>
      <c r="S3" s="677"/>
      <c r="T3" s="677"/>
      <c r="U3" s="677"/>
    </row>
    <row r="4" spans="1:22" s="462" customFormat="1" ht="19.5" customHeight="1">
      <c r="B4" s="678"/>
      <c r="C4" s="674" t="s">
        <v>431</v>
      </c>
      <c r="D4" s="655"/>
      <c r="E4" s="680" t="s">
        <v>432</v>
      </c>
      <c r="F4" s="674" t="s">
        <v>433</v>
      </c>
      <c r="G4" s="674" t="s">
        <v>434</v>
      </c>
      <c r="H4" s="682" t="s">
        <v>435</v>
      </c>
      <c r="I4" s="682"/>
      <c r="J4" s="682"/>
      <c r="K4" s="682"/>
      <c r="L4" s="682"/>
      <c r="M4" s="682"/>
      <c r="N4" s="682"/>
      <c r="O4" s="682"/>
      <c r="P4" s="682"/>
      <c r="Q4" s="674" t="s">
        <v>436</v>
      </c>
      <c r="R4" s="683" t="s">
        <v>437</v>
      </c>
      <c r="S4" s="674" t="s">
        <v>438</v>
      </c>
      <c r="T4" s="674" t="s">
        <v>439</v>
      </c>
      <c r="U4" s="672" t="s">
        <v>589</v>
      </c>
      <c r="V4" s="672" t="s">
        <v>57</v>
      </c>
    </row>
    <row r="5" spans="1:22" s="462" customFormat="1" ht="49.5" customHeight="1" thickBot="1">
      <c r="B5" s="679"/>
      <c r="C5" s="675"/>
      <c r="D5" s="656" t="s">
        <v>586</v>
      </c>
      <c r="E5" s="681"/>
      <c r="F5" s="675"/>
      <c r="G5" s="675"/>
      <c r="H5" s="463" t="s">
        <v>440</v>
      </c>
      <c r="I5" s="463" t="s">
        <v>441</v>
      </c>
      <c r="J5" s="463" t="s">
        <v>442</v>
      </c>
      <c r="K5" s="463" t="s">
        <v>443</v>
      </c>
      <c r="L5" s="463" t="s">
        <v>444</v>
      </c>
      <c r="M5" s="463" t="s">
        <v>445</v>
      </c>
      <c r="N5" s="463" t="s">
        <v>446</v>
      </c>
      <c r="O5" s="463" t="s">
        <v>447</v>
      </c>
      <c r="P5" s="463" t="s">
        <v>448</v>
      </c>
      <c r="Q5" s="675"/>
      <c r="R5" s="684"/>
      <c r="S5" s="675"/>
      <c r="T5" s="675"/>
      <c r="U5" s="673"/>
      <c r="V5" s="673"/>
    </row>
    <row r="6" spans="1:22" ht="15">
      <c r="B6" s="464" t="s">
        <v>449</v>
      </c>
      <c r="C6" s="465">
        <v>2858233.9</v>
      </c>
      <c r="D6" s="465"/>
      <c r="E6" s="465">
        <v>2190821.4</v>
      </c>
      <c r="F6" s="465" t="s">
        <v>450</v>
      </c>
      <c r="G6" s="465" t="s">
        <v>450</v>
      </c>
      <c r="H6" s="465"/>
      <c r="I6" s="465"/>
      <c r="J6" s="465"/>
      <c r="K6" s="465"/>
      <c r="L6" s="465"/>
      <c r="M6" s="465"/>
      <c r="N6" s="465"/>
      <c r="O6" s="465"/>
      <c r="P6" s="465"/>
      <c r="Q6" s="465">
        <v>651235.69999999995</v>
      </c>
      <c r="R6" s="465">
        <v>16176.8</v>
      </c>
      <c r="S6" s="465" t="s">
        <v>450</v>
      </c>
      <c r="T6" s="465" t="s">
        <v>450</v>
      </c>
      <c r="U6" s="466" t="s">
        <v>450</v>
      </c>
      <c r="V6" s="517">
        <f>SUM(H6:U6)+D6</f>
        <v>667412.5</v>
      </c>
    </row>
    <row r="7" spans="1:22">
      <c r="B7" s="467" t="s">
        <v>451</v>
      </c>
      <c r="C7" s="468">
        <v>1822.8</v>
      </c>
      <c r="D7" s="657"/>
      <c r="E7" s="468" t="s">
        <v>450</v>
      </c>
      <c r="F7" s="468" t="s">
        <v>450</v>
      </c>
      <c r="G7" s="468">
        <v>1124.3</v>
      </c>
      <c r="H7" s="468" t="s">
        <v>450</v>
      </c>
      <c r="I7" s="468">
        <v>4.7</v>
      </c>
      <c r="J7" s="468">
        <v>17.3</v>
      </c>
      <c r="K7" s="468" t="s">
        <v>450</v>
      </c>
      <c r="L7" s="468">
        <v>21.5</v>
      </c>
      <c r="M7" s="468">
        <v>4.3</v>
      </c>
      <c r="N7" s="468" t="s">
        <v>450</v>
      </c>
      <c r="O7" s="468" t="s">
        <v>450</v>
      </c>
      <c r="P7" s="468">
        <v>1076.5</v>
      </c>
      <c r="Q7" s="468" t="s">
        <v>450</v>
      </c>
      <c r="R7" s="468" t="s">
        <v>450</v>
      </c>
      <c r="S7" s="468" t="s">
        <v>450</v>
      </c>
      <c r="T7" s="468">
        <v>359.3</v>
      </c>
      <c r="U7" s="469">
        <v>339.2</v>
      </c>
      <c r="V7" s="517">
        <f t="shared" ref="V7:V55" si="0">SUM(H7:U7)+D7</f>
        <v>1822.8</v>
      </c>
    </row>
    <row r="8" spans="1:22">
      <c r="B8" s="467" t="s">
        <v>452</v>
      </c>
      <c r="C8" s="468">
        <v>-2275745.2999999998</v>
      </c>
      <c r="D8" s="657"/>
      <c r="E8" s="468">
        <v>-1918023.4</v>
      </c>
      <c r="F8" s="468" t="s">
        <v>450</v>
      </c>
      <c r="G8" s="468">
        <v>-114385.3</v>
      </c>
      <c r="H8" s="468" t="s">
        <v>450</v>
      </c>
      <c r="I8" s="468">
        <v>-7393.6</v>
      </c>
      <c r="J8" s="468">
        <v>-8501.2000000000007</v>
      </c>
      <c r="K8" s="468">
        <v>-4947.7</v>
      </c>
      <c r="L8" s="468" t="s">
        <v>450</v>
      </c>
      <c r="M8" s="468">
        <v>-66944.3</v>
      </c>
      <c r="N8" s="468">
        <v>-7829.1</v>
      </c>
      <c r="O8" s="468">
        <v>-573.29999999999995</v>
      </c>
      <c r="P8" s="468">
        <v>-18196.099999999999</v>
      </c>
      <c r="Q8" s="468">
        <v>-241672</v>
      </c>
      <c r="R8" s="468" t="s">
        <v>450</v>
      </c>
      <c r="S8" s="468" t="s">
        <v>450</v>
      </c>
      <c r="T8" s="468">
        <v>-1664.6</v>
      </c>
      <c r="U8" s="469" t="s">
        <v>450</v>
      </c>
      <c r="V8" s="517">
        <f t="shared" si="0"/>
        <v>-357721.9</v>
      </c>
    </row>
    <row r="9" spans="1:22" ht="15">
      <c r="B9" s="470" t="s">
        <v>453</v>
      </c>
      <c r="C9" s="468">
        <v>-20059.5</v>
      </c>
      <c r="D9" s="657"/>
      <c r="E9" s="468" t="s">
        <v>450</v>
      </c>
      <c r="F9" s="468" t="s">
        <v>450</v>
      </c>
      <c r="G9" s="468">
        <v>-20059.5</v>
      </c>
      <c r="H9" s="468" t="s">
        <v>450</v>
      </c>
      <c r="I9" s="468" t="s">
        <v>450</v>
      </c>
      <c r="J9" s="468" t="s">
        <v>450</v>
      </c>
      <c r="K9" s="468">
        <v>-16928.5</v>
      </c>
      <c r="L9" s="468" t="s">
        <v>450</v>
      </c>
      <c r="M9" s="468">
        <v>-3131</v>
      </c>
      <c r="N9" s="468" t="s">
        <v>450</v>
      </c>
      <c r="O9" s="468" t="s">
        <v>450</v>
      </c>
      <c r="P9" s="468" t="s">
        <v>450</v>
      </c>
      <c r="Q9" s="468" t="s">
        <v>450</v>
      </c>
      <c r="R9" s="468" t="s">
        <v>450</v>
      </c>
      <c r="S9" s="468" t="s">
        <v>450</v>
      </c>
      <c r="T9" s="468" t="s">
        <v>450</v>
      </c>
      <c r="U9" s="469" t="s">
        <v>450</v>
      </c>
      <c r="V9" s="517">
        <f t="shared" si="0"/>
        <v>-20059.5</v>
      </c>
    </row>
    <row r="10" spans="1:22">
      <c r="B10" s="471" t="s">
        <v>454</v>
      </c>
      <c r="C10" s="468">
        <v>-3131</v>
      </c>
      <c r="D10" s="657"/>
      <c r="E10" s="468" t="s">
        <v>450</v>
      </c>
      <c r="F10" s="468" t="s">
        <v>450</v>
      </c>
      <c r="G10" s="468">
        <v>-3131</v>
      </c>
      <c r="H10" s="468" t="s">
        <v>450</v>
      </c>
      <c r="I10" s="468" t="s">
        <v>450</v>
      </c>
      <c r="J10" s="468" t="s">
        <v>450</v>
      </c>
      <c r="K10" s="468" t="s">
        <v>450</v>
      </c>
      <c r="L10" s="468" t="s">
        <v>450</v>
      </c>
      <c r="M10" s="468">
        <v>-3131</v>
      </c>
      <c r="N10" s="468" t="s">
        <v>450</v>
      </c>
      <c r="O10" s="468" t="s">
        <v>450</v>
      </c>
      <c r="P10" s="468" t="s">
        <v>450</v>
      </c>
      <c r="Q10" s="468" t="s">
        <v>450</v>
      </c>
      <c r="R10" s="468" t="s">
        <v>450</v>
      </c>
      <c r="S10" s="468" t="s">
        <v>450</v>
      </c>
      <c r="T10" s="468" t="s">
        <v>450</v>
      </c>
      <c r="U10" s="469" t="s">
        <v>450</v>
      </c>
      <c r="V10" s="517">
        <f t="shared" si="0"/>
        <v>-3131</v>
      </c>
    </row>
    <row r="11" spans="1:22">
      <c r="B11" s="471" t="s">
        <v>455</v>
      </c>
      <c r="C11" s="468">
        <v>-16928.5</v>
      </c>
      <c r="D11" s="657"/>
      <c r="E11" s="468" t="s">
        <v>450</v>
      </c>
      <c r="F11" s="468" t="s">
        <v>450</v>
      </c>
      <c r="G11" s="468">
        <v>-16928.5</v>
      </c>
      <c r="H11" s="468" t="s">
        <v>450</v>
      </c>
      <c r="I11" s="468" t="s">
        <v>450</v>
      </c>
      <c r="J11" s="468" t="s">
        <v>450</v>
      </c>
      <c r="K11" s="468">
        <v>-16928.5</v>
      </c>
      <c r="L11" s="468" t="s">
        <v>450</v>
      </c>
      <c r="M11" s="468" t="s">
        <v>450</v>
      </c>
      <c r="N11" s="468" t="s">
        <v>450</v>
      </c>
      <c r="O11" s="468" t="s">
        <v>450</v>
      </c>
      <c r="P11" s="468" t="s">
        <v>450</v>
      </c>
      <c r="Q11" s="468" t="s">
        <v>450</v>
      </c>
      <c r="R11" s="468" t="s">
        <v>450</v>
      </c>
      <c r="S11" s="468" t="s">
        <v>450</v>
      </c>
      <c r="T11" s="468" t="s">
        <v>450</v>
      </c>
      <c r="U11" s="469" t="s">
        <v>450</v>
      </c>
      <c r="V11" s="517">
        <f t="shared" si="0"/>
        <v>-16928.5</v>
      </c>
    </row>
    <row r="12" spans="1:22">
      <c r="B12" s="472" t="s">
        <v>456</v>
      </c>
      <c r="C12" s="468">
        <v>-38043.699999999997</v>
      </c>
      <c r="D12" s="657"/>
      <c r="E12" s="468">
        <v>1590.2</v>
      </c>
      <c r="F12" s="468" t="s">
        <v>450</v>
      </c>
      <c r="G12" s="468">
        <v>4202</v>
      </c>
      <c r="H12" s="468" t="s">
        <v>450</v>
      </c>
      <c r="I12" s="468">
        <v>227.6</v>
      </c>
      <c r="J12" s="468">
        <v>151.19999999999999</v>
      </c>
      <c r="K12" s="468">
        <v>86.3</v>
      </c>
      <c r="L12" s="468">
        <v>47.4</v>
      </c>
      <c r="M12" s="468">
        <v>934.2</v>
      </c>
      <c r="N12" s="468">
        <v>1397.6</v>
      </c>
      <c r="O12" s="468">
        <v>-348</v>
      </c>
      <c r="P12" s="468">
        <v>1705.7</v>
      </c>
      <c r="Q12" s="468">
        <v>-43876.1</v>
      </c>
      <c r="R12" s="468">
        <v>4.2</v>
      </c>
      <c r="S12" s="468" t="s">
        <v>450</v>
      </c>
      <c r="T12" s="468" t="s">
        <v>450</v>
      </c>
      <c r="U12" s="469">
        <v>36</v>
      </c>
      <c r="V12" s="517">
        <f t="shared" si="0"/>
        <v>-39633.9</v>
      </c>
    </row>
    <row r="13" spans="1:22">
      <c r="B13" s="473" t="s">
        <v>457</v>
      </c>
      <c r="C13" s="474">
        <v>526208.19999999995</v>
      </c>
      <c r="D13" s="658"/>
      <c r="E13" s="474">
        <v>274388.2</v>
      </c>
      <c r="F13" s="468" t="s">
        <v>450</v>
      </c>
      <c r="G13" s="474">
        <v>-129118.5</v>
      </c>
      <c r="H13" s="468" t="s">
        <v>450</v>
      </c>
      <c r="I13" s="468">
        <v>-7161.3</v>
      </c>
      <c r="J13" s="468">
        <v>-8332.7000000000007</v>
      </c>
      <c r="K13" s="468">
        <v>-21789.9</v>
      </c>
      <c r="L13" s="468">
        <v>68.900000000000006</v>
      </c>
      <c r="M13" s="468">
        <v>-69136.800000000003</v>
      </c>
      <c r="N13" s="468">
        <v>-6431.5</v>
      </c>
      <c r="O13" s="468">
        <v>-921.3</v>
      </c>
      <c r="P13" s="468">
        <v>-15413.9</v>
      </c>
      <c r="Q13" s="474">
        <v>365687.6</v>
      </c>
      <c r="R13" s="474">
        <v>16181</v>
      </c>
      <c r="S13" s="468" t="s">
        <v>450</v>
      </c>
      <c r="T13" s="474">
        <v>-1305.3</v>
      </c>
      <c r="U13" s="475">
        <v>375.2</v>
      </c>
      <c r="V13" s="517">
        <f t="shared" si="0"/>
        <v>251820</v>
      </c>
    </row>
    <row r="14" spans="1:22">
      <c r="B14" s="476" t="s">
        <v>458</v>
      </c>
      <c r="C14" s="474">
        <v>11153</v>
      </c>
      <c r="D14" s="658"/>
      <c r="E14" s="474">
        <v>6459.9</v>
      </c>
      <c r="F14" s="468" t="s">
        <v>450</v>
      </c>
      <c r="G14" s="474">
        <v>3054.2</v>
      </c>
      <c r="H14" s="468" t="s">
        <v>450</v>
      </c>
      <c r="I14" s="468">
        <v>170.7</v>
      </c>
      <c r="J14" s="468">
        <v>1110.0999999999999</v>
      </c>
      <c r="K14" s="468" t="s">
        <v>450</v>
      </c>
      <c r="L14" s="468" t="s">
        <v>450</v>
      </c>
      <c r="M14" s="468">
        <v>1309.5999999999999</v>
      </c>
      <c r="N14" s="468">
        <v>89.2</v>
      </c>
      <c r="O14" s="468">
        <v>266.10000000000002</v>
      </c>
      <c r="P14" s="468">
        <v>108.5</v>
      </c>
      <c r="Q14" s="474">
        <v>1191.4000000000001</v>
      </c>
      <c r="R14" s="468" t="s">
        <v>450</v>
      </c>
      <c r="S14" s="468" t="s">
        <v>450</v>
      </c>
      <c r="T14" s="474">
        <v>447.5</v>
      </c>
      <c r="U14" s="469" t="s">
        <v>450</v>
      </c>
      <c r="V14" s="517">
        <f t="shared" si="0"/>
        <v>4693.0999999999995</v>
      </c>
    </row>
    <row r="15" spans="1:22">
      <c r="B15" s="476" t="s">
        <v>459</v>
      </c>
      <c r="C15" s="468" t="s">
        <v>450</v>
      </c>
      <c r="D15" s="657"/>
      <c r="E15" s="468" t="s">
        <v>450</v>
      </c>
      <c r="F15" s="474">
        <v>5728.5</v>
      </c>
      <c r="G15" s="474">
        <v>-5728.5</v>
      </c>
      <c r="H15" s="468" t="s">
        <v>450</v>
      </c>
      <c r="I15" s="468" t="s">
        <v>450</v>
      </c>
      <c r="J15" s="468" t="s">
        <v>450</v>
      </c>
      <c r="K15" s="468" t="s">
        <v>450</v>
      </c>
      <c r="L15" s="468" t="s">
        <v>450</v>
      </c>
      <c r="M15" s="468" t="s">
        <v>450</v>
      </c>
      <c r="N15" s="468" t="s">
        <v>450</v>
      </c>
      <c r="O15" s="468" t="s">
        <v>450</v>
      </c>
      <c r="P15" s="468">
        <v>-5728.5</v>
      </c>
      <c r="Q15" s="468" t="s">
        <v>450</v>
      </c>
      <c r="R15" s="468" t="s">
        <v>450</v>
      </c>
      <c r="S15" s="468" t="s">
        <v>450</v>
      </c>
      <c r="T15" s="468" t="s">
        <v>450</v>
      </c>
      <c r="U15" s="469" t="s">
        <v>450</v>
      </c>
      <c r="V15" s="517">
        <f t="shared" si="0"/>
        <v>-5728.5</v>
      </c>
    </row>
    <row r="16" spans="1:22">
      <c r="B16" s="476" t="s">
        <v>460</v>
      </c>
      <c r="C16" s="474">
        <v>-112884.5</v>
      </c>
      <c r="D16" s="658"/>
      <c r="E16" s="474">
        <v>-265872.7</v>
      </c>
      <c r="F16" s="474">
        <v>-5728.5</v>
      </c>
      <c r="G16" s="474">
        <v>265564.3</v>
      </c>
      <c r="H16" s="468">
        <v>11151</v>
      </c>
      <c r="I16" s="468">
        <v>11391.5</v>
      </c>
      <c r="J16" s="468">
        <v>53948.7</v>
      </c>
      <c r="K16" s="468">
        <v>25921.7</v>
      </c>
      <c r="L16" s="468" t="s">
        <v>450</v>
      </c>
      <c r="M16" s="468">
        <v>106008.8</v>
      </c>
      <c r="N16" s="468">
        <v>9596.2000000000007</v>
      </c>
      <c r="O16" s="468">
        <v>9888.9</v>
      </c>
      <c r="P16" s="468">
        <v>37657.5</v>
      </c>
      <c r="Q16" s="474">
        <v>-165512.9</v>
      </c>
      <c r="R16" s="474">
        <v>-12408.5</v>
      </c>
      <c r="S16" s="474">
        <v>3788.8</v>
      </c>
      <c r="T16" s="474">
        <v>67354.2</v>
      </c>
      <c r="U16" s="475">
        <v>-69.2</v>
      </c>
      <c r="V16" s="517">
        <f t="shared" si="0"/>
        <v>158716.70000000004</v>
      </c>
    </row>
    <row r="17" spans="2:22">
      <c r="B17" s="471" t="s">
        <v>461</v>
      </c>
      <c r="C17" s="468">
        <v>-59982.8</v>
      </c>
      <c r="D17" s="657"/>
      <c r="E17" s="468" t="s">
        <v>450</v>
      </c>
      <c r="F17" s="468" t="s">
        <v>450</v>
      </c>
      <c r="G17" s="468">
        <v>-136.5</v>
      </c>
      <c r="H17" s="468" t="s">
        <v>450</v>
      </c>
      <c r="I17" s="468" t="s">
        <v>450</v>
      </c>
      <c r="J17" s="468" t="s">
        <v>450</v>
      </c>
      <c r="K17" s="468" t="s">
        <v>450</v>
      </c>
      <c r="L17" s="468" t="s">
        <v>450</v>
      </c>
      <c r="M17" s="468">
        <v>-136.5</v>
      </c>
      <c r="N17" s="468" t="s">
        <v>450</v>
      </c>
      <c r="O17" s="468" t="s">
        <v>450</v>
      </c>
      <c r="P17" s="468" t="s">
        <v>450</v>
      </c>
      <c r="Q17" s="468">
        <v>-93861.2</v>
      </c>
      <c r="R17" s="468">
        <v>-12408.5</v>
      </c>
      <c r="S17" s="468" t="s">
        <v>450</v>
      </c>
      <c r="T17" s="468">
        <v>46423.4</v>
      </c>
      <c r="U17" s="469" t="s">
        <v>450</v>
      </c>
      <c r="V17" s="517">
        <f t="shared" si="0"/>
        <v>-59982.799999999996</v>
      </c>
    </row>
    <row r="18" spans="2:22">
      <c r="B18" s="471" t="s">
        <v>462</v>
      </c>
      <c r="C18" s="468">
        <v>-45894.1</v>
      </c>
      <c r="D18" s="657"/>
      <c r="E18" s="468" t="s">
        <v>450</v>
      </c>
      <c r="F18" s="468" t="s">
        <v>450</v>
      </c>
      <c r="G18" s="468">
        <v>-102</v>
      </c>
      <c r="H18" s="468" t="s">
        <v>450</v>
      </c>
      <c r="I18" s="468" t="s">
        <v>450</v>
      </c>
      <c r="J18" s="468" t="s">
        <v>450</v>
      </c>
      <c r="K18" s="468" t="s">
        <v>450</v>
      </c>
      <c r="L18" s="468" t="s">
        <v>450</v>
      </c>
      <c r="M18" s="468" t="s">
        <v>450</v>
      </c>
      <c r="N18" s="468">
        <v>-102</v>
      </c>
      <c r="O18" s="468" t="s">
        <v>450</v>
      </c>
      <c r="P18" s="468" t="s">
        <v>450</v>
      </c>
      <c r="Q18" s="468">
        <v>-68034.7</v>
      </c>
      <c r="R18" s="468" t="s">
        <v>450</v>
      </c>
      <c r="S18" s="468">
        <v>1311.8</v>
      </c>
      <c r="T18" s="468">
        <v>20930.8</v>
      </c>
      <c r="U18" s="469" t="s">
        <v>450</v>
      </c>
      <c r="V18" s="517">
        <f t="shared" si="0"/>
        <v>-45894.099999999991</v>
      </c>
    </row>
    <row r="19" spans="2:22">
      <c r="B19" s="471" t="s">
        <v>463</v>
      </c>
      <c r="C19" s="468">
        <v>-818.6</v>
      </c>
      <c r="D19" s="657"/>
      <c r="E19" s="468" t="s">
        <v>450</v>
      </c>
      <c r="F19" s="468" t="s">
        <v>450</v>
      </c>
      <c r="G19" s="468">
        <v>-131.69999999999999</v>
      </c>
      <c r="H19" s="468" t="s">
        <v>450</v>
      </c>
      <c r="I19" s="468" t="s">
        <v>450</v>
      </c>
      <c r="J19" s="468" t="s">
        <v>450</v>
      </c>
      <c r="K19" s="468" t="s">
        <v>450</v>
      </c>
      <c r="L19" s="468" t="s">
        <v>450</v>
      </c>
      <c r="M19" s="468" t="s">
        <v>450</v>
      </c>
      <c r="N19" s="468">
        <v>-131.69999999999999</v>
      </c>
      <c r="O19" s="468" t="s">
        <v>450</v>
      </c>
      <c r="P19" s="468" t="s">
        <v>450</v>
      </c>
      <c r="Q19" s="468">
        <v>-3163.9</v>
      </c>
      <c r="R19" s="468" t="s">
        <v>450</v>
      </c>
      <c r="S19" s="468">
        <v>2477</v>
      </c>
      <c r="T19" s="468" t="s">
        <v>450</v>
      </c>
      <c r="U19" s="469" t="s">
        <v>450</v>
      </c>
      <c r="V19" s="517">
        <f t="shared" si="0"/>
        <v>-818.59999999999991</v>
      </c>
    </row>
    <row r="20" spans="2:22">
      <c r="B20" s="471" t="s">
        <v>464</v>
      </c>
      <c r="C20" s="468">
        <v>2218.8000000000002</v>
      </c>
      <c r="D20" s="657"/>
      <c r="E20" s="468" t="s">
        <v>450</v>
      </c>
      <c r="F20" s="468" t="s">
        <v>450</v>
      </c>
      <c r="G20" s="468">
        <v>2671.9</v>
      </c>
      <c r="H20" s="468" t="s">
        <v>450</v>
      </c>
      <c r="I20" s="468">
        <v>1242.5</v>
      </c>
      <c r="J20" s="468" t="s">
        <v>450</v>
      </c>
      <c r="K20" s="468" t="s">
        <v>450</v>
      </c>
      <c r="L20" s="468" t="s">
        <v>450</v>
      </c>
      <c r="M20" s="468" t="s">
        <v>450</v>
      </c>
      <c r="N20" s="468" t="s">
        <v>450</v>
      </c>
      <c r="O20" s="468" t="s">
        <v>450</v>
      </c>
      <c r="P20" s="468">
        <v>1429.4</v>
      </c>
      <c r="Q20" s="468">
        <v>-453.1</v>
      </c>
      <c r="R20" s="468" t="s">
        <v>450</v>
      </c>
      <c r="S20" s="468" t="s">
        <v>450</v>
      </c>
      <c r="T20" s="468" t="s">
        <v>450</v>
      </c>
      <c r="U20" s="469" t="s">
        <v>450</v>
      </c>
      <c r="V20" s="517">
        <f t="shared" si="0"/>
        <v>2218.8000000000002</v>
      </c>
    </row>
    <row r="21" spans="2:22">
      <c r="B21" s="471" t="s">
        <v>465</v>
      </c>
      <c r="C21" s="468">
        <v>-69.2</v>
      </c>
      <c r="D21" s="657"/>
      <c r="E21" s="468" t="s">
        <v>450</v>
      </c>
      <c r="F21" s="468" t="s">
        <v>450</v>
      </c>
      <c r="G21" s="468" t="s">
        <v>450</v>
      </c>
      <c r="H21" s="468" t="s">
        <v>450</v>
      </c>
      <c r="I21" s="468" t="s">
        <v>450</v>
      </c>
      <c r="J21" s="468" t="s">
        <v>450</v>
      </c>
      <c r="K21" s="468" t="s">
        <v>450</v>
      </c>
      <c r="L21" s="468" t="s">
        <v>450</v>
      </c>
      <c r="M21" s="468" t="s">
        <v>450</v>
      </c>
      <c r="N21" s="468" t="s">
        <v>450</v>
      </c>
      <c r="O21" s="468" t="s">
        <v>450</v>
      </c>
      <c r="P21" s="468" t="s">
        <v>450</v>
      </c>
      <c r="Q21" s="468" t="s">
        <v>450</v>
      </c>
      <c r="R21" s="468" t="s">
        <v>450</v>
      </c>
      <c r="S21" s="468" t="s">
        <v>450</v>
      </c>
      <c r="T21" s="468" t="s">
        <v>450</v>
      </c>
      <c r="U21" s="469">
        <v>-69.2</v>
      </c>
      <c r="V21" s="517">
        <f t="shared" si="0"/>
        <v>-69.2</v>
      </c>
    </row>
    <row r="22" spans="2:22" ht="15">
      <c r="B22" s="477" t="s">
        <v>466</v>
      </c>
      <c r="C22" s="468">
        <v>-9210.2999999999993</v>
      </c>
      <c r="D22" s="657"/>
      <c r="E22" s="468">
        <v>-265872.7</v>
      </c>
      <c r="F22" s="468">
        <v>-5728.5</v>
      </c>
      <c r="G22" s="468">
        <v>262390.90000000002</v>
      </c>
      <c r="H22" s="468">
        <v>11151</v>
      </c>
      <c r="I22" s="468">
        <v>10149</v>
      </c>
      <c r="J22" s="468">
        <v>53948.7</v>
      </c>
      <c r="K22" s="468">
        <v>25921.7</v>
      </c>
      <c r="L22" s="468" t="s">
        <v>450</v>
      </c>
      <c r="M22" s="468">
        <v>106145.3</v>
      </c>
      <c r="N22" s="468">
        <v>9829.9</v>
      </c>
      <c r="O22" s="468">
        <v>9888.9</v>
      </c>
      <c r="P22" s="468">
        <v>35356.400000000001</v>
      </c>
      <c r="Q22" s="468" t="s">
        <v>450</v>
      </c>
      <c r="R22" s="468" t="s">
        <v>450</v>
      </c>
      <c r="S22" s="468" t="s">
        <v>450</v>
      </c>
      <c r="T22" s="468" t="s">
        <v>450</v>
      </c>
      <c r="U22" s="469" t="s">
        <v>450</v>
      </c>
      <c r="V22" s="517">
        <f t="shared" si="0"/>
        <v>262390.90000000002</v>
      </c>
    </row>
    <row r="23" spans="2:22" ht="15">
      <c r="B23" s="477" t="s">
        <v>467</v>
      </c>
      <c r="C23" s="468">
        <v>871.7</v>
      </c>
      <c r="D23" s="657"/>
      <c r="E23" s="468" t="s">
        <v>450</v>
      </c>
      <c r="F23" s="468" t="s">
        <v>450</v>
      </c>
      <c r="G23" s="468">
        <v>871.7</v>
      </c>
      <c r="H23" s="468" t="s">
        <v>450</v>
      </c>
      <c r="I23" s="468" t="s">
        <v>450</v>
      </c>
      <c r="J23" s="468" t="s">
        <v>450</v>
      </c>
      <c r="K23" s="468" t="s">
        <v>450</v>
      </c>
      <c r="L23" s="468" t="s">
        <v>450</v>
      </c>
      <c r="M23" s="468" t="s">
        <v>450</v>
      </c>
      <c r="N23" s="468" t="s">
        <v>450</v>
      </c>
      <c r="O23" s="468" t="s">
        <v>450</v>
      </c>
      <c r="P23" s="468">
        <v>871.7</v>
      </c>
      <c r="Q23" s="468" t="s">
        <v>450</v>
      </c>
      <c r="R23" s="468" t="s">
        <v>450</v>
      </c>
      <c r="S23" s="468" t="s">
        <v>450</v>
      </c>
      <c r="T23" s="468" t="s">
        <v>450</v>
      </c>
      <c r="U23" s="469" t="s">
        <v>450</v>
      </c>
      <c r="V23" s="517">
        <f t="shared" si="0"/>
        <v>871.7</v>
      </c>
    </row>
    <row r="24" spans="2:22">
      <c r="B24" s="471" t="s">
        <v>468</v>
      </c>
      <c r="C24" s="468" t="s">
        <v>450</v>
      </c>
      <c r="D24" s="657"/>
      <c r="E24" s="468" t="s">
        <v>450</v>
      </c>
      <c r="F24" s="468" t="s">
        <v>450</v>
      </c>
      <c r="G24" s="468" t="s">
        <v>450</v>
      </c>
      <c r="H24" s="468" t="s">
        <v>450</v>
      </c>
      <c r="I24" s="468" t="s">
        <v>450</v>
      </c>
      <c r="J24" s="468" t="s">
        <v>450</v>
      </c>
      <c r="K24" s="468" t="s">
        <v>450</v>
      </c>
      <c r="L24" s="468" t="s">
        <v>450</v>
      </c>
      <c r="M24" s="468" t="s">
        <v>450</v>
      </c>
      <c r="N24" s="468" t="s">
        <v>450</v>
      </c>
      <c r="O24" s="468" t="s">
        <v>450</v>
      </c>
      <c r="P24" s="468" t="s">
        <v>450</v>
      </c>
      <c r="Q24" s="468" t="s">
        <v>450</v>
      </c>
      <c r="R24" s="468" t="s">
        <v>450</v>
      </c>
      <c r="S24" s="468" t="s">
        <v>450</v>
      </c>
      <c r="T24" s="468" t="s">
        <v>450</v>
      </c>
      <c r="U24" s="469" t="s">
        <v>450</v>
      </c>
      <c r="V24" s="517">
        <f t="shared" si="0"/>
        <v>0</v>
      </c>
    </row>
    <row r="25" spans="2:22" ht="15">
      <c r="B25" s="478" t="s">
        <v>469</v>
      </c>
      <c r="C25" s="474">
        <v>38973.800000000003</v>
      </c>
      <c r="D25" s="658"/>
      <c r="E25" s="474">
        <v>168.1</v>
      </c>
      <c r="F25" s="468" t="s">
        <v>450</v>
      </c>
      <c r="G25" s="474">
        <v>17169.5</v>
      </c>
      <c r="H25" s="468">
        <v>11151</v>
      </c>
      <c r="I25" s="468" t="s">
        <v>450</v>
      </c>
      <c r="J25" s="468" t="s">
        <v>450</v>
      </c>
      <c r="K25" s="468" t="s">
        <v>450</v>
      </c>
      <c r="L25" s="468" t="s">
        <v>450</v>
      </c>
      <c r="M25" s="468">
        <v>85.3</v>
      </c>
      <c r="N25" s="468">
        <v>696.7</v>
      </c>
      <c r="O25" s="468" t="s">
        <v>450</v>
      </c>
      <c r="P25" s="468">
        <v>5236.5</v>
      </c>
      <c r="Q25" s="474">
        <v>12889.8</v>
      </c>
      <c r="R25" s="468" t="s">
        <v>450</v>
      </c>
      <c r="S25" s="474">
        <v>974.7</v>
      </c>
      <c r="T25" s="474">
        <v>7771.7</v>
      </c>
      <c r="U25" s="469" t="s">
        <v>450</v>
      </c>
      <c r="V25" s="517">
        <f t="shared" si="0"/>
        <v>38805.699999999997</v>
      </c>
    </row>
    <row r="26" spans="2:22" ht="15">
      <c r="B26" s="478" t="s">
        <v>470</v>
      </c>
      <c r="C26" s="474">
        <v>59811.7</v>
      </c>
      <c r="D26" s="658"/>
      <c r="E26" s="474">
        <v>1887.5</v>
      </c>
      <c r="F26" s="468" t="s">
        <v>450</v>
      </c>
      <c r="G26" s="474"/>
      <c r="H26" s="468" t="s">
        <v>450</v>
      </c>
      <c r="I26" s="468" t="s">
        <v>450</v>
      </c>
      <c r="J26" s="468" t="s">
        <v>450</v>
      </c>
      <c r="K26" s="468" t="s">
        <v>450</v>
      </c>
      <c r="L26" s="468" t="s">
        <v>450</v>
      </c>
      <c r="M26" s="468" t="s">
        <v>450</v>
      </c>
      <c r="N26" s="468" t="s">
        <v>450</v>
      </c>
      <c r="O26" s="468" t="s">
        <v>450</v>
      </c>
      <c r="P26" s="468" t="s">
        <v>450</v>
      </c>
      <c r="Q26" s="474">
        <v>43630</v>
      </c>
      <c r="R26" s="468" t="s">
        <v>450</v>
      </c>
      <c r="S26" s="474">
        <v>505.8</v>
      </c>
      <c r="T26" s="474">
        <v>13788.4</v>
      </c>
      <c r="U26" s="469" t="s">
        <v>450</v>
      </c>
      <c r="V26" s="517">
        <f t="shared" si="0"/>
        <v>57924.200000000004</v>
      </c>
    </row>
    <row r="27" spans="2:22" ht="15">
      <c r="B27" s="478" t="s">
        <v>471</v>
      </c>
      <c r="C27" s="474">
        <v>303385.2</v>
      </c>
      <c r="D27" s="658"/>
      <c r="E27" s="468" t="s">
        <v>450</v>
      </c>
      <c r="F27" s="468" t="s">
        <v>450</v>
      </c>
      <c r="G27" s="474">
        <v>110493.6</v>
      </c>
      <c r="H27" s="468"/>
      <c r="I27" s="468">
        <v>4059.5</v>
      </c>
      <c r="J27" s="468">
        <v>44505.9</v>
      </c>
      <c r="K27" s="468">
        <v>4131.8</v>
      </c>
      <c r="L27" s="468">
        <v>68.900000000000006</v>
      </c>
      <c r="M27" s="468">
        <v>35477.1</v>
      </c>
      <c r="N27" s="468">
        <v>2378.8000000000002</v>
      </c>
      <c r="O27" s="468">
        <v>8701.5</v>
      </c>
      <c r="P27" s="468">
        <v>11170.1</v>
      </c>
      <c r="Q27" s="474">
        <v>142463.5</v>
      </c>
      <c r="R27" s="474">
        <v>3772.5</v>
      </c>
      <c r="S27" s="474">
        <v>2308.3000000000002</v>
      </c>
      <c r="T27" s="474">
        <v>44041.3</v>
      </c>
      <c r="U27" s="475">
        <v>306</v>
      </c>
      <c r="V27" s="517">
        <f t="shared" si="0"/>
        <v>303385.2</v>
      </c>
    </row>
    <row r="28" spans="2:22" ht="15">
      <c r="B28" s="478" t="s">
        <v>472</v>
      </c>
      <c r="C28" s="474">
        <v>280902.3</v>
      </c>
      <c r="D28" s="658"/>
      <c r="E28" s="468" t="s">
        <v>450</v>
      </c>
      <c r="F28" s="468" t="s">
        <v>450</v>
      </c>
      <c r="G28" s="474">
        <v>89661.8</v>
      </c>
      <c r="H28" s="468"/>
      <c r="I28" s="468">
        <v>3822.4</v>
      </c>
      <c r="J28" s="468">
        <v>44505.9</v>
      </c>
      <c r="K28" s="468">
        <v>3885.7</v>
      </c>
      <c r="L28" s="468">
        <v>68.900000000000006</v>
      </c>
      <c r="M28" s="468">
        <v>35477.1</v>
      </c>
      <c r="N28" s="468">
        <v>1869</v>
      </c>
      <c r="O28" s="468">
        <v>32.799999999999997</v>
      </c>
      <c r="P28" s="468"/>
      <c r="Q28" s="474">
        <v>140944.1</v>
      </c>
      <c r="R28" s="474">
        <v>3772.5</v>
      </c>
      <c r="S28" s="474">
        <v>2308.3000000000002</v>
      </c>
      <c r="T28" s="474">
        <v>44041.3</v>
      </c>
      <c r="U28" s="475">
        <v>174.1</v>
      </c>
      <c r="V28" s="517">
        <f t="shared" si="0"/>
        <v>280902.09999999998</v>
      </c>
    </row>
    <row r="29" spans="2:22">
      <c r="B29" s="479" t="s">
        <v>473</v>
      </c>
      <c r="C29" s="659">
        <v>2372614.094</v>
      </c>
      <c r="D29" s="660">
        <v>137677.60399999999</v>
      </c>
      <c r="E29" s="659">
        <v>0</v>
      </c>
      <c r="F29" s="659" t="s">
        <v>588</v>
      </c>
      <c r="G29" s="659">
        <v>168128.35399999999</v>
      </c>
      <c r="H29" s="659">
        <v>15620.864</v>
      </c>
      <c r="I29" s="659">
        <v>10955.378000000001</v>
      </c>
      <c r="J29" s="659">
        <v>0</v>
      </c>
      <c r="K29" s="659">
        <v>0</v>
      </c>
      <c r="L29" s="659">
        <v>0</v>
      </c>
      <c r="M29" s="659">
        <v>72878.604999999996</v>
      </c>
      <c r="N29" s="659">
        <v>59432.603999999999</v>
      </c>
      <c r="O29" s="659">
        <v>0</v>
      </c>
      <c r="P29" s="659">
        <f>G29-SUM(H29:O29)</f>
        <v>9240.9029999999912</v>
      </c>
      <c r="Q29" s="659">
        <v>843797.61600000004</v>
      </c>
      <c r="R29" s="661">
        <v>152304.52000000002</v>
      </c>
      <c r="S29" s="659">
        <v>146022</v>
      </c>
      <c r="T29" s="659">
        <v>822618</v>
      </c>
      <c r="U29" s="660">
        <v>102066</v>
      </c>
      <c r="V29" s="517">
        <f t="shared" si="0"/>
        <v>2372614.094</v>
      </c>
    </row>
    <row r="30" spans="2:22" ht="15">
      <c r="B30" s="480" t="s">
        <v>474</v>
      </c>
      <c r="C30" s="660">
        <v>330774.06900000002</v>
      </c>
      <c r="D30" s="659">
        <v>29540.659</v>
      </c>
      <c r="E30" s="660">
        <v>0</v>
      </c>
      <c r="F30" s="660" t="s">
        <v>588</v>
      </c>
      <c r="G30" s="660">
        <v>4206.5839999999998</v>
      </c>
      <c r="H30" s="660">
        <v>0</v>
      </c>
      <c r="I30" s="660">
        <v>2623.7669999999998</v>
      </c>
      <c r="J30" s="660">
        <v>0</v>
      </c>
      <c r="K30" s="660">
        <v>0</v>
      </c>
      <c r="L30" s="660">
        <v>0</v>
      </c>
      <c r="M30" s="660">
        <v>1286.8499999999999</v>
      </c>
      <c r="N30" s="660">
        <v>201.74</v>
      </c>
      <c r="O30" s="660">
        <v>0</v>
      </c>
      <c r="P30" s="659">
        <f t="shared" ref="P30:P42" si="1">G30-SUM(H30:O30)</f>
        <v>94.226999999999862</v>
      </c>
      <c r="Q30" s="660">
        <v>99519.558000000005</v>
      </c>
      <c r="R30" s="661">
        <v>134.768</v>
      </c>
      <c r="S30" s="660">
        <v>1774</v>
      </c>
      <c r="T30" s="660">
        <v>97534.8</v>
      </c>
      <c r="U30" s="659">
        <v>98063.7</v>
      </c>
      <c r="V30" s="517">
        <f t="shared" si="0"/>
        <v>330774.06900000002</v>
      </c>
    </row>
    <row r="31" spans="2:22" ht="15">
      <c r="B31" s="480" t="s">
        <v>475</v>
      </c>
      <c r="C31" s="659">
        <v>588419.799</v>
      </c>
      <c r="D31" s="660">
        <v>21580.32</v>
      </c>
      <c r="E31" s="659">
        <v>0</v>
      </c>
      <c r="F31" s="659" t="s">
        <v>588</v>
      </c>
      <c r="G31" s="659">
        <v>62032.112000000001</v>
      </c>
      <c r="H31" s="659">
        <v>13158.88</v>
      </c>
      <c r="I31" s="659">
        <v>0</v>
      </c>
      <c r="J31" s="659">
        <v>0</v>
      </c>
      <c r="K31" s="659">
        <v>0</v>
      </c>
      <c r="L31" s="659">
        <v>0</v>
      </c>
      <c r="M31" s="659">
        <v>2916.86</v>
      </c>
      <c r="N31" s="659">
        <v>45956.372000000003</v>
      </c>
      <c r="O31" s="659">
        <v>0</v>
      </c>
      <c r="P31" s="659">
        <f t="shared" si="1"/>
        <v>0</v>
      </c>
      <c r="Q31" s="659">
        <v>224126.00700000001</v>
      </c>
      <c r="R31" s="661">
        <v>13253.46</v>
      </c>
      <c r="S31" s="659">
        <v>75475</v>
      </c>
      <c r="T31" s="659">
        <v>188413.2</v>
      </c>
      <c r="U31" s="660">
        <v>3539.7</v>
      </c>
      <c r="V31" s="517">
        <f t="shared" si="0"/>
        <v>588419.799</v>
      </c>
    </row>
    <row r="32" spans="2:22" ht="15">
      <c r="B32" s="480" t="s">
        <v>476</v>
      </c>
      <c r="C32" s="660">
        <v>89446.138000000006</v>
      </c>
      <c r="D32" s="659">
        <v>1043.671</v>
      </c>
      <c r="E32" s="660">
        <v>0</v>
      </c>
      <c r="F32" s="660" t="s">
        <v>588</v>
      </c>
      <c r="G32" s="660">
        <v>4189.7929999999997</v>
      </c>
      <c r="H32" s="660">
        <v>0</v>
      </c>
      <c r="I32" s="660">
        <v>184.124</v>
      </c>
      <c r="J32" s="660">
        <v>0</v>
      </c>
      <c r="K32" s="660">
        <v>0</v>
      </c>
      <c r="L32" s="660">
        <v>0</v>
      </c>
      <c r="M32" s="660">
        <v>1372.64</v>
      </c>
      <c r="N32" s="660">
        <v>968.35199999999998</v>
      </c>
      <c r="O32" s="660">
        <v>0</v>
      </c>
      <c r="P32" s="659">
        <f t="shared" si="1"/>
        <v>1664.6769999999997</v>
      </c>
      <c r="Q32" s="660">
        <v>32190.673999999999</v>
      </c>
      <c r="R32" s="661">
        <v>329</v>
      </c>
      <c r="S32" s="660">
        <v>2571</v>
      </c>
      <c r="T32" s="660">
        <v>49122</v>
      </c>
      <c r="U32" s="659">
        <v>0</v>
      </c>
      <c r="V32" s="517">
        <f t="shared" si="0"/>
        <v>89446.138000000006</v>
      </c>
    </row>
    <row r="33" spans="2:22" ht="15">
      <c r="B33" s="480" t="s">
        <v>477</v>
      </c>
      <c r="C33" s="659">
        <v>272879.16200000001</v>
      </c>
      <c r="D33" s="660">
        <v>56552.896000000001</v>
      </c>
      <c r="E33" s="659">
        <v>0</v>
      </c>
      <c r="F33" s="659" t="s">
        <v>588</v>
      </c>
      <c r="G33" s="659">
        <v>28630.937999999998</v>
      </c>
      <c r="H33" s="659">
        <v>0</v>
      </c>
      <c r="I33" s="659">
        <v>1242.837</v>
      </c>
      <c r="J33" s="659">
        <v>0</v>
      </c>
      <c r="K33" s="659">
        <v>0</v>
      </c>
      <c r="L33" s="659">
        <v>0</v>
      </c>
      <c r="M33" s="659">
        <v>12396.655000000001</v>
      </c>
      <c r="N33" s="659">
        <v>7746.8159999999998</v>
      </c>
      <c r="O33" s="659">
        <v>0</v>
      </c>
      <c r="P33" s="659">
        <f t="shared" si="1"/>
        <v>7244.6299999999974</v>
      </c>
      <c r="Q33" s="659">
        <v>102503.992</v>
      </c>
      <c r="R33" s="661">
        <v>40433.835999999996</v>
      </c>
      <c r="S33" s="659">
        <v>608</v>
      </c>
      <c r="T33" s="659">
        <v>44042.400000000001</v>
      </c>
      <c r="U33" s="660">
        <v>107.1</v>
      </c>
      <c r="V33" s="517">
        <f t="shared" si="0"/>
        <v>272879.16200000001</v>
      </c>
    </row>
    <row r="34" spans="2:22" ht="15">
      <c r="B34" s="480" t="s">
        <v>478</v>
      </c>
      <c r="C34" s="660">
        <v>123559.23299999999</v>
      </c>
      <c r="D34" s="659">
        <v>687.6</v>
      </c>
      <c r="E34" s="660">
        <v>0</v>
      </c>
      <c r="F34" s="660" t="s">
        <v>588</v>
      </c>
      <c r="G34" s="660">
        <v>4004.915</v>
      </c>
      <c r="H34" s="660">
        <v>0</v>
      </c>
      <c r="I34" s="660">
        <v>230.155</v>
      </c>
      <c r="J34" s="660">
        <v>0</v>
      </c>
      <c r="K34" s="660">
        <v>0</v>
      </c>
      <c r="L34" s="660">
        <v>0</v>
      </c>
      <c r="M34" s="660">
        <v>3774.76</v>
      </c>
      <c r="N34" s="660">
        <v>0</v>
      </c>
      <c r="O34" s="660">
        <v>0</v>
      </c>
      <c r="P34" s="659">
        <f t="shared" si="1"/>
        <v>0</v>
      </c>
      <c r="Q34" s="660">
        <v>38022.741999999998</v>
      </c>
      <c r="R34" s="661">
        <v>340.07600000000002</v>
      </c>
      <c r="S34" s="660">
        <v>15937</v>
      </c>
      <c r="T34" s="660">
        <v>64216.800000000003</v>
      </c>
      <c r="U34" s="659">
        <v>350.1</v>
      </c>
      <c r="V34" s="517">
        <f t="shared" si="0"/>
        <v>123559.23300000001</v>
      </c>
    </row>
    <row r="35" spans="2:22" ht="15">
      <c r="B35" s="480" t="s">
        <v>342</v>
      </c>
      <c r="C35" s="659">
        <v>232432.842</v>
      </c>
      <c r="D35" s="660">
        <v>720.02099999999996</v>
      </c>
      <c r="E35" s="659">
        <v>0</v>
      </c>
      <c r="F35" s="659" t="s">
        <v>588</v>
      </c>
      <c r="G35" s="659">
        <v>23341.79</v>
      </c>
      <c r="H35" s="659">
        <v>0</v>
      </c>
      <c r="I35" s="659">
        <v>2439.643</v>
      </c>
      <c r="J35" s="659">
        <v>0</v>
      </c>
      <c r="K35" s="659">
        <v>0</v>
      </c>
      <c r="L35" s="659">
        <v>0</v>
      </c>
      <c r="M35" s="659">
        <v>20718.285</v>
      </c>
      <c r="N35" s="659">
        <v>121.044</v>
      </c>
      <c r="O35" s="659">
        <v>0</v>
      </c>
      <c r="P35" s="659">
        <f t="shared" si="1"/>
        <v>62.817999999999302</v>
      </c>
      <c r="Q35" s="659">
        <v>74901.570999999996</v>
      </c>
      <c r="R35" s="661">
        <v>1857.46</v>
      </c>
      <c r="S35" s="659">
        <v>13136</v>
      </c>
      <c r="T35" s="659">
        <v>118476</v>
      </c>
      <c r="U35" s="660">
        <v>0</v>
      </c>
      <c r="V35" s="517">
        <f t="shared" si="0"/>
        <v>232432.842</v>
      </c>
    </row>
    <row r="36" spans="2:22">
      <c r="B36" s="481" t="s">
        <v>479</v>
      </c>
      <c r="C36" s="660">
        <v>18503.191999999999</v>
      </c>
      <c r="D36" s="659">
        <v>2252.96</v>
      </c>
      <c r="E36" s="660">
        <v>0</v>
      </c>
      <c r="F36" s="660" t="s">
        <v>588</v>
      </c>
      <c r="G36" s="660">
        <v>1661.577</v>
      </c>
      <c r="H36" s="660">
        <v>0</v>
      </c>
      <c r="I36" s="660">
        <v>414.279</v>
      </c>
      <c r="J36" s="660">
        <v>0</v>
      </c>
      <c r="K36" s="660">
        <v>0</v>
      </c>
      <c r="L36" s="660">
        <v>0</v>
      </c>
      <c r="M36" s="660">
        <v>1072.375</v>
      </c>
      <c r="N36" s="660">
        <v>80.695999999999998</v>
      </c>
      <c r="O36" s="660">
        <v>0</v>
      </c>
      <c r="P36" s="659">
        <f t="shared" si="1"/>
        <v>94.227000000000089</v>
      </c>
      <c r="Q36" s="660">
        <v>6125.4709999999995</v>
      </c>
      <c r="R36" s="661">
        <v>638.38400000000001</v>
      </c>
      <c r="S36" s="660">
        <v>56</v>
      </c>
      <c r="T36" s="660">
        <v>7768.8</v>
      </c>
      <c r="U36" s="659">
        <v>0</v>
      </c>
      <c r="V36" s="517">
        <f t="shared" si="0"/>
        <v>18503.191999999999</v>
      </c>
    </row>
    <row r="37" spans="2:22">
      <c r="B37" s="481" t="s">
        <v>480</v>
      </c>
      <c r="C37" s="659">
        <v>201710.19500000001</v>
      </c>
      <c r="D37" s="660">
        <v>8542.4750000000004</v>
      </c>
      <c r="E37" s="659">
        <v>0</v>
      </c>
      <c r="F37" s="659" t="s">
        <v>588</v>
      </c>
      <c r="G37" s="659">
        <v>16688.75</v>
      </c>
      <c r="H37" s="659">
        <v>0</v>
      </c>
      <c r="I37" s="659">
        <v>1795.2090000000001</v>
      </c>
      <c r="J37" s="659">
        <v>0</v>
      </c>
      <c r="K37" s="659">
        <v>0</v>
      </c>
      <c r="L37" s="659">
        <v>0</v>
      </c>
      <c r="M37" s="659">
        <v>12997.184999999999</v>
      </c>
      <c r="N37" s="659">
        <v>1896.356</v>
      </c>
      <c r="O37" s="659">
        <v>0</v>
      </c>
      <c r="P37" s="659">
        <f t="shared" si="1"/>
        <v>0</v>
      </c>
      <c r="Q37" s="659">
        <v>105401.126</v>
      </c>
      <c r="R37" s="661">
        <v>2386.8440000000001</v>
      </c>
      <c r="S37" s="659">
        <v>5601</v>
      </c>
      <c r="T37" s="659">
        <v>63090</v>
      </c>
      <c r="U37" s="660">
        <v>0</v>
      </c>
      <c r="V37" s="517">
        <f t="shared" si="0"/>
        <v>201710.19500000001</v>
      </c>
    </row>
    <row r="38" spans="2:22">
      <c r="B38" s="481" t="s">
        <v>481</v>
      </c>
      <c r="C38" s="660">
        <v>262458.24099999998</v>
      </c>
      <c r="D38" s="659">
        <v>15931.112999999999</v>
      </c>
      <c r="E38" s="660">
        <v>0</v>
      </c>
      <c r="F38" s="660" t="s">
        <v>588</v>
      </c>
      <c r="G38" s="660">
        <v>4132.2299999999996</v>
      </c>
      <c r="H38" s="660">
        <v>0</v>
      </c>
      <c r="I38" s="660">
        <v>368.24799999999999</v>
      </c>
      <c r="J38" s="660">
        <v>0</v>
      </c>
      <c r="K38" s="660">
        <v>0</v>
      </c>
      <c r="L38" s="660">
        <v>0</v>
      </c>
      <c r="M38" s="660">
        <v>2916.86</v>
      </c>
      <c r="N38" s="660">
        <v>806.96</v>
      </c>
      <c r="O38" s="660">
        <v>0</v>
      </c>
      <c r="P38" s="659">
        <f t="shared" si="1"/>
        <v>40.161999999999352</v>
      </c>
      <c r="Q38" s="660">
        <v>94414.698000000004</v>
      </c>
      <c r="R38" s="661">
        <v>42786</v>
      </c>
      <c r="S38" s="660">
        <v>17725</v>
      </c>
      <c r="T38" s="660">
        <v>87469.2</v>
      </c>
      <c r="U38" s="659">
        <v>0</v>
      </c>
      <c r="V38" s="517">
        <f t="shared" si="0"/>
        <v>262458.24100000004</v>
      </c>
    </row>
    <row r="39" spans="2:22" ht="15">
      <c r="B39" s="480" t="s">
        <v>482</v>
      </c>
      <c r="C39" s="659">
        <v>75463.909</v>
      </c>
      <c r="D39" s="660">
        <v>42.006</v>
      </c>
      <c r="E39" s="659">
        <v>0</v>
      </c>
      <c r="F39" s="659" t="s">
        <v>588</v>
      </c>
      <c r="G39" s="659">
        <v>2732.73</v>
      </c>
      <c r="H39" s="659">
        <v>0</v>
      </c>
      <c r="I39" s="659">
        <v>46.030999999999999</v>
      </c>
      <c r="J39" s="659">
        <v>0</v>
      </c>
      <c r="K39" s="659">
        <v>0</v>
      </c>
      <c r="L39" s="659">
        <v>0</v>
      </c>
      <c r="M39" s="659">
        <v>1758.6949999999999</v>
      </c>
      <c r="N39" s="659">
        <v>928.00400000000002</v>
      </c>
      <c r="O39" s="659">
        <v>0</v>
      </c>
      <c r="P39" s="659">
        <f t="shared" si="1"/>
        <v>0</v>
      </c>
      <c r="Q39" s="659">
        <v>6317.1729999999998</v>
      </c>
      <c r="R39" s="661">
        <v>45952</v>
      </c>
      <c r="S39" s="659">
        <v>4184</v>
      </c>
      <c r="T39" s="659">
        <v>16236</v>
      </c>
      <c r="U39" s="660">
        <v>0</v>
      </c>
      <c r="V39" s="517">
        <f t="shared" si="0"/>
        <v>75463.908999999985</v>
      </c>
    </row>
    <row r="40" spans="2:22">
      <c r="B40" s="481" t="s">
        <v>483</v>
      </c>
      <c r="C40" s="659">
        <v>24704.761999999999</v>
      </c>
      <c r="D40" s="660">
        <v>426.83199999999999</v>
      </c>
      <c r="E40" s="659">
        <v>0</v>
      </c>
      <c r="F40" s="659" t="s">
        <v>588</v>
      </c>
      <c r="G40" s="659">
        <v>1781.8030000000001</v>
      </c>
      <c r="H40" s="659">
        <v>0</v>
      </c>
      <c r="I40" s="659">
        <v>46.030999999999999</v>
      </c>
      <c r="J40" s="659">
        <v>0</v>
      </c>
      <c r="K40" s="659">
        <v>0</v>
      </c>
      <c r="L40" s="659">
        <v>0</v>
      </c>
      <c r="M40" s="659">
        <v>1372.64</v>
      </c>
      <c r="N40" s="659">
        <v>363.13200000000001</v>
      </c>
      <c r="O40" s="659">
        <v>0</v>
      </c>
      <c r="P40" s="659">
        <f t="shared" si="1"/>
        <v>0</v>
      </c>
      <c r="Q40" s="659">
        <v>10936.927</v>
      </c>
      <c r="R40" s="661">
        <v>103</v>
      </c>
      <c r="S40" s="659">
        <v>2521</v>
      </c>
      <c r="T40" s="659">
        <v>8935.2000000000007</v>
      </c>
      <c r="U40" s="660">
        <v>0</v>
      </c>
      <c r="V40" s="517">
        <f t="shared" si="0"/>
        <v>24704.761999999999</v>
      </c>
    </row>
    <row r="41" spans="2:22">
      <c r="B41" s="481" t="s">
        <v>253</v>
      </c>
      <c r="C41" s="660">
        <v>36138.853999999999</v>
      </c>
      <c r="D41" s="659">
        <v>0</v>
      </c>
      <c r="E41" s="660">
        <v>0</v>
      </c>
      <c r="F41" s="660" t="s">
        <v>588</v>
      </c>
      <c r="G41" s="660">
        <v>0</v>
      </c>
      <c r="H41" s="660">
        <v>0</v>
      </c>
      <c r="I41" s="660">
        <v>0</v>
      </c>
      <c r="J41" s="660">
        <v>0</v>
      </c>
      <c r="K41" s="660">
        <v>0</v>
      </c>
      <c r="L41" s="660">
        <v>0</v>
      </c>
      <c r="M41" s="660">
        <v>0</v>
      </c>
      <c r="N41" s="660">
        <v>0</v>
      </c>
      <c r="O41" s="660">
        <v>0</v>
      </c>
      <c r="P41" s="659">
        <f t="shared" si="1"/>
        <v>0</v>
      </c>
      <c r="Q41" s="660">
        <v>21828.853999999999</v>
      </c>
      <c r="R41" s="661">
        <v>0</v>
      </c>
      <c r="S41" s="660">
        <v>0</v>
      </c>
      <c r="T41" s="660">
        <v>14310</v>
      </c>
      <c r="U41" s="659">
        <v>0</v>
      </c>
      <c r="V41" s="517">
        <f t="shared" si="0"/>
        <v>36138.853999999999</v>
      </c>
    </row>
    <row r="42" spans="2:22" ht="15">
      <c r="B42" s="480" t="s">
        <v>484</v>
      </c>
      <c r="C42" s="660">
        <v>116123.69500000001</v>
      </c>
      <c r="D42" s="659">
        <v>357.05099999999999</v>
      </c>
      <c r="E42" s="660">
        <v>0</v>
      </c>
      <c r="F42" s="660" t="s">
        <v>588</v>
      </c>
      <c r="G42" s="660">
        <v>14725.132</v>
      </c>
      <c r="H42" s="660">
        <v>2461.9839999999999</v>
      </c>
      <c r="I42" s="660">
        <v>1565.0540000000001</v>
      </c>
      <c r="J42" s="660">
        <v>0</v>
      </c>
      <c r="K42" s="660">
        <v>0</v>
      </c>
      <c r="L42" s="660">
        <v>0</v>
      </c>
      <c r="M42" s="660">
        <v>10294.799999999999</v>
      </c>
      <c r="N42" s="660">
        <v>363.13200000000001</v>
      </c>
      <c r="O42" s="660">
        <v>0</v>
      </c>
      <c r="P42" s="659">
        <f t="shared" si="1"/>
        <v>40.162000000000262</v>
      </c>
      <c r="Q42" s="660">
        <v>27508.82</v>
      </c>
      <c r="R42" s="661">
        <v>4089.692</v>
      </c>
      <c r="S42" s="660">
        <v>6434</v>
      </c>
      <c r="T42" s="660">
        <v>63003.6</v>
      </c>
      <c r="U42" s="659">
        <v>5.4</v>
      </c>
      <c r="V42" s="517">
        <f t="shared" si="0"/>
        <v>116123.69500000001</v>
      </c>
    </row>
    <row r="43" spans="2:22" ht="15">
      <c r="B43" s="482" t="s">
        <v>485</v>
      </c>
      <c r="C43" s="474">
        <v>71350.899999999994</v>
      </c>
      <c r="D43" s="658"/>
      <c r="E43" s="468" t="s">
        <v>450</v>
      </c>
      <c r="F43" s="468" t="s">
        <v>450</v>
      </c>
      <c r="G43" s="474">
        <v>69214.7</v>
      </c>
      <c r="H43" s="468"/>
      <c r="I43" s="468">
        <v>901.1</v>
      </c>
      <c r="J43" s="468">
        <v>43978.9</v>
      </c>
      <c r="K43" s="468">
        <v>3881.4</v>
      </c>
      <c r="L43" s="468"/>
      <c r="M43" s="468">
        <v>20398.099999999999</v>
      </c>
      <c r="N43" s="468">
        <v>55.2</v>
      </c>
      <c r="O43" s="468"/>
      <c r="P43" s="468"/>
      <c r="Q43" s="474"/>
      <c r="R43" s="474">
        <v>2.1</v>
      </c>
      <c r="S43" s="468"/>
      <c r="T43" s="474">
        <v>1959.8</v>
      </c>
      <c r="U43" s="475">
        <v>174.3</v>
      </c>
      <c r="V43" s="517">
        <f t="shared" si="0"/>
        <v>71350.900000000009</v>
      </c>
    </row>
    <row r="44" spans="2:22">
      <c r="B44" s="481" t="s">
        <v>486</v>
      </c>
      <c r="C44" s="468">
        <v>64010.8</v>
      </c>
      <c r="D44" s="657"/>
      <c r="E44" s="468" t="s">
        <v>450</v>
      </c>
      <c r="F44" s="468" t="s">
        <v>450</v>
      </c>
      <c r="G44" s="468">
        <v>64010.8</v>
      </c>
      <c r="H44" s="468"/>
      <c r="I44" s="468">
        <v>896.4</v>
      </c>
      <c r="J44" s="468">
        <v>43978.9</v>
      </c>
      <c r="K44" s="468"/>
      <c r="L44" s="468"/>
      <c r="M44" s="468">
        <v>19135.5</v>
      </c>
      <c r="N44" s="468"/>
      <c r="O44" s="468"/>
      <c r="P44" s="468"/>
      <c r="Q44" s="468"/>
      <c r="R44" s="468"/>
      <c r="S44" s="468"/>
      <c r="T44" s="468"/>
      <c r="U44" s="469"/>
      <c r="V44" s="517">
        <f t="shared" si="0"/>
        <v>64010.8</v>
      </c>
    </row>
    <row r="45" spans="2:22" ht="15">
      <c r="B45" s="480" t="s">
        <v>487</v>
      </c>
      <c r="C45" s="468">
        <v>1875.8</v>
      </c>
      <c r="D45" s="657"/>
      <c r="E45" s="468" t="s">
        <v>450</v>
      </c>
      <c r="F45" s="468" t="s">
        <v>450</v>
      </c>
      <c r="G45" s="468">
        <v>140.6</v>
      </c>
      <c r="H45" s="468"/>
      <c r="I45" s="468"/>
      <c r="J45" s="468"/>
      <c r="K45" s="468"/>
      <c r="L45" s="468"/>
      <c r="M45" s="468">
        <v>102.4</v>
      </c>
      <c r="N45" s="468">
        <v>38.200000000000003</v>
      </c>
      <c r="O45" s="468"/>
      <c r="P45" s="468"/>
      <c r="Q45" s="468"/>
      <c r="R45" s="468">
        <v>2.1</v>
      </c>
      <c r="S45" s="468"/>
      <c r="T45" s="468">
        <v>1558.8</v>
      </c>
      <c r="U45" s="469">
        <v>174.3</v>
      </c>
      <c r="V45" s="517">
        <f t="shared" si="0"/>
        <v>1875.8</v>
      </c>
    </row>
    <row r="46" spans="2:22">
      <c r="B46" s="481" t="s">
        <v>488</v>
      </c>
      <c r="C46" s="468">
        <v>3881.4</v>
      </c>
      <c r="D46" s="657"/>
      <c r="E46" s="468" t="s">
        <v>450</v>
      </c>
      <c r="F46" s="468" t="s">
        <v>450</v>
      </c>
      <c r="G46" s="468">
        <v>3881.4</v>
      </c>
      <c r="H46" s="468"/>
      <c r="I46" s="468"/>
      <c r="J46" s="468"/>
      <c r="K46" s="468">
        <v>3881.4</v>
      </c>
      <c r="L46" s="468"/>
      <c r="M46" s="468"/>
      <c r="N46" s="468"/>
      <c r="O46" s="468"/>
      <c r="P46" s="468"/>
      <c r="Q46" s="468"/>
      <c r="R46" s="468"/>
      <c r="S46" s="468"/>
      <c r="T46" s="468"/>
      <c r="U46" s="469"/>
      <c r="V46" s="517">
        <f t="shared" si="0"/>
        <v>3881.4</v>
      </c>
    </row>
    <row r="47" spans="2:22">
      <c r="B47" s="481" t="s">
        <v>489</v>
      </c>
      <c r="C47" s="468">
        <v>1177.2</v>
      </c>
      <c r="D47" s="657"/>
      <c r="E47" s="468" t="s">
        <v>450</v>
      </c>
      <c r="F47" s="468" t="s">
        <v>450</v>
      </c>
      <c r="G47" s="468">
        <v>1177.2</v>
      </c>
      <c r="H47" s="468"/>
      <c r="I47" s="468"/>
      <c r="J47" s="468"/>
      <c r="K47" s="468"/>
      <c r="L47" s="468"/>
      <c r="M47" s="468">
        <v>1160.2</v>
      </c>
      <c r="N47" s="468">
        <v>17</v>
      </c>
      <c r="O47" s="468"/>
      <c r="P47" s="468"/>
      <c r="Q47" s="468"/>
      <c r="R47" s="468"/>
      <c r="S47" s="468"/>
      <c r="T47" s="468"/>
      <c r="U47" s="469"/>
      <c r="V47" s="517">
        <f t="shared" si="0"/>
        <v>1177.2</v>
      </c>
    </row>
    <row r="48" spans="2:22">
      <c r="B48" s="481" t="s">
        <v>490</v>
      </c>
      <c r="C48" s="468">
        <v>405.7</v>
      </c>
      <c r="D48" s="657"/>
      <c r="E48" s="468" t="s">
        <v>450</v>
      </c>
      <c r="F48" s="468" t="s">
        <v>450</v>
      </c>
      <c r="G48" s="468">
        <v>4.7</v>
      </c>
      <c r="H48" s="468"/>
      <c r="I48" s="468">
        <v>4.7</v>
      </c>
      <c r="J48" s="468"/>
      <c r="K48" s="468"/>
      <c r="L48" s="468"/>
      <c r="M48" s="468"/>
      <c r="N48" s="468"/>
      <c r="O48" s="468"/>
      <c r="P48" s="468"/>
      <c r="Q48" s="468"/>
      <c r="R48" s="468"/>
      <c r="S48" s="468"/>
      <c r="T48" s="468">
        <v>401</v>
      </c>
      <c r="U48" s="469"/>
      <c r="V48" s="517">
        <f t="shared" si="0"/>
        <v>405.7</v>
      </c>
    </row>
    <row r="49" spans="2:22" ht="15">
      <c r="B49" s="483" t="s">
        <v>491</v>
      </c>
      <c r="C49" s="468" t="s">
        <v>450</v>
      </c>
      <c r="D49" s="657"/>
      <c r="E49" s="468" t="s">
        <v>450</v>
      </c>
      <c r="F49" s="468" t="s">
        <v>450</v>
      </c>
      <c r="G49" s="468" t="s">
        <v>450</v>
      </c>
      <c r="H49" s="468"/>
      <c r="I49" s="468"/>
      <c r="J49" s="468"/>
      <c r="K49" s="468"/>
      <c r="L49" s="468"/>
      <c r="M49" s="468"/>
      <c r="N49" s="468"/>
      <c r="O49" s="468"/>
      <c r="P49" s="468"/>
      <c r="Q49" s="468"/>
      <c r="R49" s="468"/>
      <c r="S49" s="468"/>
      <c r="T49" s="468"/>
      <c r="U49" s="469"/>
      <c r="V49" s="517">
        <f t="shared" si="0"/>
        <v>0</v>
      </c>
    </row>
    <row r="50" spans="2:22" ht="15">
      <c r="B50" s="482" t="s">
        <v>492</v>
      </c>
      <c r="C50" s="474">
        <v>176172.2</v>
      </c>
      <c r="D50" s="658"/>
      <c r="E50" s="468" t="s">
        <v>450</v>
      </c>
      <c r="F50" s="468" t="s">
        <v>450</v>
      </c>
      <c r="G50" s="474">
        <v>17222.8</v>
      </c>
      <c r="H50" s="468"/>
      <c r="I50" s="468">
        <v>2674.8</v>
      </c>
      <c r="J50" s="468">
        <v>527</v>
      </c>
      <c r="K50" s="468"/>
      <c r="L50" s="468">
        <v>64.599999999999994</v>
      </c>
      <c r="M50" s="468">
        <v>13807.7</v>
      </c>
      <c r="N50" s="468">
        <v>148.69999999999999</v>
      </c>
      <c r="O50" s="468"/>
      <c r="P50" s="468"/>
      <c r="Q50" s="474">
        <v>117125.4</v>
      </c>
      <c r="R50" s="474">
        <v>3768.3</v>
      </c>
      <c r="S50" s="474">
        <v>2301.6</v>
      </c>
      <c r="T50" s="474">
        <v>35754.1</v>
      </c>
      <c r="U50" s="475"/>
      <c r="V50" s="517">
        <f t="shared" si="0"/>
        <v>176172.2</v>
      </c>
    </row>
    <row r="51" spans="2:22" ht="15">
      <c r="B51" s="480" t="s">
        <v>493</v>
      </c>
      <c r="C51" s="659">
        <v>53893.033000000003</v>
      </c>
      <c r="D51" s="660">
        <v>0</v>
      </c>
      <c r="E51" s="659">
        <v>0</v>
      </c>
      <c r="F51" s="659" t="s">
        <v>588</v>
      </c>
      <c r="G51" s="659">
        <v>0</v>
      </c>
      <c r="H51" s="659">
        <v>0</v>
      </c>
      <c r="I51" s="659">
        <v>0</v>
      </c>
      <c r="J51" s="659">
        <v>0</v>
      </c>
      <c r="K51" s="659">
        <v>0</v>
      </c>
      <c r="L51" s="659">
        <v>0</v>
      </c>
      <c r="M51" s="659">
        <v>0</v>
      </c>
      <c r="N51" s="659">
        <v>0</v>
      </c>
      <c r="O51" s="659">
        <v>0</v>
      </c>
      <c r="P51" s="659">
        <f t="shared" ref="P51" si="2">G51-SUM(H51:O51)</f>
        <v>0</v>
      </c>
      <c r="Q51" s="659">
        <v>13816.061</v>
      </c>
      <c r="R51" s="661">
        <v>18923.371999999999</v>
      </c>
      <c r="S51" s="659">
        <v>0</v>
      </c>
      <c r="T51" s="659">
        <v>21153.599999999999</v>
      </c>
      <c r="U51" s="660">
        <v>0</v>
      </c>
      <c r="V51" s="517">
        <f t="shared" si="0"/>
        <v>53893.032999999996</v>
      </c>
    </row>
    <row r="52" spans="2:22">
      <c r="B52" s="481" t="s">
        <v>494</v>
      </c>
      <c r="C52" s="468">
        <v>18409.8</v>
      </c>
      <c r="D52" s="657"/>
      <c r="E52" s="468" t="s">
        <v>450</v>
      </c>
      <c r="F52" s="468" t="s">
        <v>450</v>
      </c>
      <c r="G52" s="468">
        <v>357.1</v>
      </c>
      <c r="H52" s="468"/>
      <c r="I52" s="468">
        <v>118.6</v>
      </c>
      <c r="J52" s="468"/>
      <c r="K52" s="468"/>
      <c r="L52" s="468"/>
      <c r="M52" s="468">
        <v>136.5</v>
      </c>
      <c r="N52" s="468">
        <v>102</v>
      </c>
      <c r="O52" s="468"/>
      <c r="P52" s="468"/>
      <c r="Q52" s="468">
        <v>3816.2</v>
      </c>
      <c r="R52" s="468">
        <v>668.3</v>
      </c>
      <c r="S52" s="468">
        <v>930.4</v>
      </c>
      <c r="T52" s="468">
        <v>12637.8</v>
      </c>
      <c r="U52" s="469"/>
      <c r="V52" s="517">
        <f t="shared" si="0"/>
        <v>18409.8</v>
      </c>
    </row>
    <row r="53" spans="2:22">
      <c r="B53" s="481" t="s">
        <v>495</v>
      </c>
      <c r="C53" s="468">
        <v>140738.5</v>
      </c>
      <c r="D53" s="657"/>
      <c r="E53" s="468" t="s">
        <v>450</v>
      </c>
      <c r="F53" s="468" t="s">
        <v>450</v>
      </c>
      <c r="G53" s="468">
        <v>3192</v>
      </c>
      <c r="H53" s="468"/>
      <c r="I53" s="468">
        <v>2546.6999999999998</v>
      </c>
      <c r="J53" s="468">
        <v>51.8</v>
      </c>
      <c r="K53" s="468"/>
      <c r="L53" s="468">
        <v>64.599999999999994</v>
      </c>
      <c r="M53" s="468">
        <v>528.9</v>
      </c>
      <c r="N53" s="468"/>
      <c r="O53" s="468"/>
      <c r="P53" s="468"/>
      <c r="Q53" s="468">
        <v>112410.8</v>
      </c>
      <c r="R53" s="468">
        <v>3045.4</v>
      </c>
      <c r="S53" s="468">
        <v>1371.2</v>
      </c>
      <c r="T53" s="468">
        <v>20719.099999999999</v>
      </c>
      <c r="U53" s="469"/>
      <c r="V53" s="517">
        <f t="shared" si="0"/>
        <v>140738.5</v>
      </c>
    </row>
    <row r="54" spans="2:22">
      <c r="B54" s="481" t="s">
        <v>496</v>
      </c>
      <c r="C54" s="468" t="s">
        <v>450</v>
      </c>
      <c r="D54" s="657"/>
      <c r="E54" s="468" t="s">
        <v>450</v>
      </c>
      <c r="F54" s="468" t="s">
        <v>450</v>
      </c>
      <c r="G54" s="468" t="s">
        <v>450</v>
      </c>
      <c r="H54" s="468"/>
      <c r="I54" s="468"/>
      <c r="J54" s="468"/>
      <c r="K54" s="468"/>
      <c r="L54" s="468"/>
      <c r="M54" s="468"/>
      <c r="N54" s="468"/>
      <c r="O54" s="468"/>
      <c r="P54" s="468"/>
      <c r="Q54" s="468"/>
      <c r="R54" s="468"/>
      <c r="S54" s="468"/>
      <c r="T54" s="468"/>
      <c r="U54" s="469"/>
      <c r="V54" s="517">
        <f t="shared" si="0"/>
        <v>0</v>
      </c>
    </row>
    <row r="55" spans="2:22" ht="16" thickBot="1">
      <c r="B55" s="484" t="s">
        <v>497</v>
      </c>
      <c r="C55" s="485">
        <v>22482.9</v>
      </c>
      <c r="D55" s="485"/>
      <c r="E55" s="486" t="s">
        <v>450</v>
      </c>
      <c r="F55" s="486" t="s">
        <v>450</v>
      </c>
      <c r="G55" s="485">
        <v>20831.8</v>
      </c>
      <c r="H55" s="486"/>
      <c r="I55" s="486">
        <v>237.1</v>
      </c>
      <c r="J55" s="486"/>
      <c r="K55" s="486">
        <v>246.1</v>
      </c>
      <c r="L55" s="486"/>
      <c r="M55" s="486"/>
      <c r="N55" s="486">
        <v>509.8</v>
      </c>
      <c r="O55" s="486">
        <v>8668.7000000000007</v>
      </c>
      <c r="P55" s="486">
        <v>11170.1</v>
      </c>
      <c r="Q55" s="485">
        <v>1519.4</v>
      </c>
      <c r="R55" s="486"/>
      <c r="S55" s="486"/>
      <c r="T55" s="486"/>
      <c r="U55" s="487">
        <v>131.69999999999999</v>
      </c>
      <c r="V55" s="517">
        <f t="shared" si="0"/>
        <v>22482.900000000005</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55"/>
  <sheetViews>
    <sheetView showGridLines="0" workbookViewId="0">
      <pane xSplit="3" ySplit="5" topLeftCell="P7" activePane="bottomRight" state="frozen"/>
      <selection pane="topRight" activeCell="D1" sqref="D1"/>
      <selection pane="bottomLeft" activeCell="A6" sqref="A6"/>
      <selection pane="bottomRight" activeCell="D6" sqref="D6"/>
    </sheetView>
  </sheetViews>
  <sheetFormatPr baseColWidth="10" defaultColWidth="9.1640625" defaultRowHeight="14"/>
  <cols>
    <col min="1" max="1" width="5.6640625" style="488" customWidth="1"/>
    <col min="2" max="2" width="31.5" style="488" bestFit="1" customWidth="1"/>
    <col min="3" max="4" width="11.6640625" style="488" customWidth="1"/>
    <col min="5" max="5" width="12" style="488" customWidth="1"/>
    <col min="6" max="21" width="11.6640625" style="488" customWidth="1"/>
    <col min="22" max="22" width="14.5" style="461" customWidth="1"/>
    <col min="23" max="257" width="9.1640625" style="488"/>
    <col min="258" max="258" width="5.6640625" style="488" customWidth="1"/>
    <col min="259" max="259" width="31.5" style="488" bestFit="1" customWidth="1"/>
    <col min="260" max="260" width="11.6640625" style="488" customWidth="1"/>
    <col min="261" max="261" width="12" style="488" customWidth="1"/>
    <col min="262" max="277" width="11.6640625" style="488" customWidth="1"/>
    <col min="278" max="513" width="9.1640625" style="488"/>
    <col min="514" max="514" width="5.6640625" style="488" customWidth="1"/>
    <col min="515" max="515" width="31.5" style="488" bestFit="1" customWidth="1"/>
    <col min="516" max="516" width="11.6640625" style="488" customWidth="1"/>
    <col min="517" max="517" width="12" style="488" customWidth="1"/>
    <col min="518" max="533" width="11.6640625" style="488" customWidth="1"/>
    <col min="534" max="769" width="9.1640625" style="488"/>
    <col min="770" max="770" width="5.6640625" style="488" customWidth="1"/>
    <col min="771" max="771" width="31.5" style="488" bestFit="1" customWidth="1"/>
    <col min="772" max="772" width="11.6640625" style="488" customWidth="1"/>
    <col min="773" max="773" width="12" style="488" customWidth="1"/>
    <col min="774" max="789" width="11.6640625" style="488" customWidth="1"/>
    <col min="790" max="1025" width="9.1640625" style="488"/>
    <col min="1026" max="1026" width="5.6640625" style="488" customWidth="1"/>
    <col min="1027" max="1027" width="31.5" style="488" bestFit="1" customWidth="1"/>
    <col min="1028" max="1028" width="11.6640625" style="488" customWidth="1"/>
    <col min="1029" max="1029" width="12" style="488" customWidth="1"/>
    <col min="1030" max="1045" width="11.6640625" style="488" customWidth="1"/>
    <col min="1046" max="1281" width="9.1640625" style="488"/>
    <col min="1282" max="1282" width="5.6640625" style="488" customWidth="1"/>
    <col min="1283" max="1283" width="31.5" style="488" bestFit="1" customWidth="1"/>
    <col min="1284" max="1284" width="11.6640625" style="488" customWidth="1"/>
    <col min="1285" max="1285" width="12" style="488" customWidth="1"/>
    <col min="1286" max="1301" width="11.6640625" style="488" customWidth="1"/>
    <col min="1302" max="1537" width="9.1640625" style="488"/>
    <col min="1538" max="1538" width="5.6640625" style="488" customWidth="1"/>
    <col min="1539" max="1539" width="31.5" style="488" bestFit="1" customWidth="1"/>
    <col min="1540" max="1540" width="11.6640625" style="488" customWidth="1"/>
    <col min="1541" max="1541" width="12" style="488" customWidth="1"/>
    <col min="1542" max="1557" width="11.6640625" style="488" customWidth="1"/>
    <col min="1558" max="1793" width="9.1640625" style="488"/>
    <col min="1794" max="1794" width="5.6640625" style="488" customWidth="1"/>
    <col min="1795" max="1795" width="31.5" style="488" bestFit="1" customWidth="1"/>
    <col min="1796" max="1796" width="11.6640625" style="488" customWidth="1"/>
    <col min="1797" max="1797" width="12" style="488" customWidth="1"/>
    <col min="1798" max="1813" width="11.6640625" style="488" customWidth="1"/>
    <col min="1814" max="2049" width="9.1640625" style="488"/>
    <col min="2050" max="2050" width="5.6640625" style="488" customWidth="1"/>
    <col min="2051" max="2051" width="31.5" style="488" bestFit="1" customWidth="1"/>
    <col min="2052" max="2052" width="11.6640625" style="488" customWidth="1"/>
    <col min="2053" max="2053" width="12" style="488" customWidth="1"/>
    <col min="2054" max="2069" width="11.6640625" style="488" customWidth="1"/>
    <col min="2070" max="2305" width="9.1640625" style="488"/>
    <col min="2306" max="2306" width="5.6640625" style="488" customWidth="1"/>
    <col min="2307" max="2307" width="31.5" style="488" bestFit="1" customWidth="1"/>
    <col min="2308" max="2308" width="11.6640625" style="488" customWidth="1"/>
    <col min="2309" max="2309" width="12" style="488" customWidth="1"/>
    <col min="2310" max="2325" width="11.6640625" style="488" customWidth="1"/>
    <col min="2326" max="2561" width="9.1640625" style="488"/>
    <col min="2562" max="2562" width="5.6640625" style="488" customWidth="1"/>
    <col min="2563" max="2563" width="31.5" style="488" bestFit="1" customWidth="1"/>
    <col min="2564" max="2564" width="11.6640625" style="488" customWidth="1"/>
    <col min="2565" max="2565" width="12" style="488" customWidth="1"/>
    <col min="2566" max="2581" width="11.6640625" style="488" customWidth="1"/>
    <col min="2582" max="2817" width="9.1640625" style="488"/>
    <col min="2818" max="2818" width="5.6640625" style="488" customWidth="1"/>
    <col min="2819" max="2819" width="31.5" style="488" bestFit="1" customWidth="1"/>
    <col min="2820" max="2820" width="11.6640625" style="488" customWidth="1"/>
    <col min="2821" max="2821" width="12" style="488" customWidth="1"/>
    <col min="2822" max="2837" width="11.6640625" style="488" customWidth="1"/>
    <col min="2838" max="3073" width="9.1640625" style="488"/>
    <col min="3074" max="3074" width="5.6640625" style="488" customWidth="1"/>
    <col min="3075" max="3075" width="31.5" style="488" bestFit="1" customWidth="1"/>
    <col min="3076" max="3076" width="11.6640625" style="488" customWidth="1"/>
    <col min="3077" max="3077" width="12" style="488" customWidth="1"/>
    <col min="3078" max="3093" width="11.6640625" style="488" customWidth="1"/>
    <col min="3094" max="3329" width="9.1640625" style="488"/>
    <col min="3330" max="3330" width="5.6640625" style="488" customWidth="1"/>
    <col min="3331" max="3331" width="31.5" style="488" bestFit="1" customWidth="1"/>
    <col min="3332" max="3332" width="11.6640625" style="488" customWidth="1"/>
    <col min="3333" max="3333" width="12" style="488" customWidth="1"/>
    <col min="3334" max="3349" width="11.6640625" style="488" customWidth="1"/>
    <col min="3350" max="3585" width="9.1640625" style="488"/>
    <col min="3586" max="3586" width="5.6640625" style="488" customWidth="1"/>
    <col min="3587" max="3587" width="31.5" style="488" bestFit="1" customWidth="1"/>
    <col min="3588" max="3588" width="11.6640625" style="488" customWidth="1"/>
    <col min="3589" max="3589" width="12" style="488" customWidth="1"/>
    <col min="3590" max="3605" width="11.6640625" style="488" customWidth="1"/>
    <col min="3606" max="3841" width="9.1640625" style="488"/>
    <col min="3842" max="3842" width="5.6640625" style="488" customWidth="1"/>
    <col min="3843" max="3843" width="31.5" style="488" bestFit="1" customWidth="1"/>
    <col min="3844" max="3844" width="11.6640625" style="488" customWidth="1"/>
    <col min="3845" max="3845" width="12" style="488" customWidth="1"/>
    <col min="3846" max="3861" width="11.6640625" style="488" customWidth="1"/>
    <col min="3862" max="4097" width="9.1640625" style="488"/>
    <col min="4098" max="4098" width="5.6640625" style="488" customWidth="1"/>
    <col min="4099" max="4099" width="31.5" style="488" bestFit="1" customWidth="1"/>
    <col min="4100" max="4100" width="11.6640625" style="488" customWidth="1"/>
    <col min="4101" max="4101" width="12" style="488" customWidth="1"/>
    <col min="4102" max="4117" width="11.6640625" style="488" customWidth="1"/>
    <col min="4118" max="4353" width="9.1640625" style="488"/>
    <col min="4354" max="4354" width="5.6640625" style="488" customWidth="1"/>
    <col min="4355" max="4355" width="31.5" style="488" bestFit="1" customWidth="1"/>
    <col min="4356" max="4356" width="11.6640625" style="488" customWidth="1"/>
    <col min="4357" max="4357" width="12" style="488" customWidth="1"/>
    <col min="4358" max="4373" width="11.6640625" style="488" customWidth="1"/>
    <col min="4374" max="4609" width="9.1640625" style="488"/>
    <col min="4610" max="4610" width="5.6640625" style="488" customWidth="1"/>
    <col min="4611" max="4611" width="31.5" style="488" bestFit="1" customWidth="1"/>
    <col min="4612" max="4612" width="11.6640625" style="488" customWidth="1"/>
    <col min="4613" max="4613" width="12" style="488" customWidth="1"/>
    <col min="4614" max="4629" width="11.6640625" style="488" customWidth="1"/>
    <col min="4630" max="4865" width="9.1640625" style="488"/>
    <col min="4866" max="4866" width="5.6640625" style="488" customWidth="1"/>
    <col min="4867" max="4867" width="31.5" style="488" bestFit="1" customWidth="1"/>
    <col min="4868" max="4868" width="11.6640625" style="488" customWidth="1"/>
    <col min="4869" max="4869" width="12" style="488" customWidth="1"/>
    <col min="4870" max="4885" width="11.6640625" style="488" customWidth="1"/>
    <col min="4886" max="5121" width="9.1640625" style="488"/>
    <col min="5122" max="5122" width="5.6640625" style="488" customWidth="1"/>
    <col min="5123" max="5123" width="31.5" style="488" bestFit="1" customWidth="1"/>
    <col min="5124" max="5124" width="11.6640625" style="488" customWidth="1"/>
    <col min="5125" max="5125" width="12" style="488" customWidth="1"/>
    <col min="5126" max="5141" width="11.6640625" style="488" customWidth="1"/>
    <col min="5142" max="5377" width="9.1640625" style="488"/>
    <col min="5378" max="5378" width="5.6640625" style="488" customWidth="1"/>
    <col min="5379" max="5379" width="31.5" style="488" bestFit="1" customWidth="1"/>
    <col min="5380" max="5380" width="11.6640625" style="488" customWidth="1"/>
    <col min="5381" max="5381" width="12" style="488" customWidth="1"/>
    <col min="5382" max="5397" width="11.6640625" style="488" customWidth="1"/>
    <col min="5398" max="5633" width="9.1640625" style="488"/>
    <col min="5634" max="5634" width="5.6640625" style="488" customWidth="1"/>
    <col min="5635" max="5635" width="31.5" style="488" bestFit="1" customWidth="1"/>
    <col min="5636" max="5636" width="11.6640625" style="488" customWidth="1"/>
    <col min="5637" max="5637" width="12" style="488" customWidth="1"/>
    <col min="5638" max="5653" width="11.6640625" style="488" customWidth="1"/>
    <col min="5654" max="5889" width="9.1640625" style="488"/>
    <col min="5890" max="5890" width="5.6640625" style="488" customWidth="1"/>
    <col min="5891" max="5891" width="31.5" style="488" bestFit="1" customWidth="1"/>
    <col min="5892" max="5892" width="11.6640625" style="488" customWidth="1"/>
    <col min="5893" max="5893" width="12" style="488" customWidth="1"/>
    <col min="5894" max="5909" width="11.6640625" style="488" customWidth="1"/>
    <col min="5910" max="6145" width="9.1640625" style="488"/>
    <col min="6146" max="6146" width="5.6640625" style="488" customWidth="1"/>
    <col min="6147" max="6147" width="31.5" style="488" bestFit="1" customWidth="1"/>
    <col min="6148" max="6148" width="11.6640625" style="488" customWidth="1"/>
    <col min="6149" max="6149" width="12" style="488" customWidth="1"/>
    <col min="6150" max="6165" width="11.6640625" style="488" customWidth="1"/>
    <col min="6166" max="6401" width="9.1640625" style="488"/>
    <col min="6402" max="6402" width="5.6640625" style="488" customWidth="1"/>
    <col min="6403" max="6403" width="31.5" style="488" bestFit="1" customWidth="1"/>
    <col min="6404" max="6404" width="11.6640625" style="488" customWidth="1"/>
    <col min="6405" max="6405" width="12" style="488" customWidth="1"/>
    <col min="6406" max="6421" width="11.6640625" style="488" customWidth="1"/>
    <col min="6422" max="6657" width="9.1640625" style="488"/>
    <col min="6658" max="6658" width="5.6640625" style="488" customWidth="1"/>
    <col min="6659" max="6659" width="31.5" style="488" bestFit="1" customWidth="1"/>
    <col min="6660" max="6660" width="11.6640625" style="488" customWidth="1"/>
    <col min="6661" max="6661" width="12" style="488" customWidth="1"/>
    <col min="6662" max="6677" width="11.6640625" style="488" customWidth="1"/>
    <col min="6678" max="6913" width="9.1640625" style="488"/>
    <col min="6914" max="6914" width="5.6640625" style="488" customWidth="1"/>
    <col min="6915" max="6915" width="31.5" style="488" bestFit="1" customWidth="1"/>
    <col min="6916" max="6916" width="11.6640625" style="488" customWidth="1"/>
    <col min="6917" max="6917" width="12" style="488" customWidth="1"/>
    <col min="6918" max="6933" width="11.6640625" style="488" customWidth="1"/>
    <col min="6934" max="7169" width="9.1640625" style="488"/>
    <col min="7170" max="7170" width="5.6640625" style="488" customWidth="1"/>
    <col min="7171" max="7171" width="31.5" style="488" bestFit="1" customWidth="1"/>
    <col min="7172" max="7172" width="11.6640625" style="488" customWidth="1"/>
    <col min="7173" max="7173" width="12" style="488" customWidth="1"/>
    <col min="7174" max="7189" width="11.6640625" style="488" customWidth="1"/>
    <col min="7190" max="7425" width="9.1640625" style="488"/>
    <col min="7426" max="7426" width="5.6640625" style="488" customWidth="1"/>
    <col min="7427" max="7427" width="31.5" style="488" bestFit="1" customWidth="1"/>
    <col min="7428" max="7428" width="11.6640625" style="488" customWidth="1"/>
    <col min="7429" max="7429" width="12" style="488" customWidth="1"/>
    <col min="7430" max="7445" width="11.6640625" style="488" customWidth="1"/>
    <col min="7446" max="7681" width="9.1640625" style="488"/>
    <col min="7682" max="7682" width="5.6640625" style="488" customWidth="1"/>
    <col min="7683" max="7683" width="31.5" style="488" bestFit="1" customWidth="1"/>
    <col min="7684" max="7684" width="11.6640625" style="488" customWidth="1"/>
    <col min="7685" max="7685" width="12" style="488" customWidth="1"/>
    <col min="7686" max="7701" width="11.6640625" style="488" customWidth="1"/>
    <col min="7702" max="7937" width="9.1640625" style="488"/>
    <col min="7938" max="7938" width="5.6640625" style="488" customWidth="1"/>
    <col min="7939" max="7939" width="31.5" style="488" bestFit="1" customWidth="1"/>
    <col min="7940" max="7940" width="11.6640625" style="488" customWidth="1"/>
    <col min="7941" max="7941" width="12" style="488" customWidth="1"/>
    <col min="7942" max="7957" width="11.6640625" style="488" customWidth="1"/>
    <col min="7958" max="8193" width="9.1640625" style="488"/>
    <col min="8194" max="8194" width="5.6640625" style="488" customWidth="1"/>
    <col min="8195" max="8195" width="31.5" style="488" bestFit="1" customWidth="1"/>
    <col min="8196" max="8196" width="11.6640625" style="488" customWidth="1"/>
    <col min="8197" max="8197" width="12" style="488" customWidth="1"/>
    <col min="8198" max="8213" width="11.6640625" style="488" customWidth="1"/>
    <col min="8214" max="8449" width="9.1640625" style="488"/>
    <col min="8450" max="8450" width="5.6640625" style="488" customWidth="1"/>
    <col min="8451" max="8451" width="31.5" style="488" bestFit="1" customWidth="1"/>
    <col min="8452" max="8452" width="11.6640625" style="488" customWidth="1"/>
    <col min="8453" max="8453" width="12" style="488" customWidth="1"/>
    <col min="8454" max="8469" width="11.6640625" style="488" customWidth="1"/>
    <col min="8470" max="8705" width="9.1640625" style="488"/>
    <col min="8706" max="8706" width="5.6640625" style="488" customWidth="1"/>
    <col min="8707" max="8707" width="31.5" style="488" bestFit="1" customWidth="1"/>
    <col min="8708" max="8708" width="11.6640625" style="488" customWidth="1"/>
    <col min="8709" max="8709" width="12" style="488" customWidth="1"/>
    <col min="8710" max="8725" width="11.6640625" style="488" customWidth="1"/>
    <col min="8726" max="8961" width="9.1640625" style="488"/>
    <col min="8962" max="8962" width="5.6640625" style="488" customWidth="1"/>
    <col min="8963" max="8963" width="31.5" style="488" bestFit="1" customWidth="1"/>
    <col min="8964" max="8964" width="11.6640625" style="488" customWidth="1"/>
    <col min="8965" max="8965" width="12" style="488" customWidth="1"/>
    <col min="8966" max="8981" width="11.6640625" style="488" customWidth="1"/>
    <col min="8982" max="9217" width="9.1640625" style="488"/>
    <col min="9218" max="9218" width="5.6640625" style="488" customWidth="1"/>
    <col min="9219" max="9219" width="31.5" style="488" bestFit="1" customWidth="1"/>
    <col min="9220" max="9220" width="11.6640625" style="488" customWidth="1"/>
    <col min="9221" max="9221" width="12" style="488" customWidth="1"/>
    <col min="9222" max="9237" width="11.6640625" style="488" customWidth="1"/>
    <col min="9238" max="9473" width="9.1640625" style="488"/>
    <col min="9474" max="9474" width="5.6640625" style="488" customWidth="1"/>
    <col min="9475" max="9475" width="31.5" style="488" bestFit="1" customWidth="1"/>
    <col min="9476" max="9476" width="11.6640625" style="488" customWidth="1"/>
    <col min="9477" max="9477" width="12" style="488" customWidth="1"/>
    <col min="9478" max="9493" width="11.6640625" style="488" customWidth="1"/>
    <col min="9494" max="9729" width="9.1640625" style="488"/>
    <col min="9730" max="9730" width="5.6640625" style="488" customWidth="1"/>
    <col min="9731" max="9731" width="31.5" style="488" bestFit="1" customWidth="1"/>
    <col min="9732" max="9732" width="11.6640625" style="488" customWidth="1"/>
    <col min="9733" max="9733" width="12" style="488" customWidth="1"/>
    <col min="9734" max="9749" width="11.6640625" style="488" customWidth="1"/>
    <col min="9750" max="9985" width="9.1640625" style="488"/>
    <col min="9986" max="9986" width="5.6640625" style="488" customWidth="1"/>
    <col min="9987" max="9987" width="31.5" style="488" bestFit="1" customWidth="1"/>
    <col min="9988" max="9988" width="11.6640625" style="488" customWidth="1"/>
    <col min="9989" max="9989" width="12" style="488" customWidth="1"/>
    <col min="9990" max="10005" width="11.6640625" style="488" customWidth="1"/>
    <col min="10006" max="10241" width="9.1640625" style="488"/>
    <col min="10242" max="10242" width="5.6640625" style="488" customWidth="1"/>
    <col min="10243" max="10243" width="31.5" style="488" bestFit="1" customWidth="1"/>
    <col min="10244" max="10244" width="11.6640625" style="488" customWidth="1"/>
    <col min="10245" max="10245" width="12" style="488" customWidth="1"/>
    <col min="10246" max="10261" width="11.6640625" style="488" customWidth="1"/>
    <col min="10262" max="10497" width="9.1640625" style="488"/>
    <col min="10498" max="10498" width="5.6640625" style="488" customWidth="1"/>
    <col min="10499" max="10499" width="31.5" style="488" bestFit="1" customWidth="1"/>
    <col min="10500" max="10500" width="11.6640625" style="488" customWidth="1"/>
    <col min="10501" max="10501" width="12" style="488" customWidth="1"/>
    <col min="10502" max="10517" width="11.6640625" style="488" customWidth="1"/>
    <col min="10518" max="10753" width="9.1640625" style="488"/>
    <col min="10754" max="10754" width="5.6640625" style="488" customWidth="1"/>
    <col min="10755" max="10755" width="31.5" style="488" bestFit="1" customWidth="1"/>
    <col min="10756" max="10756" width="11.6640625" style="488" customWidth="1"/>
    <col min="10757" max="10757" width="12" style="488" customWidth="1"/>
    <col min="10758" max="10773" width="11.6640625" style="488" customWidth="1"/>
    <col min="10774" max="11009" width="9.1640625" style="488"/>
    <col min="11010" max="11010" width="5.6640625" style="488" customWidth="1"/>
    <col min="11011" max="11011" width="31.5" style="488" bestFit="1" customWidth="1"/>
    <col min="11012" max="11012" width="11.6640625" style="488" customWidth="1"/>
    <col min="11013" max="11013" width="12" style="488" customWidth="1"/>
    <col min="11014" max="11029" width="11.6640625" style="488" customWidth="1"/>
    <col min="11030" max="11265" width="9.1640625" style="488"/>
    <col min="11266" max="11266" width="5.6640625" style="488" customWidth="1"/>
    <col min="11267" max="11267" width="31.5" style="488" bestFit="1" customWidth="1"/>
    <col min="11268" max="11268" width="11.6640625" style="488" customWidth="1"/>
    <col min="11269" max="11269" width="12" style="488" customWidth="1"/>
    <col min="11270" max="11285" width="11.6640625" style="488" customWidth="1"/>
    <col min="11286" max="11521" width="9.1640625" style="488"/>
    <col min="11522" max="11522" width="5.6640625" style="488" customWidth="1"/>
    <col min="11523" max="11523" width="31.5" style="488" bestFit="1" customWidth="1"/>
    <col min="11524" max="11524" width="11.6640625" style="488" customWidth="1"/>
    <col min="11525" max="11525" width="12" style="488" customWidth="1"/>
    <col min="11526" max="11541" width="11.6640625" style="488" customWidth="1"/>
    <col min="11542" max="11777" width="9.1640625" style="488"/>
    <col min="11778" max="11778" width="5.6640625" style="488" customWidth="1"/>
    <col min="11779" max="11779" width="31.5" style="488" bestFit="1" customWidth="1"/>
    <col min="11780" max="11780" width="11.6640625" style="488" customWidth="1"/>
    <col min="11781" max="11781" width="12" style="488" customWidth="1"/>
    <col min="11782" max="11797" width="11.6640625" style="488" customWidth="1"/>
    <col min="11798" max="12033" width="9.1640625" style="488"/>
    <col min="12034" max="12034" width="5.6640625" style="488" customWidth="1"/>
    <col min="12035" max="12035" width="31.5" style="488" bestFit="1" customWidth="1"/>
    <col min="12036" max="12036" width="11.6640625" style="488" customWidth="1"/>
    <col min="12037" max="12037" width="12" style="488" customWidth="1"/>
    <col min="12038" max="12053" width="11.6640625" style="488" customWidth="1"/>
    <col min="12054" max="12289" width="9.1640625" style="488"/>
    <col min="12290" max="12290" width="5.6640625" style="488" customWidth="1"/>
    <col min="12291" max="12291" width="31.5" style="488" bestFit="1" customWidth="1"/>
    <col min="12292" max="12292" width="11.6640625" style="488" customWidth="1"/>
    <col min="12293" max="12293" width="12" style="488" customWidth="1"/>
    <col min="12294" max="12309" width="11.6640625" style="488" customWidth="1"/>
    <col min="12310" max="12545" width="9.1640625" style="488"/>
    <col min="12546" max="12546" width="5.6640625" style="488" customWidth="1"/>
    <col min="12547" max="12547" width="31.5" style="488" bestFit="1" customWidth="1"/>
    <col min="12548" max="12548" width="11.6640625" style="488" customWidth="1"/>
    <col min="12549" max="12549" width="12" style="488" customWidth="1"/>
    <col min="12550" max="12565" width="11.6640625" style="488" customWidth="1"/>
    <col min="12566" max="12801" width="9.1640625" style="488"/>
    <col min="12802" max="12802" width="5.6640625" style="488" customWidth="1"/>
    <col min="12803" max="12803" width="31.5" style="488" bestFit="1" customWidth="1"/>
    <col min="12804" max="12804" width="11.6640625" style="488" customWidth="1"/>
    <col min="12805" max="12805" width="12" style="488" customWidth="1"/>
    <col min="12806" max="12821" width="11.6640625" style="488" customWidth="1"/>
    <col min="12822" max="13057" width="9.1640625" style="488"/>
    <col min="13058" max="13058" width="5.6640625" style="488" customWidth="1"/>
    <col min="13059" max="13059" width="31.5" style="488" bestFit="1" customWidth="1"/>
    <col min="13060" max="13060" width="11.6640625" style="488" customWidth="1"/>
    <col min="13061" max="13061" width="12" style="488" customWidth="1"/>
    <col min="13062" max="13077" width="11.6640625" style="488" customWidth="1"/>
    <col min="13078" max="13313" width="9.1640625" style="488"/>
    <col min="13314" max="13314" width="5.6640625" style="488" customWidth="1"/>
    <col min="13315" max="13315" width="31.5" style="488" bestFit="1" customWidth="1"/>
    <col min="13316" max="13316" width="11.6640625" style="488" customWidth="1"/>
    <col min="13317" max="13317" width="12" style="488" customWidth="1"/>
    <col min="13318" max="13333" width="11.6640625" style="488" customWidth="1"/>
    <col min="13334" max="13569" width="9.1640625" style="488"/>
    <col min="13570" max="13570" width="5.6640625" style="488" customWidth="1"/>
    <col min="13571" max="13571" width="31.5" style="488" bestFit="1" customWidth="1"/>
    <col min="13572" max="13572" width="11.6640625" style="488" customWidth="1"/>
    <col min="13573" max="13573" width="12" style="488" customWidth="1"/>
    <col min="13574" max="13589" width="11.6640625" style="488" customWidth="1"/>
    <col min="13590" max="13825" width="9.1640625" style="488"/>
    <col min="13826" max="13826" width="5.6640625" style="488" customWidth="1"/>
    <col min="13827" max="13827" width="31.5" style="488" bestFit="1" customWidth="1"/>
    <col min="13828" max="13828" width="11.6640625" style="488" customWidth="1"/>
    <col min="13829" max="13829" width="12" style="488" customWidth="1"/>
    <col min="13830" max="13845" width="11.6640625" style="488" customWidth="1"/>
    <col min="13846" max="14081" width="9.1640625" style="488"/>
    <col min="14082" max="14082" width="5.6640625" style="488" customWidth="1"/>
    <col min="14083" max="14083" width="31.5" style="488" bestFit="1" customWidth="1"/>
    <col min="14084" max="14084" width="11.6640625" style="488" customWidth="1"/>
    <col min="14085" max="14085" width="12" style="488" customWidth="1"/>
    <col min="14086" max="14101" width="11.6640625" style="488" customWidth="1"/>
    <col min="14102" max="14337" width="9.1640625" style="488"/>
    <col min="14338" max="14338" width="5.6640625" style="488" customWidth="1"/>
    <col min="14339" max="14339" width="31.5" style="488" bestFit="1" customWidth="1"/>
    <col min="14340" max="14340" width="11.6640625" style="488" customWidth="1"/>
    <col min="14341" max="14341" width="12" style="488" customWidth="1"/>
    <col min="14342" max="14357" width="11.6640625" style="488" customWidth="1"/>
    <col min="14358" max="14593" width="9.1640625" style="488"/>
    <col min="14594" max="14594" width="5.6640625" style="488" customWidth="1"/>
    <col min="14595" max="14595" width="31.5" style="488" bestFit="1" customWidth="1"/>
    <col min="14596" max="14596" width="11.6640625" style="488" customWidth="1"/>
    <col min="14597" max="14597" width="12" style="488" customWidth="1"/>
    <col min="14598" max="14613" width="11.6640625" style="488" customWidth="1"/>
    <col min="14614" max="14849" width="9.1640625" style="488"/>
    <col min="14850" max="14850" width="5.6640625" style="488" customWidth="1"/>
    <col min="14851" max="14851" width="31.5" style="488" bestFit="1" customWidth="1"/>
    <col min="14852" max="14852" width="11.6640625" style="488" customWidth="1"/>
    <col min="14853" max="14853" width="12" style="488" customWidth="1"/>
    <col min="14854" max="14869" width="11.6640625" style="488" customWidth="1"/>
    <col min="14870" max="15105" width="9.1640625" style="488"/>
    <col min="15106" max="15106" width="5.6640625" style="488" customWidth="1"/>
    <col min="15107" max="15107" width="31.5" style="488" bestFit="1" customWidth="1"/>
    <col min="15108" max="15108" width="11.6640625" style="488" customWidth="1"/>
    <col min="15109" max="15109" width="12" style="488" customWidth="1"/>
    <col min="15110" max="15125" width="11.6640625" style="488" customWidth="1"/>
    <col min="15126" max="15361" width="9.1640625" style="488"/>
    <col min="15362" max="15362" width="5.6640625" style="488" customWidth="1"/>
    <col min="15363" max="15363" width="31.5" style="488" bestFit="1" customWidth="1"/>
    <col min="15364" max="15364" width="11.6640625" style="488" customWidth="1"/>
    <col min="15365" max="15365" width="12" style="488" customWidth="1"/>
    <col min="15366" max="15381" width="11.6640625" style="488" customWidth="1"/>
    <col min="15382" max="15617" width="9.1640625" style="488"/>
    <col min="15618" max="15618" width="5.6640625" style="488" customWidth="1"/>
    <col min="15619" max="15619" width="31.5" style="488" bestFit="1" customWidth="1"/>
    <col min="15620" max="15620" width="11.6640625" style="488" customWidth="1"/>
    <col min="15621" max="15621" width="12" style="488" customWidth="1"/>
    <col min="15622" max="15637" width="11.6640625" style="488" customWidth="1"/>
    <col min="15638" max="15873" width="9.1640625" style="488"/>
    <col min="15874" max="15874" width="5.6640625" style="488" customWidth="1"/>
    <col min="15875" max="15875" width="31.5" style="488" bestFit="1" customWidth="1"/>
    <col min="15876" max="15876" width="11.6640625" style="488" customWidth="1"/>
    <col min="15877" max="15877" width="12" style="488" customWidth="1"/>
    <col min="15878" max="15893" width="11.6640625" style="488" customWidth="1"/>
    <col min="15894" max="16129" width="9.1640625" style="488"/>
    <col min="16130" max="16130" width="5.6640625" style="488" customWidth="1"/>
    <col min="16131" max="16131" width="31.5" style="488" bestFit="1" customWidth="1"/>
    <col min="16132" max="16132" width="11.6640625" style="488" customWidth="1"/>
    <col min="16133" max="16133" width="12" style="488" customWidth="1"/>
    <col min="16134" max="16149" width="11.6640625" style="488" customWidth="1"/>
    <col min="16150" max="16384" width="9.1640625" style="488"/>
  </cols>
  <sheetData>
    <row r="1" spans="2:22" s="461" customFormat="1" ht="15">
      <c r="D1" s="461" t="s">
        <v>55</v>
      </c>
      <c r="I1" s="461" t="s">
        <v>53</v>
      </c>
      <c r="J1" s="461" t="s">
        <v>79</v>
      </c>
      <c r="M1" s="461" t="s">
        <v>68</v>
      </c>
      <c r="N1" s="461" t="s">
        <v>54</v>
      </c>
      <c r="Q1" s="461" t="s">
        <v>51</v>
      </c>
      <c r="R1" s="129" t="s">
        <v>437</v>
      </c>
      <c r="S1" s="461" t="s">
        <v>52</v>
      </c>
      <c r="T1" s="461" t="s">
        <v>50</v>
      </c>
      <c r="U1" s="461" t="s">
        <v>589</v>
      </c>
      <c r="V1" s="461" t="s">
        <v>57</v>
      </c>
    </row>
    <row r="2" spans="2:22">
      <c r="B2" s="676" t="s">
        <v>498</v>
      </c>
      <c r="C2" s="676"/>
      <c r="D2" s="676"/>
      <c r="E2" s="676"/>
      <c r="F2" s="676"/>
      <c r="G2" s="676"/>
      <c r="H2" s="676"/>
      <c r="I2" s="676"/>
      <c r="J2" s="676"/>
      <c r="K2" s="676"/>
      <c r="L2" s="676"/>
      <c r="M2" s="676"/>
      <c r="N2" s="676"/>
      <c r="O2" s="676"/>
      <c r="P2" s="676"/>
      <c r="Q2" s="676"/>
      <c r="R2" s="676"/>
      <c r="S2" s="676"/>
      <c r="T2" s="676"/>
      <c r="U2" s="676"/>
    </row>
    <row r="3" spans="2:22" ht="15" thickBot="1">
      <c r="B3" s="677" t="s">
        <v>430</v>
      </c>
      <c r="C3" s="677"/>
      <c r="D3" s="677"/>
      <c r="E3" s="677"/>
      <c r="F3" s="677"/>
      <c r="G3" s="677"/>
      <c r="H3" s="677"/>
      <c r="I3" s="677"/>
      <c r="J3" s="677"/>
      <c r="K3" s="677"/>
      <c r="L3" s="677"/>
      <c r="M3" s="677"/>
      <c r="N3" s="677"/>
      <c r="O3" s="677"/>
      <c r="P3" s="677"/>
      <c r="Q3" s="677"/>
      <c r="R3" s="677"/>
      <c r="S3" s="677"/>
      <c r="T3" s="677"/>
      <c r="U3" s="677"/>
    </row>
    <row r="4" spans="2:22" s="489" customFormat="1" ht="18.75" customHeight="1">
      <c r="B4" s="689"/>
      <c r="C4" s="687" t="s">
        <v>431</v>
      </c>
      <c r="D4" s="635"/>
      <c r="E4" s="687" t="s">
        <v>432</v>
      </c>
      <c r="F4" s="687" t="s">
        <v>433</v>
      </c>
      <c r="G4" s="687" t="s">
        <v>434</v>
      </c>
      <c r="H4" s="691" t="s">
        <v>435</v>
      </c>
      <c r="I4" s="692"/>
      <c r="J4" s="692"/>
      <c r="K4" s="692"/>
      <c r="L4" s="692"/>
      <c r="M4" s="692"/>
      <c r="N4" s="692"/>
      <c r="O4" s="692"/>
      <c r="P4" s="693"/>
      <c r="Q4" s="687" t="s">
        <v>436</v>
      </c>
      <c r="R4" s="687" t="s">
        <v>437</v>
      </c>
      <c r="S4" s="687" t="s">
        <v>438</v>
      </c>
      <c r="T4" s="687" t="s">
        <v>439</v>
      </c>
      <c r="U4" s="685" t="s">
        <v>587</v>
      </c>
      <c r="V4" s="685" t="s">
        <v>57</v>
      </c>
    </row>
    <row r="5" spans="2:22" s="492" customFormat="1" ht="50.25" customHeight="1" thickBot="1">
      <c r="B5" s="690"/>
      <c r="C5" s="688"/>
      <c r="D5" s="636" t="s">
        <v>586</v>
      </c>
      <c r="E5" s="688"/>
      <c r="F5" s="688"/>
      <c r="G5" s="688"/>
      <c r="H5" s="490" t="s">
        <v>440</v>
      </c>
      <c r="I5" s="490" t="s">
        <v>441</v>
      </c>
      <c r="J5" s="490" t="s">
        <v>442</v>
      </c>
      <c r="K5" s="490" t="s">
        <v>443</v>
      </c>
      <c r="L5" s="490" t="s">
        <v>444</v>
      </c>
      <c r="M5" s="490" t="s">
        <v>499</v>
      </c>
      <c r="N5" s="491" t="s">
        <v>500</v>
      </c>
      <c r="O5" s="490" t="s">
        <v>447</v>
      </c>
      <c r="P5" s="490" t="s">
        <v>448</v>
      </c>
      <c r="Q5" s="688"/>
      <c r="R5" s="688"/>
      <c r="S5" s="688"/>
      <c r="T5" s="688"/>
      <c r="U5" s="686"/>
      <c r="V5" s="686"/>
    </row>
    <row r="6" spans="2:22" ht="15">
      <c r="B6" s="464" t="s">
        <v>449</v>
      </c>
      <c r="C6" s="493">
        <v>2557914.5</v>
      </c>
      <c r="D6" s="493"/>
      <c r="E6" s="493">
        <v>1793930</v>
      </c>
      <c r="F6" s="493" t="s">
        <v>450</v>
      </c>
      <c r="G6" s="493" t="s">
        <v>450</v>
      </c>
      <c r="H6" s="493" t="s">
        <v>450</v>
      </c>
      <c r="I6" s="493" t="s">
        <v>450</v>
      </c>
      <c r="J6" s="493" t="s">
        <v>450</v>
      </c>
      <c r="K6" s="493" t="s">
        <v>450</v>
      </c>
      <c r="L6" s="493" t="s">
        <v>450</v>
      </c>
      <c r="M6" s="493" t="s">
        <v>450</v>
      </c>
      <c r="N6" s="493" t="s">
        <v>450</v>
      </c>
      <c r="O6" s="493" t="s">
        <v>450</v>
      </c>
      <c r="P6" s="493" t="s">
        <v>450</v>
      </c>
      <c r="Q6" s="493">
        <v>751362.1</v>
      </c>
      <c r="R6" s="493">
        <v>12622.4</v>
      </c>
      <c r="S6" s="493" t="s">
        <v>450</v>
      </c>
      <c r="T6" s="493" t="s">
        <v>450</v>
      </c>
      <c r="U6" s="494" t="s">
        <v>450</v>
      </c>
      <c r="V6" s="517">
        <f>SUM(H6:U6)+D6</f>
        <v>763984.5</v>
      </c>
    </row>
    <row r="7" spans="2:22">
      <c r="B7" s="467" t="s">
        <v>451</v>
      </c>
      <c r="C7" s="495">
        <v>12895.3</v>
      </c>
      <c r="D7" s="649"/>
      <c r="E7" s="495" t="s">
        <v>450</v>
      </c>
      <c r="F7" s="495" t="s">
        <v>450</v>
      </c>
      <c r="G7" s="495">
        <v>11847.4</v>
      </c>
      <c r="H7" s="495" t="s">
        <v>450</v>
      </c>
      <c r="I7" s="495" t="s">
        <v>450</v>
      </c>
      <c r="J7" s="495">
        <v>1978.4</v>
      </c>
      <c r="K7" s="495" t="s">
        <v>450</v>
      </c>
      <c r="L7" s="495">
        <v>624.29999999999995</v>
      </c>
      <c r="M7" s="495">
        <v>528.9</v>
      </c>
      <c r="N7" s="495">
        <v>5734.8</v>
      </c>
      <c r="O7" s="495" t="s">
        <v>450</v>
      </c>
      <c r="P7" s="495">
        <v>2981</v>
      </c>
      <c r="Q7" s="495" t="s">
        <v>450</v>
      </c>
      <c r="R7" s="495" t="s">
        <v>450</v>
      </c>
      <c r="S7" s="495" t="s">
        <v>450</v>
      </c>
      <c r="T7" s="495">
        <v>387</v>
      </c>
      <c r="U7" s="496">
        <v>660.9</v>
      </c>
      <c r="V7" s="517">
        <f t="shared" ref="V7:V55" si="0">SUM(H7:U7)+D7</f>
        <v>12895.3</v>
      </c>
    </row>
    <row r="8" spans="2:22">
      <c r="B8" s="467" t="s">
        <v>452</v>
      </c>
      <c r="C8" s="495">
        <v>-1928627.4</v>
      </c>
      <c r="D8" s="649"/>
      <c r="E8" s="495">
        <v>-1513026</v>
      </c>
      <c r="F8" s="495" t="s">
        <v>450</v>
      </c>
      <c r="G8" s="495">
        <v>-96495.9</v>
      </c>
      <c r="H8" s="495" t="s">
        <v>450</v>
      </c>
      <c r="I8" s="495">
        <v>-735.1</v>
      </c>
      <c r="J8" s="495">
        <v>-203</v>
      </c>
      <c r="K8" s="495">
        <v>-10210.700000000001</v>
      </c>
      <c r="L8" s="495" t="s">
        <v>450</v>
      </c>
      <c r="M8" s="495">
        <v>-70595.7</v>
      </c>
      <c r="N8" s="495">
        <v>-4817.2</v>
      </c>
      <c r="O8" s="495" t="s">
        <v>450</v>
      </c>
      <c r="P8" s="495">
        <v>-9934.2000000000007</v>
      </c>
      <c r="Q8" s="495">
        <v>-318151.5</v>
      </c>
      <c r="R8" s="495" t="s">
        <v>450</v>
      </c>
      <c r="S8" s="495" t="s">
        <v>450</v>
      </c>
      <c r="T8" s="495">
        <v>-954</v>
      </c>
      <c r="U8" s="496" t="s">
        <v>450</v>
      </c>
      <c r="V8" s="517">
        <f t="shared" si="0"/>
        <v>-415601.4</v>
      </c>
    </row>
    <row r="9" spans="2:22" ht="15">
      <c r="B9" s="470" t="s">
        <v>453</v>
      </c>
      <c r="C9" s="495">
        <v>-13573.9</v>
      </c>
      <c r="D9" s="649"/>
      <c r="E9" s="495" t="s">
        <v>450</v>
      </c>
      <c r="F9" s="495" t="s">
        <v>450</v>
      </c>
      <c r="G9" s="495">
        <v>-13573.9</v>
      </c>
      <c r="H9" s="495" t="s">
        <v>450</v>
      </c>
      <c r="I9" s="495" t="s">
        <v>450</v>
      </c>
      <c r="J9" s="495" t="s">
        <v>450</v>
      </c>
      <c r="K9" s="495">
        <v>-11441.1</v>
      </c>
      <c r="L9" s="495" t="s">
        <v>450</v>
      </c>
      <c r="M9" s="495">
        <v>-2132.8000000000002</v>
      </c>
      <c r="N9" s="495" t="s">
        <v>450</v>
      </c>
      <c r="O9" s="495" t="s">
        <v>450</v>
      </c>
      <c r="P9" s="495" t="s">
        <v>450</v>
      </c>
      <c r="Q9" s="495" t="s">
        <v>450</v>
      </c>
      <c r="R9" s="495" t="s">
        <v>450</v>
      </c>
      <c r="S9" s="495" t="s">
        <v>450</v>
      </c>
      <c r="T9" s="495" t="s">
        <v>450</v>
      </c>
      <c r="U9" s="496" t="s">
        <v>450</v>
      </c>
      <c r="V9" s="517">
        <f t="shared" si="0"/>
        <v>-13573.900000000001</v>
      </c>
    </row>
    <row r="10" spans="2:22">
      <c r="B10" s="471" t="s">
        <v>454</v>
      </c>
      <c r="C10" s="495">
        <v>-2132.8000000000002</v>
      </c>
      <c r="D10" s="649"/>
      <c r="E10" s="495" t="s">
        <v>450</v>
      </c>
      <c r="F10" s="495" t="s">
        <v>450</v>
      </c>
      <c r="G10" s="495">
        <v>-2132.8000000000002</v>
      </c>
      <c r="H10" s="495" t="s">
        <v>450</v>
      </c>
      <c r="I10" s="495" t="s">
        <v>450</v>
      </c>
      <c r="J10" s="495" t="s">
        <v>450</v>
      </c>
      <c r="K10" s="495" t="s">
        <v>450</v>
      </c>
      <c r="L10" s="495" t="s">
        <v>450</v>
      </c>
      <c r="M10" s="495">
        <v>-2132.8000000000002</v>
      </c>
      <c r="N10" s="495" t="s">
        <v>450</v>
      </c>
      <c r="O10" s="495" t="s">
        <v>450</v>
      </c>
      <c r="P10" s="495" t="s">
        <v>450</v>
      </c>
      <c r="Q10" s="495" t="s">
        <v>450</v>
      </c>
      <c r="R10" s="495" t="s">
        <v>450</v>
      </c>
      <c r="S10" s="495" t="s">
        <v>450</v>
      </c>
      <c r="T10" s="495" t="s">
        <v>450</v>
      </c>
      <c r="U10" s="496" t="s">
        <v>450</v>
      </c>
      <c r="V10" s="517">
        <f t="shared" si="0"/>
        <v>-2132.8000000000002</v>
      </c>
    </row>
    <row r="11" spans="2:22">
      <c r="B11" s="471" t="s">
        <v>455</v>
      </c>
      <c r="C11" s="495">
        <v>-11441.1</v>
      </c>
      <c r="D11" s="649"/>
      <c r="E11" s="495" t="s">
        <v>450</v>
      </c>
      <c r="F11" s="495" t="s">
        <v>450</v>
      </c>
      <c r="G11" s="495">
        <v>-11441.1</v>
      </c>
      <c r="H11" s="495" t="s">
        <v>450</v>
      </c>
      <c r="I11" s="495" t="s">
        <v>450</v>
      </c>
      <c r="J11" s="495" t="s">
        <v>450</v>
      </c>
      <c r="K11" s="495">
        <v>-11441.1</v>
      </c>
      <c r="L11" s="495" t="s">
        <v>450</v>
      </c>
      <c r="M11" s="495" t="s">
        <v>450</v>
      </c>
      <c r="N11" s="495" t="s">
        <v>450</v>
      </c>
      <c r="O11" s="495" t="s">
        <v>450</v>
      </c>
      <c r="P11" s="495" t="s">
        <v>450</v>
      </c>
      <c r="Q11" s="495" t="s">
        <v>450</v>
      </c>
      <c r="R11" s="495" t="s">
        <v>450</v>
      </c>
      <c r="S11" s="495" t="s">
        <v>450</v>
      </c>
      <c r="T11" s="495" t="s">
        <v>450</v>
      </c>
      <c r="U11" s="496" t="s">
        <v>450</v>
      </c>
      <c r="V11" s="517">
        <f t="shared" si="0"/>
        <v>-11441.1</v>
      </c>
    </row>
    <row r="12" spans="2:22">
      <c r="B12" s="472" t="s">
        <v>456</v>
      </c>
      <c r="C12" s="495">
        <v>23320.1</v>
      </c>
      <c r="D12" s="649"/>
      <c r="E12" s="495">
        <v>2572.6999999999998</v>
      </c>
      <c r="F12" s="495" t="s">
        <v>450</v>
      </c>
      <c r="G12" s="495">
        <v>7955.7</v>
      </c>
      <c r="H12" s="495" t="s">
        <v>450</v>
      </c>
      <c r="I12" s="495">
        <v>-170.7</v>
      </c>
      <c r="J12" s="495">
        <v>2168.5</v>
      </c>
      <c r="K12" s="495">
        <v>354</v>
      </c>
      <c r="L12" s="495">
        <v>-43</v>
      </c>
      <c r="M12" s="495">
        <v>2218.1</v>
      </c>
      <c r="N12" s="495">
        <v>2663.5</v>
      </c>
      <c r="O12" s="495">
        <v>122.8</v>
      </c>
      <c r="P12" s="495">
        <v>642.5</v>
      </c>
      <c r="Q12" s="495">
        <v>12651.5</v>
      </c>
      <c r="R12" s="495">
        <v>37.799999999999997</v>
      </c>
      <c r="S12" s="495" t="s">
        <v>450</v>
      </c>
      <c r="T12" s="495" t="s">
        <v>450</v>
      </c>
      <c r="U12" s="496">
        <v>102.4</v>
      </c>
      <c r="V12" s="517">
        <f t="shared" si="0"/>
        <v>20747.400000000001</v>
      </c>
    </row>
    <row r="13" spans="2:22">
      <c r="B13" s="473" t="s">
        <v>457</v>
      </c>
      <c r="C13" s="497">
        <v>651928.6</v>
      </c>
      <c r="D13" s="650"/>
      <c r="E13" s="497">
        <v>283476.7</v>
      </c>
      <c r="F13" s="495" t="s">
        <v>450</v>
      </c>
      <c r="G13" s="497">
        <v>-90266.7</v>
      </c>
      <c r="H13" s="495" t="s">
        <v>450</v>
      </c>
      <c r="I13" s="495">
        <v>-905.8</v>
      </c>
      <c r="J13" s="495">
        <v>3943.9</v>
      </c>
      <c r="K13" s="495">
        <v>-21297.8</v>
      </c>
      <c r="L13" s="495">
        <v>581.29999999999995</v>
      </c>
      <c r="M13" s="495">
        <v>-69981.5</v>
      </c>
      <c r="N13" s="495">
        <v>3581.1</v>
      </c>
      <c r="O13" s="495">
        <v>122.8</v>
      </c>
      <c r="P13" s="495">
        <v>-6310.7</v>
      </c>
      <c r="Q13" s="497">
        <v>445862.1</v>
      </c>
      <c r="R13" s="497">
        <v>12660.2</v>
      </c>
      <c r="S13" s="495" t="s">
        <v>450</v>
      </c>
      <c r="T13" s="497">
        <v>-567</v>
      </c>
      <c r="U13" s="498">
        <v>763.3</v>
      </c>
      <c r="V13" s="517">
        <f t="shared" si="0"/>
        <v>368451.9</v>
      </c>
    </row>
    <row r="14" spans="2:22">
      <c r="B14" s="476" t="s">
        <v>458</v>
      </c>
      <c r="C14" s="497">
        <v>6271</v>
      </c>
      <c r="D14" s="650"/>
      <c r="E14" s="497">
        <v>1585.9</v>
      </c>
      <c r="F14" s="495" t="s">
        <v>450</v>
      </c>
      <c r="G14" s="497">
        <v>2512.8000000000002</v>
      </c>
      <c r="H14" s="495" t="s">
        <v>450</v>
      </c>
      <c r="I14" s="495">
        <v>33.4</v>
      </c>
      <c r="J14" s="495">
        <v>846.7</v>
      </c>
      <c r="K14" s="495" t="s">
        <v>450</v>
      </c>
      <c r="L14" s="495">
        <v>86.1</v>
      </c>
      <c r="M14" s="495">
        <v>1032.2</v>
      </c>
      <c r="N14" s="495">
        <v>72.400000000000006</v>
      </c>
      <c r="O14" s="495">
        <v>429.9</v>
      </c>
      <c r="P14" s="495">
        <v>12.1</v>
      </c>
      <c r="Q14" s="497">
        <v>1785.3</v>
      </c>
      <c r="R14" s="495" t="s">
        <v>450</v>
      </c>
      <c r="S14" s="495" t="s">
        <v>450</v>
      </c>
      <c r="T14" s="497">
        <v>387</v>
      </c>
      <c r="U14" s="496" t="s">
        <v>450</v>
      </c>
      <c r="V14" s="517">
        <f t="shared" si="0"/>
        <v>4685.1000000000004</v>
      </c>
    </row>
    <row r="15" spans="2:22">
      <c r="B15" s="476" t="s">
        <v>459</v>
      </c>
      <c r="C15" s="495" t="s">
        <v>450</v>
      </c>
      <c r="D15" s="649"/>
      <c r="E15" s="495" t="s">
        <v>450</v>
      </c>
      <c r="F15" s="495" t="s">
        <v>450</v>
      </c>
      <c r="G15" s="495" t="s">
        <v>450</v>
      </c>
      <c r="H15" s="495" t="s">
        <v>450</v>
      </c>
      <c r="I15" s="495" t="s">
        <v>450</v>
      </c>
      <c r="J15" s="495" t="s">
        <v>450</v>
      </c>
      <c r="K15" s="495" t="s">
        <v>450</v>
      </c>
      <c r="L15" s="495" t="s">
        <v>450</v>
      </c>
      <c r="M15" s="495" t="s">
        <v>450</v>
      </c>
      <c r="N15" s="495" t="s">
        <v>450</v>
      </c>
      <c r="O15" s="495" t="s">
        <v>450</v>
      </c>
      <c r="P15" s="495" t="s">
        <v>450</v>
      </c>
      <c r="Q15" s="495" t="s">
        <v>450</v>
      </c>
      <c r="R15" s="495" t="s">
        <v>450</v>
      </c>
      <c r="S15" s="495" t="s">
        <v>450</v>
      </c>
      <c r="T15" s="495" t="s">
        <v>450</v>
      </c>
      <c r="U15" s="496" t="s">
        <v>450</v>
      </c>
      <c r="V15" s="517">
        <f t="shared" si="0"/>
        <v>0</v>
      </c>
    </row>
    <row r="16" spans="2:22">
      <c r="B16" s="476" t="s">
        <v>460</v>
      </c>
      <c r="C16" s="497">
        <v>-159995.5</v>
      </c>
      <c r="D16" s="650"/>
      <c r="E16" s="497">
        <v>-279456</v>
      </c>
      <c r="F16" s="495" t="s">
        <v>450</v>
      </c>
      <c r="G16" s="497">
        <v>253727.1</v>
      </c>
      <c r="H16" s="495">
        <v>9170.6</v>
      </c>
      <c r="I16" s="495">
        <v>8171.4</v>
      </c>
      <c r="J16" s="495">
        <v>52868.800000000003</v>
      </c>
      <c r="K16" s="495">
        <v>29725.3</v>
      </c>
      <c r="L16" s="495" t="s">
        <v>450</v>
      </c>
      <c r="M16" s="495">
        <v>116800.7</v>
      </c>
      <c r="N16" s="495">
        <v>-2756.9</v>
      </c>
      <c r="O16" s="495">
        <v>7034.9</v>
      </c>
      <c r="P16" s="495">
        <v>32712.3</v>
      </c>
      <c r="Q16" s="497">
        <v>-220267.1</v>
      </c>
      <c r="R16" s="497">
        <v>-9378.7999999999993</v>
      </c>
      <c r="S16" s="497">
        <v>6501.1</v>
      </c>
      <c r="T16" s="497">
        <v>88878.2</v>
      </c>
      <c r="U16" s="496" t="s">
        <v>450</v>
      </c>
      <c r="V16" s="517">
        <f t="shared" si="0"/>
        <v>119460.49999999997</v>
      </c>
    </row>
    <row r="17" spans="2:22">
      <c r="B17" s="471" t="s">
        <v>461</v>
      </c>
      <c r="C17" s="495">
        <v>-90683.7</v>
      </c>
      <c r="D17" s="649"/>
      <c r="E17" s="495" t="s">
        <v>450</v>
      </c>
      <c r="F17" s="495" t="s">
        <v>450</v>
      </c>
      <c r="G17" s="495">
        <v>-2396.6</v>
      </c>
      <c r="H17" s="495" t="s">
        <v>450</v>
      </c>
      <c r="I17" s="495" t="s">
        <v>450</v>
      </c>
      <c r="J17" s="495" t="s">
        <v>450</v>
      </c>
      <c r="K17" s="495" t="s">
        <v>450</v>
      </c>
      <c r="L17" s="495" t="s">
        <v>450</v>
      </c>
      <c r="M17" s="495">
        <v>-174.9</v>
      </c>
      <c r="N17" s="495">
        <v>-2221.6999999999998</v>
      </c>
      <c r="O17" s="495" t="s">
        <v>450</v>
      </c>
      <c r="P17" s="495" t="s">
        <v>450</v>
      </c>
      <c r="Q17" s="495">
        <v>-139135.6</v>
      </c>
      <c r="R17" s="495">
        <v>-8964.7999999999993</v>
      </c>
      <c r="S17" s="495" t="s">
        <v>450</v>
      </c>
      <c r="T17" s="495">
        <v>59813.3</v>
      </c>
      <c r="U17" s="496" t="s">
        <v>450</v>
      </c>
      <c r="V17" s="517">
        <f t="shared" si="0"/>
        <v>-90683.7</v>
      </c>
    </row>
    <row r="18" spans="2:22">
      <c r="B18" s="471" t="s">
        <v>462</v>
      </c>
      <c r="C18" s="495">
        <v>-57810.3</v>
      </c>
      <c r="D18" s="649"/>
      <c r="E18" s="495" t="s">
        <v>450</v>
      </c>
      <c r="F18" s="495" t="s">
        <v>450</v>
      </c>
      <c r="G18" s="495">
        <v>-14315.8</v>
      </c>
      <c r="H18" s="495" t="s">
        <v>450</v>
      </c>
      <c r="I18" s="495" t="s">
        <v>450</v>
      </c>
      <c r="J18" s="495" t="s">
        <v>450</v>
      </c>
      <c r="K18" s="495" t="s">
        <v>450</v>
      </c>
      <c r="L18" s="495" t="s">
        <v>450</v>
      </c>
      <c r="M18" s="495">
        <v>-17</v>
      </c>
      <c r="N18" s="495">
        <v>-14298.8</v>
      </c>
      <c r="O18" s="495" t="s">
        <v>450</v>
      </c>
      <c r="P18" s="495" t="s">
        <v>450</v>
      </c>
      <c r="Q18" s="495">
        <v>-73635.899999999994</v>
      </c>
      <c r="R18" s="495" t="s">
        <v>450</v>
      </c>
      <c r="S18" s="495">
        <v>1076.5</v>
      </c>
      <c r="T18" s="495">
        <v>29064.9</v>
      </c>
      <c r="U18" s="496" t="s">
        <v>450</v>
      </c>
      <c r="V18" s="517">
        <f t="shared" si="0"/>
        <v>-57810.299999999996</v>
      </c>
    </row>
    <row r="19" spans="2:22">
      <c r="B19" s="471" t="s">
        <v>463</v>
      </c>
      <c r="C19" s="495">
        <v>-1814.6</v>
      </c>
      <c r="D19" s="649"/>
      <c r="E19" s="495" t="s">
        <v>450</v>
      </c>
      <c r="F19" s="495" t="s">
        <v>450</v>
      </c>
      <c r="G19" s="495">
        <v>-17</v>
      </c>
      <c r="H19" s="495" t="s">
        <v>450</v>
      </c>
      <c r="I19" s="495" t="s">
        <v>450</v>
      </c>
      <c r="J19" s="495" t="s">
        <v>450</v>
      </c>
      <c r="K19" s="495" t="s">
        <v>450</v>
      </c>
      <c r="L19" s="495" t="s">
        <v>450</v>
      </c>
      <c r="M19" s="495">
        <v>-4.3</v>
      </c>
      <c r="N19" s="495">
        <v>-12.7</v>
      </c>
      <c r="O19" s="495" t="s">
        <v>450</v>
      </c>
      <c r="P19" s="495" t="s">
        <v>450</v>
      </c>
      <c r="Q19" s="495">
        <v>-7222.2</v>
      </c>
      <c r="R19" s="495" t="s">
        <v>450</v>
      </c>
      <c r="S19" s="495">
        <v>5424.6</v>
      </c>
      <c r="T19" s="495" t="s">
        <v>450</v>
      </c>
      <c r="U19" s="496" t="s">
        <v>450</v>
      </c>
      <c r="V19" s="517">
        <f t="shared" si="0"/>
        <v>-1814.5999999999995</v>
      </c>
    </row>
    <row r="20" spans="2:22">
      <c r="B20" s="471" t="s">
        <v>464</v>
      </c>
      <c r="C20" s="495">
        <v>1524.6</v>
      </c>
      <c r="D20" s="649"/>
      <c r="E20" s="495" t="s">
        <v>450</v>
      </c>
      <c r="F20" s="495" t="s">
        <v>450</v>
      </c>
      <c r="G20" s="495">
        <v>1798</v>
      </c>
      <c r="H20" s="495" t="s">
        <v>450</v>
      </c>
      <c r="I20" s="495">
        <v>711.4</v>
      </c>
      <c r="J20" s="495" t="s">
        <v>450</v>
      </c>
      <c r="K20" s="495" t="s">
        <v>450</v>
      </c>
      <c r="L20" s="495" t="s">
        <v>450</v>
      </c>
      <c r="M20" s="495" t="s">
        <v>450</v>
      </c>
      <c r="N20" s="495" t="s">
        <v>450</v>
      </c>
      <c r="O20" s="495" t="s">
        <v>450</v>
      </c>
      <c r="P20" s="495">
        <v>1086.5999999999999</v>
      </c>
      <c r="Q20" s="495">
        <v>-273.39999999999998</v>
      </c>
      <c r="R20" s="495" t="s">
        <v>450</v>
      </c>
      <c r="S20" s="495" t="s">
        <v>450</v>
      </c>
      <c r="T20" s="495" t="s">
        <v>450</v>
      </c>
      <c r="U20" s="496" t="s">
        <v>450</v>
      </c>
      <c r="V20" s="517">
        <f t="shared" si="0"/>
        <v>1524.6</v>
      </c>
    </row>
    <row r="21" spans="2:22">
      <c r="B21" s="471" t="s">
        <v>465</v>
      </c>
      <c r="C21" s="495" t="s">
        <v>450</v>
      </c>
      <c r="D21" s="649"/>
      <c r="E21" s="495" t="s">
        <v>450</v>
      </c>
      <c r="F21" s="495" t="s">
        <v>450</v>
      </c>
      <c r="G21" s="495" t="s">
        <v>450</v>
      </c>
      <c r="H21" s="495" t="s">
        <v>450</v>
      </c>
      <c r="I21" s="495" t="s">
        <v>450</v>
      </c>
      <c r="J21" s="495" t="s">
        <v>450</v>
      </c>
      <c r="K21" s="495" t="s">
        <v>450</v>
      </c>
      <c r="L21" s="495" t="s">
        <v>450</v>
      </c>
      <c r="M21" s="495" t="s">
        <v>450</v>
      </c>
      <c r="N21" s="495" t="s">
        <v>450</v>
      </c>
      <c r="O21" s="495" t="s">
        <v>450</v>
      </c>
      <c r="P21" s="495" t="s">
        <v>450</v>
      </c>
      <c r="Q21" s="495" t="s">
        <v>450</v>
      </c>
      <c r="R21" s="495" t="s">
        <v>450</v>
      </c>
      <c r="S21" s="495" t="s">
        <v>450</v>
      </c>
      <c r="T21" s="495" t="s">
        <v>450</v>
      </c>
      <c r="U21" s="496" t="s">
        <v>450</v>
      </c>
      <c r="V21" s="517">
        <f t="shared" si="0"/>
        <v>0</v>
      </c>
    </row>
    <row r="22" spans="2:22" ht="15">
      <c r="B22" s="477" t="s">
        <v>466</v>
      </c>
      <c r="C22" s="495">
        <v>-11785.7</v>
      </c>
      <c r="D22" s="649"/>
      <c r="E22" s="495">
        <v>-279456</v>
      </c>
      <c r="F22" s="495" t="s">
        <v>450</v>
      </c>
      <c r="G22" s="495">
        <v>267670.3</v>
      </c>
      <c r="H22" s="495">
        <v>9170.6</v>
      </c>
      <c r="I22" s="495">
        <v>7460</v>
      </c>
      <c r="J22" s="495">
        <v>52868.800000000003</v>
      </c>
      <c r="K22" s="495">
        <v>29725.3</v>
      </c>
      <c r="L22" s="495" t="s">
        <v>450</v>
      </c>
      <c r="M22" s="495">
        <v>116996.9</v>
      </c>
      <c r="N22" s="495">
        <v>13776.3</v>
      </c>
      <c r="O22" s="495">
        <v>7034.9</v>
      </c>
      <c r="P22" s="495">
        <v>30637.5</v>
      </c>
      <c r="Q22" s="495" t="s">
        <v>450</v>
      </c>
      <c r="R22" s="495" t="s">
        <v>450</v>
      </c>
      <c r="S22" s="495" t="s">
        <v>450</v>
      </c>
      <c r="T22" s="495" t="s">
        <v>450</v>
      </c>
      <c r="U22" s="496" t="s">
        <v>450</v>
      </c>
      <c r="V22" s="517">
        <f t="shared" si="0"/>
        <v>267670.29999999993</v>
      </c>
    </row>
    <row r="23" spans="2:22" ht="15">
      <c r="B23" s="477" t="s">
        <v>467</v>
      </c>
      <c r="C23" s="495">
        <v>988.2</v>
      </c>
      <c r="D23" s="649"/>
      <c r="E23" s="495" t="s">
        <v>450</v>
      </c>
      <c r="F23" s="495" t="s">
        <v>450</v>
      </c>
      <c r="G23" s="495">
        <v>988.2</v>
      </c>
      <c r="H23" s="495" t="s">
        <v>450</v>
      </c>
      <c r="I23" s="495" t="s">
        <v>450</v>
      </c>
      <c r="J23" s="495" t="s">
        <v>450</v>
      </c>
      <c r="K23" s="495" t="s">
        <v>450</v>
      </c>
      <c r="L23" s="495" t="s">
        <v>450</v>
      </c>
      <c r="M23" s="495" t="s">
        <v>450</v>
      </c>
      <c r="N23" s="495" t="s">
        <v>450</v>
      </c>
      <c r="O23" s="495" t="s">
        <v>450</v>
      </c>
      <c r="P23" s="495">
        <v>988.2</v>
      </c>
      <c r="Q23" s="495" t="s">
        <v>450</v>
      </c>
      <c r="R23" s="495" t="s">
        <v>450</v>
      </c>
      <c r="S23" s="495" t="s">
        <v>450</v>
      </c>
      <c r="T23" s="495" t="s">
        <v>450</v>
      </c>
      <c r="U23" s="496" t="s">
        <v>450</v>
      </c>
      <c r="V23" s="517">
        <f t="shared" si="0"/>
        <v>988.2</v>
      </c>
    </row>
    <row r="24" spans="2:22">
      <c r="B24" s="471" t="s">
        <v>468</v>
      </c>
      <c r="C24" s="495">
        <v>-414</v>
      </c>
      <c r="D24" s="649"/>
      <c r="E24" s="495" t="s">
        <v>450</v>
      </c>
      <c r="F24" s="495" t="s">
        <v>450</v>
      </c>
      <c r="G24" s="495" t="s">
        <v>450</v>
      </c>
      <c r="H24" s="495" t="s">
        <v>450</v>
      </c>
      <c r="I24" s="495" t="s">
        <v>450</v>
      </c>
      <c r="J24" s="495" t="s">
        <v>450</v>
      </c>
      <c r="K24" s="495" t="s">
        <v>450</v>
      </c>
      <c r="L24" s="495" t="s">
        <v>450</v>
      </c>
      <c r="M24" s="495" t="s">
        <v>450</v>
      </c>
      <c r="N24" s="495" t="s">
        <v>450</v>
      </c>
      <c r="O24" s="495" t="s">
        <v>450</v>
      </c>
      <c r="P24" s="495" t="s">
        <v>450</v>
      </c>
      <c r="Q24" s="495" t="s">
        <v>450</v>
      </c>
      <c r="R24" s="495">
        <v>-414</v>
      </c>
      <c r="S24" s="495" t="s">
        <v>450</v>
      </c>
      <c r="T24" s="495" t="s">
        <v>450</v>
      </c>
      <c r="U24" s="496" t="s">
        <v>450</v>
      </c>
      <c r="V24" s="517">
        <f t="shared" si="0"/>
        <v>-414</v>
      </c>
    </row>
    <row r="25" spans="2:22" ht="15">
      <c r="B25" s="478" t="s">
        <v>469</v>
      </c>
      <c r="C25" s="497">
        <v>48858</v>
      </c>
      <c r="D25" s="650"/>
      <c r="E25" s="497">
        <v>491.3</v>
      </c>
      <c r="F25" s="495" t="s">
        <v>450</v>
      </c>
      <c r="G25" s="497">
        <v>13938.9</v>
      </c>
      <c r="H25" s="495">
        <v>9170.6</v>
      </c>
      <c r="I25" s="495" t="s">
        <v>450</v>
      </c>
      <c r="J25" s="495" t="s">
        <v>450</v>
      </c>
      <c r="K25" s="495" t="s">
        <v>450</v>
      </c>
      <c r="L25" s="495" t="s">
        <v>450</v>
      </c>
      <c r="M25" s="495" t="s">
        <v>450</v>
      </c>
      <c r="N25" s="495" t="s">
        <v>450</v>
      </c>
      <c r="O25" s="495" t="s">
        <v>450</v>
      </c>
      <c r="P25" s="495">
        <v>4768.3</v>
      </c>
      <c r="Q25" s="497">
        <v>19647.2</v>
      </c>
      <c r="R25" s="495" t="s">
        <v>450</v>
      </c>
      <c r="S25" s="497">
        <v>612.1</v>
      </c>
      <c r="T25" s="497">
        <v>14168.5</v>
      </c>
      <c r="U25" s="496" t="s">
        <v>450</v>
      </c>
      <c r="V25" s="517">
        <f t="shared" si="0"/>
        <v>48366.700000000004</v>
      </c>
    </row>
    <row r="26" spans="2:22" ht="15">
      <c r="B26" s="478" t="s">
        <v>470</v>
      </c>
      <c r="C26" s="497">
        <v>55461.8</v>
      </c>
      <c r="D26" s="650"/>
      <c r="E26" s="497">
        <v>1943.5</v>
      </c>
      <c r="F26" s="495" t="s">
        <v>450</v>
      </c>
      <c r="G26" s="495" t="s">
        <v>450</v>
      </c>
      <c r="H26" s="495" t="s">
        <v>450</v>
      </c>
      <c r="I26" s="495" t="s">
        <v>450</v>
      </c>
      <c r="J26" s="495" t="s">
        <v>450</v>
      </c>
      <c r="K26" s="495" t="s">
        <v>450</v>
      </c>
      <c r="L26" s="495" t="s">
        <v>450</v>
      </c>
      <c r="M26" s="495" t="s">
        <v>450</v>
      </c>
      <c r="N26" s="495" t="s">
        <v>450</v>
      </c>
      <c r="O26" s="495" t="s">
        <v>450</v>
      </c>
      <c r="P26" s="495" t="s">
        <v>450</v>
      </c>
      <c r="Q26" s="497">
        <v>42458.2</v>
      </c>
      <c r="R26" s="495" t="s">
        <v>450</v>
      </c>
      <c r="S26" s="497">
        <v>733.1</v>
      </c>
      <c r="T26" s="497">
        <v>10327</v>
      </c>
      <c r="U26" s="496" t="s">
        <v>450</v>
      </c>
      <c r="V26" s="517">
        <f t="shared" si="0"/>
        <v>53518.299999999996</v>
      </c>
    </row>
    <row r="27" spans="2:22" ht="15">
      <c r="B27" s="478" t="s">
        <v>471</v>
      </c>
      <c r="C27" s="497">
        <v>381342.3</v>
      </c>
      <c r="D27" s="650"/>
      <c r="E27" s="495" t="s">
        <v>450</v>
      </c>
      <c r="F27" s="495" t="s">
        <v>450</v>
      </c>
      <c r="G27" s="497">
        <v>147008.70000000001</v>
      </c>
      <c r="H27" s="495"/>
      <c r="I27" s="495">
        <v>7232.2</v>
      </c>
      <c r="J27" s="495">
        <v>55966</v>
      </c>
      <c r="K27" s="495">
        <v>8427.5</v>
      </c>
      <c r="L27" s="495">
        <v>495.2</v>
      </c>
      <c r="M27" s="495">
        <v>45787</v>
      </c>
      <c r="N27" s="495">
        <v>751.8</v>
      </c>
      <c r="O27" s="495">
        <v>6727.8</v>
      </c>
      <c r="P27" s="495">
        <v>21621.200000000001</v>
      </c>
      <c r="Q27" s="497">
        <v>161704.29999999999</v>
      </c>
      <c r="R27" s="497">
        <v>3281.4</v>
      </c>
      <c r="S27" s="497">
        <v>5155.8999999999996</v>
      </c>
      <c r="T27" s="497">
        <v>63428.7</v>
      </c>
      <c r="U27" s="498">
        <v>763.3</v>
      </c>
      <c r="V27" s="517">
        <f t="shared" si="0"/>
        <v>381342.30000000005</v>
      </c>
    </row>
    <row r="28" spans="2:22" ht="15">
      <c r="B28" s="478" t="s">
        <v>472</v>
      </c>
      <c r="C28" s="497">
        <v>344985</v>
      </c>
      <c r="D28" s="650"/>
      <c r="E28" s="495" t="s">
        <v>450</v>
      </c>
      <c r="F28" s="495" t="s">
        <v>450</v>
      </c>
      <c r="G28" s="497">
        <v>112682.9</v>
      </c>
      <c r="H28" s="495"/>
      <c r="I28" s="495">
        <v>2119.8000000000002</v>
      </c>
      <c r="J28" s="495">
        <v>55966</v>
      </c>
      <c r="K28" s="495">
        <v>8151.2</v>
      </c>
      <c r="L28" s="495">
        <v>68.900000000000006</v>
      </c>
      <c r="M28" s="495">
        <v>45710.2</v>
      </c>
      <c r="N28" s="495">
        <v>666.8</v>
      </c>
      <c r="O28" s="495"/>
      <c r="P28" s="495"/>
      <c r="Q28" s="497">
        <v>160306</v>
      </c>
      <c r="R28" s="497">
        <v>3281.4</v>
      </c>
      <c r="S28" s="497">
        <v>5155.8999999999996</v>
      </c>
      <c r="T28" s="497">
        <v>63428.7</v>
      </c>
      <c r="U28" s="498">
        <v>130.1</v>
      </c>
      <c r="V28" s="517">
        <f t="shared" si="0"/>
        <v>344985.00000000006</v>
      </c>
    </row>
    <row r="29" spans="2:22">
      <c r="B29" s="479" t="s">
        <v>473</v>
      </c>
      <c r="C29" s="651">
        <v>2347437.8429999999</v>
      </c>
      <c r="D29" s="652">
        <v>165986.215</v>
      </c>
      <c r="E29" s="651">
        <v>0</v>
      </c>
      <c r="F29" s="651" t="s">
        <v>588</v>
      </c>
      <c r="G29" s="651">
        <v>124772.26700000001</v>
      </c>
      <c r="H29" s="651">
        <v>17354.07</v>
      </c>
      <c r="I29" s="651">
        <v>3810.7440000000001</v>
      </c>
      <c r="J29" s="651">
        <v>0</v>
      </c>
      <c r="K29" s="651">
        <v>0</v>
      </c>
      <c r="L29" s="651">
        <v>0</v>
      </c>
      <c r="M29" s="651">
        <v>31425.475999999999</v>
      </c>
      <c r="N29" s="651">
        <v>59921.184999999998</v>
      </c>
      <c r="O29" s="651">
        <v>0</v>
      </c>
      <c r="P29" s="651">
        <f>G29-SUM(H29:O29)</f>
        <v>12260.792000000016</v>
      </c>
      <c r="Q29" s="651">
        <v>803822.4</v>
      </c>
      <c r="R29" s="651">
        <v>152576.361</v>
      </c>
      <c r="S29" s="651">
        <v>173430</v>
      </c>
      <c r="T29" s="651">
        <v>823770</v>
      </c>
      <c r="U29" s="653">
        <v>103080.6</v>
      </c>
      <c r="V29" s="517">
        <f t="shared" si="0"/>
        <v>2347437.8429999999</v>
      </c>
    </row>
    <row r="30" spans="2:22" ht="15">
      <c r="B30" s="480" t="s">
        <v>474</v>
      </c>
      <c r="C30" s="652">
        <v>323693.26799999998</v>
      </c>
      <c r="D30" s="651">
        <v>38292.796000000002</v>
      </c>
      <c r="E30" s="652">
        <v>0</v>
      </c>
      <c r="F30" s="652" t="s">
        <v>588</v>
      </c>
      <c r="G30" s="652">
        <v>3491.672</v>
      </c>
      <c r="H30" s="652">
        <v>0</v>
      </c>
      <c r="I30" s="652">
        <v>45.366</v>
      </c>
      <c r="J30" s="652">
        <v>0</v>
      </c>
      <c r="K30" s="652">
        <v>0</v>
      </c>
      <c r="L30" s="652">
        <v>0</v>
      </c>
      <c r="M30" s="652">
        <v>3382.306</v>
      </c>
      <c r="N30" s="652">
        <v>0</v>
      </c>
      <c r="O30" s="652">
        <v>0</v>
      </c>
      <c r="P30" s="651">
        <f t="shared" ref="P30:P42" si="1">G30-SUM(H30:O30)</f>
        <v>64</v>
      </c>
      <c r="Q30" s="652">
        <v>88242.3</v>
      </c>
      <c r="R30" s="652">
        <v>64</v>
      </c>
      <c r="S30" s="652">
        <v>1520</v>
      </c>
      <c r="T30" s="652">
        <v>93826.8</v>
      </c>
      <c r="U30" s="654">
        <v>98255.7</v>
      </c>
      <c r="V30" s="517">
        <f t="shared" si="0"/>
        <v>323693.26800000004</v>
      </c>
    </row>
    <row r="31" spans="2:22" ht="15">
      <c r="B31" s="480" t="s">
        <v>475</v>
      </c>
      <c r="C31" s="651">
        <v>617383.64199999999</v>
      </c>
      <c r="D31" s="652">
        <v>41000.930999999997</v>
      </c>
      <c r="E31" s="651">
        <v>0</v>
      </c>
      <c r="F31" s="651" t="s">
        <v>588</v>
      </c>
      <c r="G31" s="651">
        <v>68586.876999999993</v>
      </c>
      <c r="H31" s="651">
        <v>13671.620999999999</v>
      </c>
      <c r="I31" s="651">
        <v>0</v>
      </c>
      <c r="J31" s="651">
        <v>0</v>
      </c>
      <c r="K31" s="651">
        <v>0</v>
      </c>
      <c r="L31" s="651">
        <v>0</v>
      </c>
      <c r="M31" s="651">
        <v>813.46600000000001</v>
      </c>
      <c r="N31" s="651">
        <v>53525.79</v>
      </c>
      <c r="O31" s="651">
        <v>0</v>
      </c>
      <c r="P31" s="651">
        <f t="shared" si="1"/>
        <v>575.99999999998545</v>
      </c>
      <c r="Q31" s="651">
        <v>204782.4</v>
      </c>
      <c r="R31" s="651">
        <v>10831.034</v>
      </c>
      <c r="S31" s="651">
        <v>97183</v>
      </c>
      <c r="T31" s="651">
        <v>192474</v>
      </c>
      <c r="U31" s="653">
        <v>2525.4</v>
      </c>
      <c r="V31" s="517">
        <f t="shared" si="0"/>
        <v>617383.64199999999</v>
      </c>
    </row>
    <row r="32" spans="2:22" ht="15">
      <c r="B32" s="480" t="s">
        <v>476</v>
      </c>
      <c r="C32" s="652">
        <v>96839.25</v>
      </c>
      <c r="D32" s="651">
        <v>1343.058</v>
      </c>
      <c r="E32" s="652">
        <v>0</v>
      </c>
      <c r="F32" s="652" t="s">
        <v>588</v>
      </c>
      <c r="G32" s="652">
        <v>3138.9920000000002</v>
      </c>
      <c r="H32" s="652">
        <v>0</v>
      </c>
      <c r="I32" s="652">
        <v>90.731999999999999</v>
      </c>
      <c r="J32" s="652">
        <v>0</v>
      </c>
      <c r="K32" s="652">
        <v>0</v>
      </c>
      <c r="L32" s="652">
        <v>0</v>
      </c>
      <c r="M32" s="652">
        <v>642.21</v>
      </c>
      <c r="N32" s="652">
        <v>1222.05</v>
      </c>
      <c r="O32" s="652">
        <v>0</v>
      </c>
      <c r="P32" s="651">
        <f t="shared" si="1"/>
        <v>1184.0000000000002</v>
      </c>
      <c r="Q32" s="652">
        <v>33843.599999999999</v>
      </c>
      <c r="R32" s="652">
        <v>269</v>
      </c>
      <c r="S32" s="652">
        <v>1109</v>
      </c>
      <c r="T32" s="652">
        <v>57135.6</v>
      </c>
      <c r="U32" s="654">
        <v>0</v>
      </c>
      <c r="V32" s="517">
        <f t="shared" si="0"/>
        <v>96839.25</v>
      </c>
    </row>
    <row r="33" spans="2:22" ht="15">
      <c r="B33" s="480" t="s">
        <v>477</v>
      </c>
      <c r="C33" s="651">
        <v>274429.65700000001</v>
      </c>
      <c r="D33" s="652">
        <v>57791.9</v>
      </c>
      <c r="E33" s="651">
        <v>0</v>
      </c>
      <c r="F33" s="651" t="s">
        <v>588</v>
      </c>
      <c r="G33" s="651">
        <v>17193.571</v>
      </c>
      <c r="H33" s="651">
        <v>0</v>
      </c>
      <c r="I33" s="651">
        <v>453.66</v>
      </c>
      <c r="J33" s="651">
        <v>0</v>
      </c>
      <c r="K33" s="651">
        <v>0</v>
      </c>
      <c r="L33" s="651">
        <v>0</v>
      </c>
      <c r="M33" s="651">
        <v>3339.4920000000002</v>
      </c>
      <c r="N33" s="651">
        <v>3462.4749999999999</v>
      </c>
      <c r="O33" s="651">
        <v>0</v>
      </c>
      <c r="P33" s="651">
        <f t="shared" si="1"/>
        <v>9937.9439999999995</v>
      </c>
      <c r="Q33" s="651">
        <v>104013</v>
      </c>
      <c r="R33" s="651">
        <v>50390.585999999996</v>
      </c>
      <c r="S33" s="651">
        <v>775</v>
      </c>
      <c r="T33" s="651">
        <v>44265.599999999999</v>
      </c>
      <c r="U33" s="653">
        <v>0</v>
      </c>
      <c r="V33" s="517">
        <f t="shared" si="0"/>
        <v>274429.65700000001</v>
      </c>
    </row>
    <row r="34" spans="2:22" ht="15">
      <c r="B34" s="480" t="s">
        <v>478</v>
      </c>
      <c r="C34" s="652">
        <v>120490.32</v>
      </c>
      <c r="D34" s="651">
        <v>126.816</v>
      </c>
      <c r="E34" s="652">
        <v>0</v>
      </c>
      <c r="F34" s="652" t="s">
        <v>588</v>
      </c>
      <c r="G34" s="652">
        <v>1839.742</v>
      </c>
      <c r="H34" s="652">
        <v>0</v>
      </c>
      <c r="I34" s="652">
        <v>136.09800000000001</v>
      </c>
      <c r="J34" s="652">
        <v>0</v>
      </c>
      <c r="K34" s="652">
        <v>0</v>
      </c>
      <c r="L34" s="652">
        <v>0</v>
      </c>
      <c r="M34" s="652">
        <v>1626.932</v>
      </c>
      <c r="N34" s="652">
        <v>0</v>
      </c>
      <c r="O34" s="652">
        <v>0</v>
      </c>
      <c r="P34" s="651">
        <f t="shared" si="1"/>
        <v>76.711999999999989</v>
      </c>
      <c r="Q34" s="652">
        <v>36487.800000000003</v>
      </c>
      <c r="R34" s="652">
        <v>277.86200000000002</v>
      </c>
      <c r="S34" s="652">
        <v>13440</v>
      </c>
      <c r="T34" s="652">
        <v>66654</v>
      </c>
      <c r="U34" s="654">
        <v>1664.1</v>
      </c>
      <c r="V34" s="517">
        <f t="shared" si="0"/>
        <v>120490.32000000002</v>
      </c>
    </row>
    <row r="35" spans="2:22" ht="15">
      <c r="B35" s="480" t="s">
        <v>342</v>
      </c>
      <c r="C35" s="651">
        <v>214809.09700000001</v>
      </c>
      <c r="D35" s="652">
        <v>336.67700000000002</v>
      </c>
      <c r="E35" s="651">
        <v>0</v>
      </c>
      <c r="F35" s="651" t="s">
        <v>588</v>
      </c>
      <c r="G35" s="651">
        <v>9877.6270000000004</v>
      </c>
      <c r="H35" s="651">
        <v>0</v>
      </c>
      <c r="I35" s="651">
        <v>1497.078</v>
      </c>
      <c r="J35" s="651">
        <v>0</v>
      </c>
      <c r="K35" s="651">
        <v>0</v>
      </c>
      <c r="L35" s="651">
        <v>0</v>
      </c>
      <c r="M35" s="651">
        <v>8263.1020000000008</v>
      </c>
      <c r="N35" s="651">
        <v>40.734999999999999</v>
      </c>
      <c r="O35" s="651">
        <v>0</v>
      </c>
      <c r="P35" s="651">
        <f t="shared" si="1"/>
        <v>76.711999999999534</v>
      </c>
      <c r="Q35" s="651">
        <v>71144.100000000006</v>
      </c>
      <c r="R35" s="651">
        <v>2592.2930000000001</v>
      </c>
      <c r="S35" s="651">
        <v>9929</v>
      </c>
      <c r="T35" s="651">
        <v>120315.6</v>
      </c>
      <c r="U35" s="653">
        <v>613.79999999999995</v>
      </c>
      <c r="V35" s="517">
        <f t="shared" si="0"/>
        <v>214809.09700000001</v>
      </c>
    </row>
    <row r="36" spans="2:22">
      <c r="B36" s="481" t="s">
        <v>479</v>
      </c>
      <c r="C36" s="652">
        <v>15335.648999999999</v>
      </c>
      <c r="D36" s="651">
        <v>2557.4859999999999</v>
      </c>
      <c r="E36" s="652">
        <v>0</v>
      </c>
      <c r="F36" s="652" t="s">
        <v>588</v>
      </c>
      <c r="G36" s="652">
        <v>1230.8630000000001</v>
      </c>
      <c r="H36" s="652">
        <v>0</v>
      </c>
      <c r="I36" s="652">
        <v>317.56200000000001</v>
      </c>
      <c r="J36" s="652">
        <v>0</v>
      </c>
      <c r="K36" s="652">
        <v>0</v>
      </c>
      <c r="L36" s="652">
        <v>0</v>
      </c>
      <c r="M36" s="652">
        <v>642.21</v>
      </c>
      <c r="N36" s="652">
        <v>40.734999999999999</v>
      </c>
      <c r="O36" s="652">
        <v>0</v>
      </c>
      <c r="P36" s="651">
        <f t="shared" si="1"/>
        <v>230.35599999999999</v>
      </c>
      <c r="Q36" s="652">
        <v>4308.3</v>
      </c>
      <c r="R36" s="652">
        <v>859</v>
      </c>
      <c r="S36" s="652">
        <v>116</v>
      </c>
      <c r="T36" s="652">
        <v>6264</v>
      </c>
      <c r="U36" s="654">
        <v>0</v>
      </c>
      <c r="V36" s="517">
        <f t="shared" si="0"/>
        <v>15335.649000000001</v>
      </c>
    </row>
    <row r="37" spans="2:22">
      <c r="B37" s="481" t="s">
        <v>480</v>
      </c>
      <c r="C37" s="651">
        <v>204843.899</v>
      </c>
      <c r="D37" s="652">
        <v>8783.3140000000003</v>
      </c>
      <c r="E37" s="651">
        <v>0</v>
      </c>
      <c r="F37" s="651" t="s">
        <v>588</v>
      </c>
      <c r="G37" s="651">
        <v>7750.8540000000003</v>
      </c>
      <c r="H37" s="651">
        <v>0</v>
      </c>
      <c r="I37" s="651">
        <v>226.83</v>
      </c>
      <c r="J37" s="651">
        <v>0</v>
      </c>
      <c r="K37" s="651">
        <v>0</v>
      </c>
      <c r="L37" s="651">
        <v>0</v>
      </c>
      <c r="M37" s="651">
        <v>6464.9139999999998</v>
      </c>
      <c r="N37" s="651">
        <v>1059.1099999999999</v>
      </c>
      <c r="O37" s="651">
        <v>0</v>
      </c>
      <c r="P37" s="651">
        <f t="shared" si="1"/>
        <v>0</v>
      </c>
      <c r="Q37" s="651">
        <v>110628.9</v>
      </c>
      <c r="R37" s="651">
        <v>2357.431</v>
      </c>
      <c r="S37" s="651">
        <v>9825</v>
      </c>
      <c r="T37" s="651">
        <v>65498.400000000001</v>
      </c>
      <c r="U37" s="653">
        <v>0</v>
      </c>
      <c r="V37" s="517">
        <f t="shared" si="0"/>
        <v>204843.899</v>
      </c>
    </row>
    <row r="38" spans="2:22">
      <c r="B38" s="481" t="s">
        <v>481</v>
      </c>
      <c r="C38" s="652">
        <v>237953.03599999999</v>
      </c>
      <c r="D38" s="651">
        <v>15391.97</v>
      </c>
      <c r="E38" s="652">
        <v>0</v>
      </c>
      <c r="F38" s="652" t="s">
        <v>588</v>
      </c>
      <c r="G38" s="652">
        <v>2155.8110000000001</v>
      </c>
      <c r="H38" s="652">
        <v>0</v>
      </c>
      <c r="I38" s="652">
        <v>680.49</v>
      </c>
      <c r="J38" s="652">
        <v>0</v>
      </c>
      <c r="K38" s="652">
        <v>0</v>
      </c>
      <c r="L38" s="652">
        <v>0</v>
      </c>
      <c r="M38" s="652">
        <v>1070.3499999999999</v>
      </c>
      <c r="N38" s="652">
        <v>366.61500000000001</v>
      </c>
      <c r="O38" s="652">
        <v>0</v>
      </c>
      <c r="P38" s="651">
        <f t="shared" si="1"/>
        <v>38.356000000000222</v>
      </c>
      <c r="Q38" s="652">
        <v>86829.3</v>
      </c>
      <c r="R38" s="652">
        <v>29066.154999999999</v>
      </c>
      <c r="S38" s="652">
        <v>27747</v>
      </c>
      <c r="T38" s="652">
        <v>76762.8</v>
      </c>
      <c r="U38" s="654">
        <v>0</v>
      </c>
      <c r="V38" s="517">
        <f t="shared" si="0"/>
        <v>237953.03599999999</v>
      </c>
    </row>
    <row r="39" spans="2:22" ht="15">
      <c r="B39" s="480" t="s">
        <v>482</v>
      </c>
      <c r="C39" s="651">
        <v>74996.255000000005</v>
      </c>
      <c r="D39" s="652">
        <v>0</v>
      </c>
      <c r="E39" s="651">
        <v>0</v>
      </c>
      <c r="F39" s="651" t="s">
        <v>588</v>
      </c>
      <c r="G39" s="651">
        <v>557.05499999999995</v>
      </c>
      <c r="H39" s="651">
        <v>0</v>
      </c>
      <c r="I39" s="651">
        <v>45.366</v>
      </c>
      <c r="J39" s="651">
        <v>0</v>
      </c>
      <c r="K39" s="651">
        <v>0</v>
      </c>
      <c r="L39" s="651">
        <v>0</v>
      </c>
      <c r="M39" s="651">
        <v>470.95400000000001</v>
      </c>
      <c r="N39" s="651">
        <v>40.734999999999999</v>
      </c>
      <c r="O39" s="651">
        <v>0</v>
      </c>
      <c r="P39" s="651">
        <f t="shared" si="1"/>
        <v>0</v>
      </c>
      <c r="Q39" s="651">
        <v>5130</v>
      </c>
      <c r="R39" s="651">
        <v>50300</v>
      </c>
      <c r="S39" s="651">
        <v>2838</v>
      </c>
      <c r="T39" s="651">
        <v>16171.2</v>
      </c>
      <c r="U39" s="653">
        <v>0</v>
      </c>
      <c r="V39" s="517">
        <f t="shared" si="0"/>
        <v>74996.255000000005</v>
      </c>
    </row>
    <row r="40" spans="2:22">
      <c r="B40" s="481" t="s">
        <v>483</v>
      </c>
      <c r="C40" s="651">
        <v>21569.934000000001</v>
      </c>
      <c r="D40" s="652">
        <v>253.63200000000001</v>
      </c>
      <c r="E40" s="651">
        <v>0</v>
      </c>
      <c r="F40" s="651" t="s">
        <v>588</v>
      </c>
      <c r="G40" s="651">
        <v>940.30200000000002</v>
      </c>
      <c r="H40" s="651">
        <v>0</v>
      </c>
      <c r="I40" s="651">
        <v>45.366</v>
      </c>
      <c r="J40" s="651">
        <v>0</v>
      </c>
      <c r="K40" s="651">
        <v>0</v>
      </c>
      <c r="L40" s="651">
        <v>0</v>
      </c>
      <c r="M40" s="651">
        <v>813.46600000000001</v>
      </c>
      <c r="N40" s="651">
        <v>81.47</v>
      </c>
      <c r="O40" s="651">
        <v>0</v>
      </c>
      <c r="P40" s="651">
        <f t="shared" si="1"/>
        <v>0</v>
      </c>
      <c r="Q40" s="651">
        <v>9849.6</v>
      </c>
      <c r="R40" s="651">
        <v>96</v>
      </c>
      <c r="S40" s="651">
        <v>2298</v>
      </c>
      <c r="T40" s="651">
        <v>8132.4</v>
      </c>
      <c r="U40" s="653">
        <v>0</v>
      </c>
      <c r="V40" s="517">
        <f t="shared" si="0"/>
        <v>21569.934000000001</v>
      </c>
    </row>
    <row r="41" spans="2:22">
      <c r="B41" s="481" t="s">
        <v>253</v>
      </c>
      <c r="C41" s="652">
        <v>35077.5</v>
      </c>
      <c r="D41" s="651">
        <v>0</v>
      </c>
      <c r="E41" s="652">
        <v>0</v>
      </c>
      <c r="F41" s="652" t="s">
        <v>588</v>
      </c>
      <c r="G41" s="652">
        <v>0</v>
      </c>
      <c r="H41" s="652">
        <v>0</v>
      </c>
      <c r="I41" s="652">
        <v>0</v>
      </c>
      <c r="J41" s="652">
        <v>0</v>
      </c>
      <c r="K41" s="652">
        <v>0</v>
      </c>
      <c r="L41" s="652">
        <v>0</v>
      </c>
      <c r="M41" s="652">
        <v>0</v>
      </c>
      <c r="N41" s="652">
        <v>0</v>
      </c>
      <c r="O41" s="652">
        <v>0</v>
      </c>
      <c r="P41" s="651">
        <f t="shared" si="1"/>
        <v>0</v>
      </c>
      <c r="Q41" s="652">
        <v>20875.5</v>
      </c>
      <c r="R41" s="652">
        <v>0</v>
      </c>
      <c r="S41" s="652">
        <v>0</v>
      </c>
      <c r="T41" s="652">
        <v>14202</v>
      </c>
      <c r="U41" s="654">
        <v>0</v>
      </c>
      <c r="V41" s="517">
        <f t="shared" si="0"/>
        <v>35077.5</v>
      </c>
    </row>
    <row r="42" spans="2:22" ht="15">
      <c r="B42" s="480" t="s">
        <v>484</v>
      </c>
      <c r="C42" s="652">
        <v>110016.336</v>
      </c>
      <c r="D42" s="651">
        <v>107.63500000000001</v>
      </c>
      <c r="E42" s="652">
        <v>0</v>
      </c>
      <c r="F42" s="652" t="s">
        <v>588</v>
      </c>
      <c r="G42" s="652">
        <v>8008.9009999999998</v>
      </c>
      <c r="H42" s="652">
        <v>3682.4490000000001</v>
      </c>
      <c r="I42" s="652">
        <v>272.19600000000003</v>
      </c>
      <c r="J42" s="652">
        <v>0</v>
      </c>
      <c r="K42" s="652">
        <v>0</v>
      </c>
      <c r="L42" s="652">
        <v>0</v>
      </c>
      <c r="M42" s="652">
        <v>3896.0740000000001</v>
      </c>
      <c r="N42" s="652">
        <v>81.47</v>
      </c>
      <c r="O42" s="652">
        <v>0</v>
      </c>
      <c r="P42" s="651">
        <f t="shared" si="1"/>
        <v>76.711999999999534</v>
      </c>
      <c r="Q42" s="652">
        <v>27687.599999999999</v>
      </c>
      <c r="R42" s="652">
        <v>5473</v>
      </c>
      <c r="S42" s="652">
        <v>6650</v>
      </c>
      <c r="T42" s="652">
        <v>62067.6</v>
      </c>
      <c r="U42" s="654">
        <v>21.6</v>
      </c>
      <c r="V42" s="517">
        <f t="shared" si="0"/>
        <v>110016.336</v>
      </c>
    </row>
    <row r="43" spans="2:22" ht="15">
      <c r="B43" s="482" t="s">
        <v>485</v>
      </c>
      <c r="C43" s="497">
        <v>96866</v>
      </c>
      <c r="D43" s="650"/>
      <c r="E43" s="495" t="s">
        <v>450</v>
      </c>
      <c r="F43" s="495" t="s">
        <v>450</v>
      </c>
      <c r="G43" s="497">
        <v>94826.5</v>
      </c>
      <c r="H43" s="495"/>
      <c r="I43" s="495">
        <v>1005.4</v>
      </c>
      <c r="J43" s="495">
        <v>55503.8</v>
      </c>
      <c r="K43" s="495">
        <v>8151.2</v>
      </c>
      <c r="L43" s="495"/>
      <c r="M43" s="495">
        <v>30106.6</v>
      </c>
      <c r="N43" s="495">
        <v>59.5</v>
      </c>
      <c r="O43" s="495"/>
      <c r="P43" s="495"/>
      <c r="Q43" s="497">
        <v>171.8</v>
      </c>
      <c r="R43" s="497">
        <v>8.4</v>
      </c>
      <c r="S43" s="495"/>
      <c r="T43" s="497">
        <v>1734.8</v>
      </c>
      <c r="U43" s="498">
        <v>124.5</v>
      </c>
      <c r="V43" s="517">
        <f t="shared" si="0"/>
        <v>96866</v>
      </c>
    </row>
    <row r="44" spans="2:22">
      <c r="B44" s="481" t="s">
        <v>486</v>
      </c>
      <c r="C44" s="495">
        <v>85428.3</v>
      </c>
      <c r="D44" s="649"/>
      <c r="E44" s="495" t="s">
        <v>450</v>
      </c>
      <c r="F44" s="495" t="s">
        <v>450</v>
      </c>
      <c r="G44" s="495">
        <v>85276</v>
      </c>
      <c r="H44" s="495"/>
      <c r="I44" s="495">
        <v>1000.7</v>
      </c>
      <c r="J44" s="495">
        <v>55503.8</v>
      </c>
      <c r="K44" s="495"/>
      <c r="L44" s="495"/>
      <c r="M44" s="495">
        <v>28771.5</v>
      </c>
      <c r="N44" s="495"/>
      <c r="O44" s="495"/>
      <c r="P44" s="495"/>
      <c r="Q44" s="495">
        <v>152.30000000000001</v>
      </c>
      <c r="R44" s="495"/>
      <c r="S44" s="495"/>
      <c r="T44" s="495"/>
      <c r="U44" s="496"/>
      <c r="V44" s="517">
        <f t="shared" si="0"/>
        <v>85428.3</v>
      </c>
    </row>
    <row r="45" spans="2:22" ht="15">
      <c r="B45" s="480" t="s">
        <v>487</v>
      </c>
      <c r="C45" s="495">
        <v>1831.7</v>
      </c>
      <c r="D45" s="649"/>
      <c r="E45" s="495" t="s">
        <v>450</v>
      </c>
      <c r="F45" s="495" t="s">
        <v>450</v>
      </c>
      <c r="G45" s="495">
        <v>277.2</v>
      </c>
      <c r="H45" s="495"/>
      <c r="I45" s="495"/>
      <c r="J45" s="495"/>
      <c r="K45" s="495"/>
      <c r="L45" s="495"/>
      <c r="M45" s="495">
        <v>264.5</v>
      </c>
      <c r="N45" s="495">
        <v>12.7</v>
      </c>
      <c r="O45" s="495"/>
      <c r="P45" s="495"/>
      <c r="Q45" s="495"/>
      <c r="R45" s="495">
        <v>8.4</v>
      </c>
      <c r="S45" s="495"/>
      <c r="T45" s="495">
        <v>1421.6</v>
      </c>
      <c r="U45" s="496">
        <v>124.5</v>
      </c>
      <c r="V45" s="517">
        <f t="shared" si="0"/>
        <v>1831.6999999999998</v>
      </c>
    </row>
    <row r="46" spans="2:22">
      <c r="B46" s="481" t="s">
        <v>488</v>
      </c>
      <c r="C46" s="495">
        <v>8159.7</v>
      </c>
      <c r="D46" s="649"/>
      <c r="E46" s="495" t="s">
        <v>450</v>
      </c>
      <c r="F46" s="495" t="s">
        <v>450</v>
      </c>
      <c r="G46" s="495">
        <v>8159.7</v>
      </c>
      <c r="H46" s="495"/>
      <c r="I46" s="495"/>
      <c r="J46" s="495"/>
      <c r="K46" s="495">
        <v>8151.2</v>
      </c>
      <c r="L46" s="495"/>
      <c r="M46" s="495">
        <v>8.5</v>
      </c>
      <c r="N46" s="495"/>
      <c r="O46" s="495"/>
      <c r="P46" s="495"/>
      <c r="Q46" s="495"/>
      <c r="R46" s="495"/>
      <c r="S46" s="495"/>
      <c r="T46" s="495"/>
      <c r="U46" s="496"/>
      <c r="V46" s="517">
        <f t="shared" si="0"/>
        <v>8159.7</v>
      </c>
    </row>
    <row r="47" spans="2:22">
      <c r="B47" s="481" t="s">
        <v>489</v>
      </c>
      <c r="C47" s="495">
        <v>1108.9000000000001</v>
      </c>
      <c r="D47" s="649"/>
      <c r="E47" s="495" t="s">
        <v>450</v>
      </c>
      <c r="F47" s="495" t="s">
        <v>450</v>
      </c>
      <c r="G47" s="495">
        <v>1108.9000000000001</v>
      </c>
      <c r="H47" s="495"/>
      <c r="I47" s="495"/>
      <c r="J47" s="495"/>
      <c r="K47" s="495"/>
      <c r="L47" s="495"/>
      <c r="M47" s="495">
        <v>1062.0999999999999</v>
      </c>
      <c r="N47" s="495">
        <v>46.8</v>
      </c>
      <c r="O47" s="495"/>
      <c r="P47" s="495"/>
      <c r="Q47" s="495"/>
      <c r="R47" s="495"/>
      <c r="S47" s="495"/>
      <c r="T47" s="495"/>
      <c r="U47" s="496"/>
      <c r="V47" s="517">
        <f t="shared" si="0"/>
        <v>1108.8999999999999</v>
      </c>
    </row>
    <row r="48" spans="2:22">
      <c r="B48" s="499" t="s">
        <v>501</v>
      </c>
      <c r="C48" s="495">
        <v>337.4</v>
      </c>
      <c r="D48" s="649"/>
      <c r="E48" s="495" t="s">
        <v>450</v>
      </c>
      <c r="F48" s="495" t="s">
        <v>450</v>
      </c>
      <c r="G48" s="495">
        <v>4.7</v>
      </c>
      <c r="H48" s="495"/>
      <c r="I48" s="495">
        <v>4.7</v>
      </c>
      <c r="J48" s="495"/>
      <c r="K48" s="495"/>
      <c r="L48" s="495"/>
      <c r="M48" s="495"/>
      <c r="N48" s="495"/>
      <c r="O48" s="495"/>
      <c r="P48" s="495"/>
      <c r="Q48" s="495">
        <v>19.5</v>
      </c>
      <c r="R48" s="495"/>
      <c r="S48" s="495"/>
      <c r="T48" s="495">
        <v>313.2</v>
      </c>
      <c r="U48" s="496"/>
      <c r="V48" s="517">
        <f t="shared" si="0"/>
        <v>337.4</v>
      </c>
    </row>
    <row r="49" spans="2:22" ht="15">
      <c r="B49" s="483" t="s">
        <v>491</v>
      </c>
      <c r="C49" s="495" t="s">
        <v>450</v>
      </c>
      <c r="D49" s="649"/>
      <c r="E49" s="495" t="s">
        <v>450</v>
      </c>
      <c r="F49" s="495" t="s">
        <v>450</v>
      </c>
      <c r="G49" s="495" t="s">
        <v>450</v>
      </c>
      <c r="H49" s="495"/>
      <c r="I49" s="495"/>
      <c r="J49" s="495"/>
      <c r="K49" s="495"/>
      <c r="L49" s="495"/>
      <c r="M49" s="495"/>
      <c r="N49" s="495"/>
      <c r="O49" s="495"/>
      <c r="P49" s="495"/>
      <c r="Q49" s="495"/>
      <c r="R49" s="495"/>
      <c r="S49" s="495"/>
      <c r="T49" s="495"/>
      <c r="U49" s="496"/>
      <c r="V49" s="517">
        <f t="shared" si="0"/>
        <v>0</v>
      </c>
    </row>
    <row r="50" spans="2:22" ht="15">
      <c r="B50" s="482" t="s">
        <v>492</v>
      </c>
      <c r="C50" s="497">
        <v>191954.5</v>
      </c>
      <c r="D50" s="650"/>
      <c r="E50" s="495" t="s">
        <v>450</v>
      </c>
      <c r="F50" s="495" t="s">
        <v>450</v>
      </c>
      <c r="G50" s="497">
        <v>15028.6</v>
      </c>
      <c r="H50" s="495"/>
      <c r="I50" s="495">
        <v>967.4</v>
      </c>
      <c r="J50" s="495">
        <v>462.2</v>
      </c>
      <c r="K50" s="495"/>
      <c r="L50" s="495">
        <v>64.599999999999994</v>
      </c>
      <c r="M50" s="495">
        <v>13466.5</v>
      </c>
      <c r="N50" s="495">
        <v>67.900000000000006</v>
      </c>
      <c r="O50" s="495"/>
      <c r="P50" s="495"/>
      <c r="Q50" s="497">
        <v>118203.3</v>
      </c>
      <c r="R50" s="497">
        <v>3254</v>
      </c>
      <c r="S50" s="497">
        <v>5155.8999999999996</v>
      </c>
      <c r="T50" s="497">
        <v>50307.1</v>
      </c>
      <c r="U50" s="498">
        <v>5.6</v>
      </c>
      <c r="V50" s="517">
        <f t="shared" si="0"/>
        <v>191954.5</v>
      </c>
    </row>
    <row r="51" spans="2:22" ht="15">
      <c r="B51" s="480" t="s">
        <v>493</v>
      </c>
      <c r="C51" s="651">
        <v>60755.800999999999</v>
      </c>
      <c r="D51" s="652">
        <v>0</v>
      </c>
      <c r="E51" s="651">
        <v>0</v>
      </c>
      <c r="F51" s="651" t="s">
        <v>588</v>
      </c>
      <c r="G51" s="651">
        <v>0</v>
      </c>
      <c r="H51" s="651">
        <v>0</v>
      </c>
      <c r="I51" s="651">
        <v>0</v>
      </c>
      <c r="J51" s="651">
        <v>0</v>
      </c>
      <c r="K51" s="651">
        <v>0</v>
      </c>
      <c r="L51" s="651">
        <v>0</v>
      </c>
      <c r="M51" s="651">
        <v>0</v>
      </c>
      <c r="N51" s="651">
        <v>0</v>
      </c>
      <c r="O51" s="651">
        <v>0</v>
      </c>
      <c r="P51" s="651">
        <f t="shared" ref="P51" si="2">G51-SUM(H51:O51)</f>
        <v>0</v>
      </c>
      <c r="Q51" s="651">
        <v>13296.6</v>
      </c>
      <c r="R51" s="651">
        <v>27518.800999999999</v>
      </c>
      <c r="S51" s="651">
        <v>0</v>
      </c>
      <c r="T51" s="651">
        <v>19940.400000000001</v>
      </c>
      <c r="U51" s="653">
        <v>0</v>
      </c>
      <c r="V51" s="517">
        <f t="shared" si="0"/>
        <v>60755.800999999999</v>
      </c>
    </row>
    <row r="52" spans="2:22">
      <c r="B52" s="481" t="s">
        <v>494</v>
      </c>
      <c r="C52" s="495">
        <v>29320.1</v>
      </c>
      <c r="D52" s="649"/>
      <c r="E52" s="495" t="s">
        <v>450</v>
      </c>
      <c r="F52" s="495" t="s">
        <v>450</v>
      </c>
      <c r="G52" s="495">
        <v>432.6</v>
      </c>
      <c r="H52" s="495"/>
      <c r="I52" s="495">
        <v>99.6</v>
      </c>
      <c r="J52" s="495"/>
      <c r="K52" s="495"/>
      <c r="L52" s="495">
        <v>51.7</v>
      </c>
      <c r="M52" s="495">
        <v>226.1</v>
      </c>
      <c r="N52" s="495">
        <v>55.2</v>
      </c>
      <c r="O52" s="495"/>
      <c r="P52" s="495"/>
      <c r="Q52" s="495">
        <v>8593.2000000000007</v>
      </c>
      <c r="R52" s="495">
        <v>921</v>
      </c>
      <c r="S52" s="495">
        <v>891</v>
      </c>
      <c r="T52" s="495">
        <v>18479.5</v>
      </c>
      <c r="U52" s="496">
        <v>2.8</v>
      </c>
      <c r="V52" s="517">
        <f t="shared" si="0"/>
        <v>29320.100000000002</v>
      </c>
    </row>
    <row r="53" spans="2:22">
      <c r="B53" s="481" t="s">
        <v>495</v>
      </c>
      <c r="C53" s="495">
        <v>143830.79999999999</v>
      </c>
      <c r="D53" s="649"/>
      <c r="E53" s="495" t="s">
        <v>450</v>
      </c>
      <c r="F53" s="495" t="s">
        <v>450</v>
      </c>
      <c r="G53" s="495">
        <v>1298.5</v>
      </c>
      <c r="H53" s="495"/>
      <c r="I53" s="495">
        <v>863.1</v>
      </c>
      <c r="J53" s="495">
        <v>17.3</v>
      </c>
      <c r="K53" s="495"/>
      <c r="L53" s="495">
        <v>12.9</v>
      </c>
      <c r="M53" s="495">
        <v>405.2</v>
      </c>
      <c r="N53" s="495"/>
      <c r="O53" s="495"/>
      <c r="P53" s="495"/>
      <c r="Q53" s="495">
        <v>107442.3</v>
      </c>
      <c r="R53" s="495">
        <v>2248.6999999999998</v>
      </c>
      <c r="S53" s="495">
        <v>4264.8999999999996</v>
      </c>
      <c r="T53" s="495">
        <v>28576.400000000001</v>
      </c>
      <c r="U53" s="496"/>
      <c r="V53" s="517">
        <f t="shared" si="0"/>
        <v>143830.79999999999</v>
      </c>
    </row>
    <row r="54" spans="2:22">
      <c r="B54" s="481" t="s">
        <v>496</v>
      </c>
      <c r="C54" s="495" t="s">
        <v>450</v>
      </c>
      <c r="D54" s="649"/>
      <c r="E54" s="495" t="s">
        <v>450</v>
      </c>
      <c r="F54" s="495" t="s">
        <v>450</v>
      </c>
      <c r="G54" s="495" t="s">
        <v>450</v>
      </c>
      <c r="H54" s="495"/>
      <c r="I54" s="495"/>
      <c r="J54" s="495"/>
      <c r="K54" s="495"/>
      <c r="L54" s="495"/>
      <c r="M54" s="495"/>
      <c r="N54" s="495"/>
      <c r="O54" s="495"/>
      <c r="P54" s="495"/>
      <c r="Q54" s="495"/>
      <c r="R54" s="495"/>
      <c r="S54" s="495"/>
      <c r="T54" s="495"/>
      <c r="U54" s="496"/>
      <c r="V54" s="517">
        <f t="shared" si="0"/>
        <v>0</v>
      </c>
    </row>
    <row r="55" spans="2:22" ht="16" thickBot="1">
      <c r="B55" s="484" t="s">
        <v>497</v>
      </c>
      <c r="C55" s="500">
        <v>36357.300000000003</v>
      </c>
      <c r="D55" s="500"/>
      <c r="E55" s="501" t="s">
        <v>450</v>
      </c>
      <c r="F55" s="501" t="s">
        <v>450</v>
      </c>
      <c r="G55" s="500">
        <v>34325.800000000003</v>
      </c>
      <c r="H55" s="501"/>
      <c r="I55" s="501">
        <v>5112.3999999999996</v>
      </c>
      <c r="J55" s="501"/>
      <c r="K55" s="501">
        <v>276.3</v>
      </c>
      <c r="L55" s="501">
        <v>426.3</v>
      </c>
      <c r="M55" s="501">
        <v>76.8</v>
      </c>
      <c r="N55" s="501">
        <v>85</v>
      </c>
      <c r="O55" s="501">
        <v>6727.8</v>
      </c>
      <c r="P55" s="501">
        <v>21621.200000000001</v>
      </c>
      <c r="Q55" s="500">
        <v>1398.3</v>
      </c>
      <c r="R55" s="501"/>
      <c r="S55" s="501"/>
      <c r="T55" s="501"/>
      <c r="U55" s="502">
        <v>633.20000000000005</v>
      </c>
      <c r="V55" s="517">
        <f t="shared" si="0"/>
        <v>36357.300000000003</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Y56"/>
  <sheetViews>
    <sheetView showGridLines="0" zoomScaleNormal="100" workbookViewId="0">
      <pane xSplit="3" ySplit="6" topLeftCell="H23" activePane="bottomRight" state="frozen"/>
      <selection pane="topRight" activeCell="D1" sqref="D1"/>
      <selection pane="bottomLeft" activeCell="A7" sqref="A7"/>
      <selection pane="bottomRight" activeCell="B37" sqref="B37"/>
    </sheetView>
  </sheetViews>
  <sheetFormatPr baseColWidth="10" defaultColWidth="9.1640625" defaultRowHeight="14"/>
  <cols>
    <col min="1" max="1" width="8.6640625" style="488" bestFit="1" customWidth="1"/>
    <col min="2" max="2" width="31.5" style="488" bestFit="1" customWidth="1"/>
    <col min="3" max="21" width="11.6640625" style="488" customWidth="1"/>
    <col min="22" max="22" width="11.83203125" style="461" customWidth="1"/>
    <col min="23" max="257" width="9.1640625" style="488"/>
    <col min="258" max="258" width="8.6640625" style="488" bestFit="1" customWidth="1"/>
    <col min="259" max="259" width="31.5" style="488" bestFit="1" customWidth="1"/>
    <col min="260" max="277" width="11.6640625" style="488" customWidth="1"/>
    <col min="278" max="513" width="9.1640625" style="488"/>
    <col min="514" max="514" width="8.6640625" style="488" bestFit="1" customWidth="1"/>
    <col min="515" max="515" width="31.5" style="488" bestFit="1" customWidth="1"/>
    <col min="516" max="533" width="11.6640625" style="488" customWidth="1"/>
    <col min="534" max="769" width="9.1640625" style="488"/>
    <col min="770" max="770" width="8.6640625" style="488" bestFit="1" customWidth="1"/>
    <col min="771" max="771" width="31.5" style="488" bestFit="1" customWidth="1"/>
    <col min="772" max="789" width="11.6640625" style="488" customWidth="1"/>
    <col min="790" max="1025" width="9.1640625" style="488"/>
    <col min="1026" max="1026" width="8.6640625" style="488" bestFit="1" customWidth="1"/>
    <col min="1027" max="1027" width="31.5" style="488" bestFit="1" customWidth="1"/>
    <col min="1028" max="1045" width="11.6640625" style="488" customWidth="1"/>
    <col min="1046" max="1281" width="9.1640625" style="488"/>
    <col min="1282" max="1282" width="8.6640625" style="488" bestFit="1" customWidth="1"/>
    <col min="1283" max="1283" width="31.5" style="488" bestFit="1" customWidth="1"/>
    <col min="1284" max="1301" width="11.6640625" style="488" customWidth="1"/>
    <col min="1302" max="1537" width="9.1640625" style="488"/>
    <col min="1538" max="1538" width="8.6640625" style="488" bestFit="1" customWidth="1"/>
    <col min="1539" max="1539" width="31.5" style="488" bestFit="1" customWidth="1"/>
    <col min="1540" max="1557" width="11.6640625" style="488" customWidth="1"/>
    <col min="1558" max="1793" width="9.1640625" style="488"/>
    <col min="1794" max="1794" width="8.6640625" style="488" bestFit="1" customWidth="1"/>
    <col min="1795" max="1795" width="31.5" style="488" bestFit="1" customWidth="1"/>
    <col min="1796" max="1813" width="11.6640625" style="488" customWidth="1"/>
    <col min="1814" max="2049" width="9.1640625" style="488"/>
    <col min="2050" max="2050" width="8.6640625" style="488" bestFit="1" customWidth="1"/>
    <col min="2051" max="2051" width="31.5" style="488" bestFit="1" customWidth="1"/>
    <col min="2052" max="2069" width="11.6640625" style="488" customWidth="1"/>
    <col min="2070" max="2305" width="9.1640625" style="488"/>
    <col min="2306" max="2306" width="8.6640625" style="488" bestFit="1" customWidth="1"/>
    <col min="2307" max="2307" width="31.5" style="488" bestFit="1" customWidth="1"/>
    <col min="2308" max="2325" width="11.6640625" style="488" customWidth="1"/>
    <col min="2326" max="2561" width="9.1640625" style="488"/>
    <col min="2562" max="2562" width="8.6640625" style="488" bestFit="1" customWidth="1"/>
    <col min="2563" max="2563" width="31.5" style="488" bestFit="1" customWidth="1"/>
    <col min="2564" max="2581" width="11.6640625" style="488" customWidth="1"/>
    <col min="2582" max="2817" width="9.1640625" style="488"/>
    <col min="2818" max="2818" width="8.6640625" style="488" bestFit="1" customWidth="1"/>
    <col min="2819" max="2819" width="31.5" style="488" bestFit="1" customWidth="1"/>
    <col min="2820" max="2837" width="11.6640625" style="488" customWidth="1"/>
    <col min="2838" max="3073" width="9.1640625" style="488"/>
    <col min="3074" max="3074" width="8.6640625" style="488" bestFit="1" customWidth="1"/>
    <col min="3075" max="3075" width="31.5" style="488" bestFit="1" customWidth="1"/>
    <col min="3076" max="3093" width="11.6640625" style="488" customWidth="1"/>
    <col min="3094" max="3329" width="9.1640625" style="488"/>
    <col min="3330" max="3330" width="8.6640625" style="488" bestFit="1" customWidth="1"/>
    <col min="3331" max="3331" width="31.5" style="488" bestFit="1" customWidth="1"/>
    <col min="3332" max="3349" width="11.6640625" style="488" customWidth="1"/>
    <col min="3350" max="3585" width="9.1640625" style="488"/>
    <col min="3586" max="3586" width="8.6640625" style="488" bestFit="1" customWidth="1"/>
    <col min="3587" max="3587" width="31.5" style="488" bestFit="1" customWidth="1"/>
    <col min="3588" max="3605" width="11.6640625" style="488" customWidth="1"/>
    <col min="3606" max="3841" width="9.1640625" style="488"/>
    <col min="3842" max="3842" width="8.6640625" style="488" bestFit="1" customWidth="1"/>
    <col min="3843" max="3843" width="31.5" style="488" bestFit="1" customWidth="1"/>
    <col min="3844" max="3861" width="11.6640625" style="488" customWidth="1"/>
    <col min="3862" max="4097" width="9.1640625" style="488"/>
    <col min="4098" max="4098" width="8.6640625" style="488" bestFit="1" customWidth="1"/>
    <col min="4099" max="4099" width="31.5" style="488" bestFit="1" customWidth="1"/>
    <col min="4100" max="4117" width="11.6640625" style="488" customWidth="1"/>
    <col min="4118" max="4353" width="9.1640625" style="488"/>
    <col min="4354" max="4354" width="8.6640625" style="488" bestFit="1" customWidth="1"/>
    <col min="4355" max="4355" width="31.5" style="488" bestFit="1" customWidth="1"/>
    <col min="4356" max="4373" width="11.6640625" style="488" customWidth="1"/>
    <col min="4374" max="4609" width="9.1640625" style="488"/>
    <col min="4610" max="4610" width="8.6640625" style="488" bestFit="1" customWidth="1"/>
    <col min="4611" max="4611" width="31.5" style="488" bestFit="1" customWidth="1"/>
    <col min="4612" max="4629" width="11.6640625" style="488" customWidth="1"/>
    <col min="4630" max="4865" width="9.1640625" style="488"/>
    <col min="4866" max="4866" width="8.6640625" style="488" bestFit="1" customWidth="1"/>
    <col min="4867" max="4867" width="31.5" style="488" bestFit="1" customWidth="1"/>
    <col min="4868" max="4885" width="11.6640625" style="488" customWidth="1"/>
    <col min="4886" max="5121" width="9.1640625" style="488"/>
    <col min="5122" max="5122" width="8.6640625" style="488" bestFit="1" customWidth="1"/>
    <col min="5123" max="5123" width="31.5" style="488" bestFit="1" customWidth="1"/>
    <col min="5124" max="5141" width="11.6640625" style="488" customWidth="1"/>
    <col min="5142" max="5377" width="9.1640625" style="488"/>
    <col min="5378" max="5378" width="8.6640625" style="488" bestFit="1" customWidth="1"/>
    <col min="5379" max="5379" width="31.5" style="488" bestFit="1" customWidth="1"/>
    <col min="5380" max="5397" width="11.6640625" style="488" customWidth="1"/>
    <col min="5398" max="5633" width="9.1640625" style="488"/>
    <col min="5634" max="5634" width="8.6640625" style="488" bestFit="1" customWidth="1"/>
    <col min="5635" max="5635" width="31.5" style="488" bestFit="1" customWidth="1"/>
    <col min="5636" max="5653" width="11.6640625" style="488" customWidth="1"/>
    <col min="5654" max="5889" width="9.1640625" style="488"/>
    <col min="5890" max="5890" width="8.6640625" style="488" bestFit="1" customWidth="1"/>
    <col min="5891" max="5891" width="31.5" style="488" bestFit="1" customWidth="1"/>
    <col min="5892" max="5909" width="11.6640625" style="488" customWidth="1"/>
    <col min="5910" max="6145" width="9.1640625" style="488"/>
    <col min="6146" max="6146" width="8.6640625" style="488" bestFit="1" customWidth="1"/>
    <col min="6147" max="6147" width="31.5" style="488" bestFit="1" customWidth="1"/>
    <col min="6148" max="6165" width="11.6640625" style="488" customWidth="1"/>
    <col min="6166" max="6401" width="9.1640625" style="488"/>
    <col min="6402" max="6402" width="8.6640625" style="488" bestFit="1" customWidth="1"/>
    <col min="6403" max="6403" width="31.5" style="488" bestFit="1" customWidth="1"/>
    <col min="6404" max="6421" width="11.6640625" style="488" customWidth="1"/>
    <col min="6422" max="6657" width="9.1640625" style="488"/>
    <col min="6658" max="6658" width="8.6640625" style="488" bestFit="1" customWidth="1"/>
    <col min="6659" max="6659" width="31.5" style="488" bestFit="1" customWidth="1"/>
    <col min="6660" max="6677" width="11.6640625" style="488" customWidth="1"/>
    <col min="6678" max="6913" width="9.1640625" style="488"/>
    <col min="6914" max="6914" width="8.6640625" style="488" bestFit="1" customWidth="1"/>
    <col min="6915" max="6915" width="31.5" style="488" bestFit="1" customWidth="1"/>
    <col min="6916" max="6933" width="11.6640625" style="488" customWidth="1"/>
    <col min="6934" max="7169" width="9.1640625" style="488"/>
    <col min="7170" max="7170" width="8.6640625" style="488" bestFit="1" customWidth="1"/>
    <col min="7171" max="7171" width="31.5" style="488" bestFit="1" customWidth="1"/>
    <col min="7172" max="7189" width="11.6640625" style="488" customWidth="1"/>
    <col min="7190" max="7425" width="9.1640625" style="488"/>
    <col min="7426" max="7426" width="8.6640625" style="488" bestFit="1" customWidth="1"/>
    <col min="7427" max="7427" width="31.5" style="488" bestFit="1" customWidth="1"/>
    <col min="7428" max="7445" width="11.6640625" style="488" customWidth="1"/>
    <col min="7446" max="7681" width="9.1640625" style="488"/>
    <col min="7682" max="7682" width="8.6640625" style="488" bestFit="1" customWidth="1"/>
    <col min="7683" max="7683" width="31.5" style="488" bestFit="1" customWidth="1"/>
    <col min="7684" max="7701" width="11.6640625" style="488" customWidth="1"/>
    <col min="7702" max="7937" width="9.1640625" style="488"/>
    <col min="7938" max="7938" width="8.6640625" style="488" bestFit="1" customWidth="1"/>
    <col min="7939" max="7939" width="31.5" style="488" bestFit="1" customWidth="1"/>
    <col min="7940" max="7957" width="11.6640625" style="488" customWidth="1"/>
    <col min="7958" max="8193" width="9.1640625" style="488"/>
    <col min="8194" max="8194" width="8.6640625" style="488" bestFit="1" customWidth="1"/>
    <col min="8195" max="8195" width="31.5" style="488" bestFit="1" customWidth="1"/>
    <col min="8196" max="8213" width="11.6640625" style="488" customWidth="1"/>
    <col min="8214" max="8449" width="9.1640625" style="488"/>
    <col min="8450" max="8450" width="8.6640625" style="488" bestFit="1" customWidth="1"/>
    <col min="8451" max="8451" width="31.5" style="488" bestFit="1" customWidth="1"/>
    <col min="8452" max="8469" width="11.6640625" style="488" customWidth="1"/>
    <col min="8470" max="8705" width="9.1640625" style="488"/>
    <col min="8706" max="8706" width="8.6640625" style="488" bestFit="1" customWidth="1"/>
    <col min="8707" max="8707" width="31.5" style="488" bestFit="1" customWidth="1"/>
    <col min="8708" max="8725" width="11.6640625" style="488" customWidth="1"/>
    <col min="8726" max="8961" width="9.1640625" style="488"/>
    <col min="8962" max="8962" width="8.6640625" style="488" bestFit="1" customWidth="1"/>
    <col min="8963" max="8963" width="31.5" style="488" bestFit="1" customWidth="1"/>
    <col min="8964" max="8981" width="11.6640625" style="488" customWidth="1"/>
    <col min="8982" max="9217" width="9.1640625" style="488"/>
    <col min="9218" max="9218" width="8.6640625" style="488" bestFit="1" customWidth="1"/>
    <col min="9219" max="9219" width="31.5" style="488" bestFit="1" customWidth="1"/>
    <col min="9220" max="9237" width="11.6640625" style="488" customWidth="1"/>
    <col min="9238" max="9473" width="9.1640625" style="488"/>
    <col min="9474" max="9474" width="8.6640625" style="488" bestFit="1" customWidth="1"/>
    <col min="9475" max="9475" width="31.5" style="488" bestFit="1" customWidth="1"/>
    <col min="9476" max="9493" width="11.6640625" style="488" customWidth="1"/>
    <col min="9494" max="9729" width="9.1640625" style="488"/>
    <col min="9730" max="9730" width="8.6640625" style="488" bestFit="1" customWidth="1"/>
    <col min="9731" max="9731" width="31.5" style="488" bestFit="1" customWidth="1"/>
    <col min="9732" max="9749" width="11.6640625" style="488" customWidth="1"/>
    <col min="9750" max="9985" width="9.1640625" style="488"/>
    <col min="9986" max="9986" width="8.6640625" style="488" bestFit="1" customWidth="1"/>
    <col min="9987" max="9987" width="31.5" style="488" bestFit="1" customWidth="1"/>
    <col min="9988" max="10005" width="11.6640625" style="488" customWidth="1"/>
    <col min="10006" max="10241" width="9.1640625" style="488"/>
    <col min="10242" max="10242" width="8.6640625" style="488" bestFit="1" customWidth="1"/>
    <col min="10243" max="10243" width="31.5" style="488" bestFit="1" customWidth="1"/>
    <col min="10244" max="10261" width="11.6640625" style="488" customWidth="1"/>
    <col min="10262" max="10497" width="9.1640625" style="488"/>
    <col min="10498" max="10498" width="8.6640625" style="488" bestFit="1" customWidth="1"/>
    <col min="10499" max="10499" width="31.5" style="488" bestFit="1" customWidth="1"/>
    <col min="10500" max="10517" width="11.6640625" style="488" customWidth="1"/>
    <col min="10518" max="10753" width="9.1640625" style="488"/>
    <col min="10754" max="10754" width="8.6640625" style="488" bestFit="1" customWidth="1"/>
    <col min="10755" max="10755" width="31.5" style="488" bestFit="1" customWidth="1"/>
    <col min="10756" max="10773" width="11.6640625" style="488" customWidth="1"/>
    <col min="10774" max="11009" width="9.1640625" style="488"/>
    <col min="11010" max="11010" width="8.6640625" style="488" bestFit="1" customWidth="1"/>
    <col min="11011" max="11011" width="31.5" style="488" bestFit="1" customWidth="1"/>
    <col min="11012" max="11029" width="11.6640625" style="488" customWidth="1"/>
    <col min="11030" max="11265" width="9.1640625" style="488"/>
    <col min="11266" max="11266" width="8.6640625" style="488" bestFit="1" customWidth="1"/>
    <col min="11267" max="11267" width="31.5" style="488" bestFit="1" customWidth="1"/>
    <col min="11268" max="11285" width="11.6640625" style="488" customWidth="1"/>
    <col min="11286" max="11521" width="9.1640625" style="488"/>
    <col min="11522" max="11522" width="8.6640625" style="488" bestFit="1" customWidth="1"/>
    <col min="11523" max="11523" width="31.5" style="488" bestFit="1" customWidth="1"/>
    <col min="11524" max="11541" width="11.6640625" style="488" customWidth="1"/>
    <col min="11542" max="11777" width="9.1640625" style="488"/>
    <col min="11778" max="11778" width="8.6640625" style="488" bestFit="1" customWidth="1"/>
    <col min="11779" max="11779" width="31.5" style="488" bestFit="1" customWidth="1"/>
    <col min="11780" max="11797" width="11.6640625" style="488" customWidth="1"/>
    <col min="11798" max="12033" width="9.1640625" style="488"/>
    <col min="12034" max="12034" width="8.6640625" style="488" bestFit="1" customWidth="1"/>
    <col min="12035" max="12035" width="31.5" style="488" bestFit="1" customWidth="1"/>
    <col min="12036" max="12053" width="11.6640625" style="488" customWidth="1"/>
    <col min="12054" max="12289" width="9.1640625" style="488"/>
    <col min="12290" max="12290" width="8.6640625" style="488" bestFit="1" customWidth="1"/>
    <col min="12291" max="12291" width="31.5" style="488" bestFit="1" customWidth="1"/>
    <col min="12292" max="12309" width="11.6640625" style="488" customWidth="1"/>
    <col min="12310" max="12545" width="9.1640625" style="488"/>
    <col min="12546" max="12546" width="8.6640625" style="488" bestFit="1" customWidth="1"/>
    <col min="12547" max="12547" width="31.5" style="488" bestFit="1" customWidth="1"/>
    <col min="12548" max="12565" width="11.6640625" style="488" customWidth="1"/>
    <col min="12566" max="12801" width="9.1640625" style="488"/>
    <col min="12802" max="12802" width="8.6640625" style="488" bestFit="1" customWidth="1"/>
    <col min="12803" max="12803" width="31.5" style="488" bestFit="1" customWidth="1"/>
    <col min="12804" max="12821" width="11.6640625" style="488" customWidth="1"/>
    <col min="12822" max="13057" width="9.1640625" style="488"/>
    <col min="13058" max="13058" width="8.6640625" style="488" bestFit="1" customWidth="1"/>
    <col min="13059" max="13059" width="31.5" style="488" bestFit="1" customWidth="1"/>
    <col min="13060" max="13077" width="11.6640625" style="488" customWidth="1"/>
    <col min="13078" max="13313" width="9.1640625" style="488"/>
    <col min="13314" max="13314" width="8.6640625" style="488" bestFit="1" customWidth="1"/>
    <col min="13315" max="13315" width="31.5" style="488" bestFit="1" customWidth="1"/>
    <col min="13316" max="13333" width="11.6640625" style="488" customWidth="1"/>
    <col min="13334" max="13569" width="9.1640625" style="488"/>
    <col min="13570" max="13570" width="8.6640625" style="488" bestFit="1" customWidth="1"/>
    <col min="13571" max="13571" width="31.5" style="488" bestFit="1" customWidth="1"/>
    <col min="13572" max="13589" width="11.6640625" style="488" customWidth="1"/>
    <col min="13590" max="13825" width="9.1640625" style="488"/>
    <col min="13826" max="13826" width="8.6640625" style="488" bestFit="1" customWidth="1"/>
    <col min="13827" max="13827" width="31.5" style="488" bestFit="1" customWidth="1"/>
    <col min="13828" max="13845" width="11.6640625" style="488" customWidth="1"/>
    <col min="13846" max="14081" width="9.1640625" style="488"/>
    <col min="14082" max="14082" width="8.6640625" style="488" bestFit="1" customWidth="1"/>
    <col min="14083" max="14083" width="31.5" style="488" bestFit="1" customWidth="1"/>
    <col min="14084" max="14101" width="11.6640625" style="488" customWidth="1"/>
    <col min="14102" max="14337" width="9.1640625" style="488"/>
    <col min="14338" max="14338" width="8.6640625" style="488" bestFit="1" customWidth="1"/>
    <col min="14339" max="14339" width="31.5" style="488" bestFit="1" customWidth="1"/>
    <col min="14340" max="14357" width="11.6640625" style="488" customWidth="1"/>
    <col min="14358" max="14593" width="9.1640625" style="488"/>
    <col min="14594" max="14594" width="8.6640625" style="488" bestFit="1" customWidth="1"/>
    <col min="14595" max="14595" width="31.5" style="488" bestFit="1" customWidth="1"/>
    <col min="14596" max="14613" width="11.6640625" style="488" customWidth="1"/>
    <col min="14614" max="14849" width="9.1640625" style="488"/>
    <col min="14850" max="14850" width="8.6640625" style="488" bestFit="1" customWidth="1"/>
    <col min="14851" max="14851" width="31.5" style="488" bestFit="1" customWidth="1"/>
    <col min="14852" max="14869" width="11.6640625" style="488" customWidth="1"/>
    <col min="14870" max="15105" width="9.1640625" style="488"/>
    <col min="15106" max="15106" width="8.6640625" style="488" bestFit="1" customWidth="1"/>
    <col min="15107" max="15107" width="31.5" style="488" bestFit="1" customWidth="1"/>
    <col min="15108" max="15125" width="11.6640625" style="488" customWidth="1"/>
    <col min="15126" max="15361" width="9.1640625" style="488"/>
    <col min="15362" max="15362" width="8.6640625" style="488" bestFit="1" customWidth="1"/>
    <col min="15363" max="15363" width="31.5" style="488" bestFit="1" customWidth="1"/>
    <col min="15364" max="15381" width="11.6640625" style="488" customWidth="1"/>
    <col min="15382" max="15617" width="9.1640625" style="488"/>
    <col min="15618" max="15618" width="8.6640625" style="488" bestFit="1" customWidth="1"/>
    <col min="15619" max="15619" width="31.5" style="488" bestFit="1" customWidth="1"/>
    <col min="15620" max="15637" width="11.6640625" style="488" customWidth="1"/>
    <col min="15638" max="15873" width="9.1640625" style="488"/>
    <col min="15874" max="15874" width="8.6640625" style="488" bestFit="1" customWidth="1"/>
    <col min="15875" max="15875" width="31.5" style="488" bestFit="1" customWidth="1"/>
    <col min="15876" max="15893" width="11.6640625" style="488" customWidth="1"/>
    <col min="15894" max="16129" width="9.1640625" style="488"/>
    <col min="16130" max="16130" width="8.6640625" style="488" bestFit="1" customWidth="1"/>
    <col min="16131" max="16131" width="31.5" style="488" bestFit="1" customWidth="1"/>
    <col min="16132" max="16149" width="11.6640625" style="488" customWidth="1"/>
    <col min="16150" max="16384" width="9.1640625" style="488"/>
  </cols>
  <sheetData>
    <row r="1" spans="2:22" s="461" customFormat="1" ht="15">
      <c r="D1" s="461" t="s">
        <v>55</v>
      </c>
      <c r="I1" s="461" t="s">
        <v>53</v>
      </c>
      <c r="J1" s="461" t="s">
        <v>79</v>
      </c>
      <c r="M1" s="461" t="s">
        <v>68</v>
      </c>
      <c r="N1" s="461" t="s">
        <v>54</v>
      </c>
      <c r="Q1" s="461" t="s">
        <v>51</v>
      </c>
      <c r="R1" s="129" t="s">
        <v>437</v>
      </c>
      <c r="S1" s="461" t="s">
        <v>52</v>
      </c>
      <c r="T1" s="461" t="s">
        <v>50</v>
      </c>
      <c r="U1" s="461" t="s">
        <v>589</v>
      </c>
      <c r="V1" s="461" t="s">
        <v>57</v>
      </c>
    </row>
    <row r="2" spans="2:22">
      <c r="E2" s="503"/>
      <c r="G2" s="503"/>
      <c r="Q2" s="503"/>
      <c r="R2" s="503"/>
      <c r="S2" s="503"/>
      <c r="T2" s="503"/>
    </row>
    <row r="3" spans="2:22">
      <c r="B3" s="676" t="s">
        <v>580</v>
      </c>
      <c r="C3" s="676"/>
      <c r="D3" s="676"/>
      <c r="E3" s="676"/>
      <c r="F3" s="676"/>
      <c r="G3" s="676"/>
      <c r="H3" s="676"/>
      <c r="I3" s="676"/>
      <c r="J3" s="676"/>
      <c r="K3" s="676"/>
      <c r="L3" s="676"/>
      <c r="M3" s="676"/>
      <c r="N3" s="676"/>
      <c r="O3" s="676"/>
      <c r="P3" s="676"/>
      <c r="Q3" s="676"/>
      <c r="R3" s="676"/>
      <c r="S3" s="676"/>
      <c r="T3" s="676"/>
      <c r="U3" s="676"/>
    </row>
    <row r="4" spans="2:22" ht="15" thickBot="1">
      <c r="B4" s="677" t="s">
        <v>430</v>
      </c>
      <c r="C4" s="677"/>
      <c r="D4" s="677"/>
      <c r="E4" s="677"/>
      <c r="F4" s="677"/>
      <c r="G4" s="677"/>
      <c r="H4" s="677"/>
      <c r="I4" s="677"/>
      <c r="J4" s="677"/>
      <c r="K4" s="677"/>
      <c r="L4" s="677"/>
      <c r="M4" s="677"/>
      <c r="N4" s="677"/>
      <c r="O4" s="677"/>
      <c r="P4" s="677"/>
      <c r="Q4" s="677"/>
      <c r="R4" s="677"/>
      <c r="S4" s="677"/>
      <c r="T4" s="677"/>
      <c r="U4" s="677"/>
      <c r="V4" s="462"/>
    </row>
    <row r="5" spans="2:22" s="504" customFormat="1" ht="18.75" customHeight="1">
      <c r="B5" s="696"/>
      <c r="C5" s="680" t="s">
        <v>431</v>
      </c>
      <c r="D5" s="633"/>
      <c r="E5" s="680" t="s">
        <v>432</v>
      </c>
      <c r="F5" s="680" t="s">
        <v>433</v>
      </c>
      <c r="G5" s="680" t="s">
        <v>434</v>
      </c>
      <c r="H5" s="698" t="s">
        <v>435</v>
      </c>
      <c r="I5" s="699"/>
      <c r="J5" s="699"/>
      <c r="K5" s="699"/>
      <c r="L5" s="699"/>
      <c r="M5" s="699"/>
      <c r="N5" s="699"/>
      <c r="O5" s="699"/>
      <c r="P5" s="700"/>
      <c r="Q5" s="680" t="s">
        <v>436</v>
      </c>
      <c r="R5" s="680" t="s">
        <v>437</v>
      </c>
      <c r="S5" s="680" t="s">
        <v>438</v>
      </c>
      <c r="T5" s="680" t="s">
        <v>439</v>
      </c>
      <c r="U5" s="694" t="s">
        <v>587</v>
      </c>
      <c r="V5" s="694" t="s">
        <v>57</v>
      </c>
    </row>
    <row r="6" spans="2:22" s="462" customFormat="1" ht="50.25" customHeight="1" thickBot="1">
      <c r="B6" s="697"/>
      <c r="C6" s="681"/>
      <c r="D6" s="634" t="s">
        <v>586</v>
      </c>
      <c r="E6" s="681"/>
      <c r="F6" s="681"/>
      <c r="G6" s="681"/>
      <c r="H6" s="631" t="s">
        <v>440</v>
      </c>
      <c r="I6" s="631" t="s">
        <v>441</v>
      </c>
      <c r="J6" s="631" t="s">
        <v>442</v>
      </c>
      <c r="K6" s="631" t="s">
        <v>443</v>
      </c>
      <c r="L6" s="631" t="s">
        <v>444</v>
      </c>
      <c r="M6" s="631" t="s">
        <v>445</v>
      </c>
      <c r="N6" s="630" t="s">
        <v>500</v>
      </c>
      <c r="O6" s="631" t="s">
        <v>447</v>
      </c>
      <c r="P6" s="631" t="s">
        <v>448</v>
      </c>
      <c r="Q6" s="681"/>
      <c r="R6" s="681"/>
      <c r="S6" s="681"/>
      <c r="T6" s="681"/>
      <c r="U6" s="695"/>
      <c r="V6" s="695"/>
    </row>
    <row r="7" spans="2:22" ht="15">
      <c r="B7" s="464" t="s">
        <v>449</v>
      </c>
      <c r="C7" s="505">
        <v>2584672.0999999996</v>
      </c>
      <c r="D7" s="505"/>
      <c r="E7" s="505">
        <v>1616076.7</v>
      </c>
      <c r="F7" s="505"/>
      <c r="G7" s="505"/>
      <c r="H7" s="505"/>
      <c r="I7" s="505"/>
      <c r="J7" s="505"/>
      <c r="K7" s="505"/>
      <c r="L7" s="505"/>
      <c r="M7" s="505"/>
      <c r="N7" s="505"/>
      <c r="O7" s="505"/>
      <c r="P7" s="505"/>
      <c r="Q7" s="505">
        <v>957528.6</v>
      </c>
      <c r="R7" s="505">
        <v>11066.799999999997</v>
      </c>
      <c r="S7" s="505"/>
      <c r="T7" s="505"/>
      <c r="U7" s="506"/>
      <c r="V7" s="517">
        <f>SUM(H7:U7)+D7</f>
        <v>968595.4</v>
      </c>
    </row>
    <row r="8" spans="2:22">
      <c r="B8" s="467" t="s">
        <v>451</v>
      </c>
      <c r="C8" s="507">
        <v>12678.1</v>
      </c>
      <c r="D8" s="641"/>
      <c r="E8" s="507"/>
      <c r="F8" s="507"/>
      <c r="G8" s="507">
        <v>11999.1</v>
      </c>
      <c r="H8" s="507"/>
      <c r="I8" s="507">
        <v>52.1</v>
      </c>
      <c r="J8" s="507">
        <v>7343.5</v>
      </c>
      <c r="K8" s="507">
        <v>2884</v>
      </c>
      <c r="L8" s="507">
        <v>189.4</v>
      </c>
      <c r="M8" s="507">
        <v>21.3</v>
      </c>
      <c r="N8" s="507"/>
      <c r="O8" s="507">
        <v>4.0999999999999996</v>
      </c>
      <c r="P8" s="507">
        <v>1504.7</v>
      </c>
      <c r="Q8" s="507"/>
      <c r="R8" s="507"/>
      <c r="S8" s="507"/>
      <c r="T8" s="507">
        <v>492.8</v>
      </c>
      <c r="U8" s="508">
        <v>186.2</v>
      </c>
      <c r="V8" s="517">
        <f t="shared" ref="V8:V55" si="0">SUM(H8:U8)+D8</f>
        <v>12678.1</v>
      </c>
    </row>
    <row r="9" spans="2:22">
      <c r="B9" s="467" t="s">
        <v>452</v>
      </c>
      <c r="C9" s="507">
        <v>-1861834.3</v>
      </c>
      <c r="D9" s="641"/>
      <c r="E9" s="507">
        <v>-1346170.4</v>
      </c>
      <c r="F9" s="507"/>
      <c r="G9" s="507">
        <v>-48099.7</v>
      </c>
      <c r="H9" s="507"/>
      <c r="I9" s="507">
        <v>-2499.3000000000002</v>
      </c>
      <c r="J9" s="507"/>
      <c r="K9" s="507">
        <v>-5163.6000000000004</v>
      </c>
      <c r="L9" s="507"/>
      <c r="M9" s="507">
        <v>-32461.200000000001</v>
      </c>
      <c r="N9" s="507">
        <v>-8.5</v>
      </c>
      <c r="O9" s="507">
        <v>-495.5</v>
      </c>
      <c r="P9" s="507">
        <v>-7471.6</v>
      </c>
      <c r="Q9" s="507">
        <v>-462197</v>
      </c>
      <c r="R9" s="507"/>
      <c r="S9" s="507"/>
      <c r="T9" s="507">
        <v>-5367.2</v>
      </c>
      <c r="U9" s="508"/>
      <c r="V9" s="517">
        <f t="shared" si="0"/>
        <v>-515663.9</v>
      </c>
    </row>
    <row r="10" spans="2:22" ht="15">
      <c r="B10" s="470" t="s">
        <v>453</v>
      </c>
      <c r="C10" s="507">
        <v>-14818.8</v>
      </c>
      <c r="D10" s="641"/>
      <c r="E10" s="507"/>
      <c r="F10" s="507"/>
      <c r="G10" s="507">
        <v>-14818.8</v>
      </c>
      <c r="H10" s="507"/>
      <c r="I10" s="507"/>
      <c r="J10" s="507"/>
      <c r="K10" s="507">
        <v>-13513.5</v>
      </c>
      <c r="L10" s="507"/>
      <c r="M10" s="507">
        <v>-1305.3</v>
      </c>
      <c r="N10" s="507"/>
      <c r="O10" s="507"/>
      <c r="P10" s="507"/>
      <c r="Q10" s="507"/>
      <c r="R10" s="507"/>
      <c r="S10" s="507"/>
      <c r="T10" s="507"/>
      <c r="U10" s="508"/>
      <c r="V10" s="517">
        <f t="shared" si="0"/>
        <v>-14818.8</v>
      </c>
    </row>
    <row r="11" spans="2:22">
      <c r="B11" s="471" t="s">
        <v>454</v>
      </c>
      <c r="C11" s="507">
        <v>-1305.3</v>
      </c>
      <c r="D11" s="641"/>
      <c r="E11" s="507"/>
      <c r="F11" s="507"/>
      <c r="G11" s="507">
        <v>-1305.3</v>
      </c>
      <c r="H11" s="507"/>
      <c r="I11" s="507"/>
      <c r="J11" s="507"/>
      <c r="K11" s="507"/>
      <c r="L11" s="507"/>
      <c r="M11" s="507">
        <v>-1305.3</v>
      </c>
      <c r="N11" s="507"/>
      <c r="O11" s="507"/>
      <c r="P11" s="507"/>
      <c r="Q11" s="507"/>
      <c r="R11" s="507"/>
      <c r="S11" s="507"/>
      <c r="T11" s="507"/>
      <c r="U11" s="508"/>
      <c r="V11" s="517">
        <f t="shared" si="0"/>
        <v>-1305.3</v>
      </c>
    </row>
    <row r="12" spans="2:22">
      <c r="B12" s="471" t="s">
        <v>455</v>
      </c>
      <c r="C12" s="507">
        <v>-13513.5</v>
      </c>
      <c r="D12" s="641"/>
      <c r="E12" s="507"/>
      <c r="F12" s="507"/>
      <c r="G12" s="507">
        <v>-13513.5</v>
      </c>
      <c r="H12" s="507"/>
      <c r="I12" s="507"/>
      <c r="J12" s="507"/>
      <c r="K12" s="507">
        <v>-13513.5</v>
      </c>
      <c r="L12" s="507"/>
      <c r="M12" s="507"/>
      <c r="N12" s="507"/>
      <c r="O12" s="507"/>
      <c r="P12" s="507"/>
      <c r="Q12" s="507"/>
      <c r="R12" s="507"/>
      <c r="S12" s="507"/>
      <c r="T12" s="507"/>
      <c r="U12" s="508"/>
      <c r="V12" s="517">
        <f t="shared" si="0"/>
        <v>-13513.5</v>
      </c>
    </row>
    <row r="13" spans="2:22">
      <c r="B13" s="472" t="s">
        <v>456</v>
      </c>
      <c r="C13" s="507">
        <v>-7141.9000000000005</v>
      </c>
      <c r="D13" s="641"/>
      <c r="E13" s="507">
        <v>-758.4</v>
      </c>
      <c r="F13" s="507"/>
      <c r="G13" s="507">
        <v>-1403.8000000000002</v>
      </c>
      <c r="H13" s="507"/>
      <c r="I13" s="507">
        <v>464.7</v>
      </c>
      <c r="J13" s="507">
        <v>1114.5</v>
      </c>
      <c r="K13" s="507">
        <v>-25.9</v>
      </c>
      <c r="L13" s="507"/>
      <c r="M13" s="507">
        <v>170.6</v>
      </c>
      <c r="N13" s="507">
        <v>-2081.5</v>
      </c>
      <c r="O13" s="507">
        <v>-200.6</v>
      </c>
      <c r="P13" s="507">
        <v>-845.6</v>
      </c>
      <c r="Q13" s="507">
        <v>-4948.8999999999996</v>
      </c>
      <c r="R13" s="507">
        <v>-33.6</v>
      </c>
      <c r="S13" s="507"/>
      <c r="T13" s="507"/>
      <c r="U13" s="508">
        <v>2.8</v>
      </c>
      <c r="V13" s="517">
        <f t="shared" si="0"/>
        <v>-6383.5</v>
      </c>
    </row>
    <row r="14" spans="2:22">
      <c r="B14" s="473" t="s">
        <v>457</v>
      </c>
      <c r="C14" s="509">
        <v>713555.2</v>
      </c>
      <c r="D14" s="642"/>
      <c r="E14" s="509">
        <v>269147.90000000002</v>
      </c>
      <c r="F14" s="507"/>
      <c r="G14" s="509">
        <v>-52323.199999999997</v>
      </c>
      <c r="H14" s="507"/>
      <c r="I14" s="507">
        <v>-1982.5</v>
      </c>
      <c r="J14" s="507">
        <v>8458</v>
      </c>
      <c r="K14" s="507">
        <v>-15819</v>
      </c>
      <c r="L14" s="507">
        <v>189.4</v>
      </c>
      <c r="M14" s="507">
        <v>-33574.6</v>
      </c>
      <c r="N14" s="507">
        <v>-2090</v>
      </c>
      <c r="O14" s="507">
        <v>-692</v>
      </c>
      <c r="P14" s="507">
        <v>-6812.5</v>
      </c>
      <c r="Q14" s="509">
        <v>490382.7</v>
      </c>
      <c r="R14" s="509">
        <v>11033.199999999999</v>
      </c>
      <c r="S14" s="507"/>
      <c r="T14" s="509">
        <v>-4874.3999999999996</v>
      </c>
      <c r="U14" s="510">
        <v>189</v>
      </c>
      <c r="V14" s="517">
        <f t="shared" si="0"/>
        <v>444407.3</v>
      </c>
    </row>
    <row r="15" spans="2:22">
      <c r="B15" s="476" t="s">
        <v>458</v>
      </c>
      <c r="C15" s="509">
        <v>2461.4</v>
      </c>
      <c r="D15" s="642"/>
      <c r="E15" s="509"/>
      <c r="F15" s="507"/>
      <c r="G15" s="509">
        <v>955.00000000000011</v>
      </c>
      <c r="H15" s="507"/>
      <c r="I15" s="507"/>
      <c r="J15" s="507">
        <v>375.8</v>
      </c>
      <c r="K15" s="507"/>
      <c r="L15" s="507"/>
      <c r="M15" s="507">
        <v>563.1</v>
      </c>
      <c r="N15" s="507"/>
      <c r="O15" s="507"/>
      <c r="P15" s="507">
        <v>16.100000000000001</v>
      </c>
      <c r="Q15" s="509">
        <v>1402.3</v>
      </c>
      <c r="R15" s="507"/>
      <c r="S15" s="507"/>
      <c r="T15" s="509">
        <v>104.1</v>
      </c>
      <c r="U15" s="508"/>
      <c r="V15" s="517">
        <f t="shared" si="0"/>
        <v>2461.4</v>
      </c>
    </row>
    <row r="16" spans="2:22">
      <c r="B16" s="476" t="s">
        <v>459</v>
      </c>
      <c r="C16" s="507"/>
      <c r="D16" s="641"/>
      <c r="E16" s="507"/>
      <c r="F16" s="507"/>
      <c r="G16" s="507"/>
      <c r="H16" s="507"/>
      <c r="I16" s="507"/>
      <c r="J16" s="507"/>
      <c r="K16" s="507"/>
      <c r="L16" s="507"/>
      <c r="M16" s="507"/>
      <c r="N16" s="507"/>
      <c r="O16" s="507"/>
      <c r="P16" s="507"/>
      <c r="Q16" s="507"/>
      <c r="R16" s="507"/>
      <c r="S16" s="507"/>
      <c r="T16" s="507"/>
      <c r="U16" s="508"/>
      <c r="V16" s="517">
        <f t="shared" si="0"/>
        <v>0</v>
      </c>
    </row>
    <row r="17" spans="1:25">
      <c r="B17" s="476" t="s">
        <v>460</v>
      </c>
      <c r="C17" s="509">
        <v>-152555.29999999999</v>
      </c>
      <c r="D17" s="642"/>
      <c r="E17" s="509">
        <v>-266941.5</v>
      </c>
      <c r="F17" s="507"/>
      <c r="G17" s="509">
        <v>256780.2</v>
      </c>
      <c r="H17" s="507">
        <v>10275.5</v>
      </c>
      <c r="I17" s="507">
        <v>9959.2000000000007</v>
      </c>
      <c r="J17" s="507">
        <v>50169</v>
      </c>
      <c r="K17" s="507">
        <v>28779.8</v>
      </c>
      <c r="L17" s="507"/>
      <c r="M17" s="507">
        <v>95067.5</v>
      </c>
      <c r="N17" s="507">
        <v>5365.2</v>
      </c>
      <c r="O17" s="507">
        <v>10650.6</v>
      </c>
      <c r="P17" s="507">
        <v>46513.4</v>
      </c>
      <c r="Q17" s="509">
        <v>-241023.6</v>
      </c>
      <c r="R17" s="509">
        <v>-9248.8999999999978</v>
      </c>
      <c r="S17" s="509">
        <v>14016</v>
      </c>
      <c r="T17" s="509">
        <v>93862.5</v>
      </c>
      <c r="U17" s="508"/>
      <c r="V17" s="517">
        <f t="shared" si="0"/>
        <v>114386.20000000001</v>
      </c>
    </row>
    <row r="18" spans="1:25">
      <c r="B18" s="471" t="s">
        <v>461</v>
      </c>
      <c r="C18" s="507">
        <v>-85949.999999999985</v>
      </c>
      <c r="D18" s="641"/>
      <c r="E18" s="507"/>
      <c r="F18" s="507"/>
      <c r="G18" s="507">
        <v>-597.20000000000005</v>
      </c>
      <c r="H18" s="507"/>
      <c r="I18" s="507"/>
      <c r="J18" s="507"/>
      <c r="K18" s="507"/>
      <c r="L18" s="507"/>
      <c r="M18" s="507">
        <v>-597.20000000000005</v>
      </c>
      <c r="N18" s="507"/>
      <c r="O18" s="507"/>
      <c r="P18" s="507"/>
      <c r="Q18" s="507">
        <v>-142783.79999999999</v>
      </c>
      <c r="R18" s="507">
        <v>-9246.7999999999993</v>
      </c>
      <c r="S18" s="507"/>
      <c r="T18" s="507">
        <v>66677.8</v>
      </c>
      <c r="U18" s="508"/>
      <c r="V18" s="517">
        <f t="shared" si="0"/>
        <v>-85949.999999999985</v>
      </c>
      <c r="W18" s="511">
        <f>(T18+R18)/SUM(H18:Q18)*-1</f>
        <v>0.40054818978804724</v>
      </c>
      <c r="Y18" s="512">
        <f>SUM(S18:T18)/SUM(H18:R18)*-1</f>
        <v>0.43686536790807445</v>
      </c>
    </row>
    <row r="19" spans="1:25">
      <c r="B19" s="471" t="s">
        <v>462</v>
      </c>
      <c r="C19" s="507">
        <v>-54926.900000000009</v>
      </c>
      <c r="D19" s="641"/>
      <c r="E19" s="507"/>
      <c r="F19" s="507"/>
      <c r="G19" s="507">
        <v>-8.5</v>
      </c>
      <c r="H19" s="507"/>
      <c r="I19" s="507"/>
      <c r="J19" s="507"/>
      <c r="K19" s="507"/>
      <c r="L19" s="507"/>
      <c r="M19" s="507">
        <v>-8.5</v>
      </c>
      <c r="N19" s="507"/>
      <c r="O19" s="507"/>
      <c r="P19" s="507"/>
      <c r="Q19" s="507">
        <v>-89888.8</v>
      </c>
      <c r="R19" s="507"/>
      <c r="S19" s="507">
        <v>7785.7</v>
      </c>
      <c r="T19" s="507">
        <v>27184.7</v>
      </c>
      <c r="U19" s="508"/>
      <c r="V19" s="517">
        <f t="shared" si="0"/>
        <v>-54926.900000000009</v>
      </c>
      <c r="W19" s="512">
        <f>SUM(S19:T19)/SUM(H19:R19)*-1</f>
        <v>0.38900389666875423</v>
      </c>
    </row>
    <row r="20" spans="1:25">
      <c r="B20" s="471" t="s">
        <v>463</v>
      </c>
      <c r="C20" s="507">
        <v>-1922.8999999999996</v>
      </c>
      <c r="D20" s="641"/>
      <c r="E20" s="507"/>
      <c r="F20" s="507"/>
      <c r="G20" s="507">
        <v>-17</v>
      </c>
      <c r="H20" s="507"/>
      <c r="I20" s="507"/>
      <c r="J20" s="507"/>
      <c r="K20" s="507"/>
      <c r="L20" s="507"/>
      <c r="M20" s="507">
        <v>-8.5</v>
      </c>
      <c r="N20" s="507">
        <v>-8.5</v>
      </c>
      <c r="O20" s="507"/>
      <c r="P20" s="507"/>
      <c r="Q20" s="507">
        <v>-8136.2</v>
      </c>
      <c r="R20" s="507"/>
      <c r="S20" s="507">
        <v>6230.3</v>
      </c>
      <c r="T20" s="507"/>
      <c r="U20" s="508"/>
      <c r="V20" s="517">
        <f t="shared" si="0"/>
        <v>-1922.8999999999996</v>
      </c>
      <c r="W20" s="512">
        <f>SUM(S20:T20)/SUM(H20:R20)*-1</f>
        <v>0.76415395182259727</v>
      </c>
    </row>
    <row r="21" spans="1:25">
      <c r="B21" s="471" t="s">
        <v>464</v>
      </c>
      <c r="C21" s="507">
        <v>1174.4000000000001</v>
      </c>
      <c r="D21" s="641"/>
      <c r="E21" s="507"/>
      <c r="F21" s="507"/>
      <c r="G21" s="507">
        <v>1389.2</v>
      </c>
      <c r="H21" s="507"/>
      <c r="I21" s="507">
        <v>569.1</v>
      </c>
      <c r="J21" s="507"/>
      <c r="K21" s="507"/>
      <c r="L21" s="507"/>
      <c r="M21" s="507"/>
      <c r="N21" s="507"/>
      <c r="O21" s="507"/>
      <c r="P21" s="507">
        <v>820.1</v>
      </c>
      <c r="Q21" s="507">
        <v>-214.8</v>
      </c>
      <c r="R21" s="507"/>
      <c r="S21" s="507"/>
      <c r="T21" s="507"/>
      <c r="U21" s="508"/>
      <c r="V21" s="517">
        <f t="shared" si="0"/>
        <v>1174.4000000000001</v>
      </c>
    </row>
    <row r="22" spans="1:25">
      <c r="B22" s="471" t="s">
        <v>465</v>
      </c>
      <c r="C22" s="507"/>
      <c r="D22" s="641"/>
      <c r="E22" s="507"/>
      <c r="F22" s="507"/>
      <c r="G22" s="507"/>
      <c r="H22" s="507"/>
      <c r="I22" s="507"/>
      <c r="J22" s="507"/>
      <c r="K22" s="507"/>
      <c r="L22" s="507"/>
      <c r="M22" s="507"/>
      <c r="N22" s="507"/>
      <c r="O22" s="507"/>
      <c r="P22" s="507"/>
      <c r="Q22" s="507"/>
      <c r="R22" s="507"/>
      <c r="S22" s="507"/>
      <c r="T22" s="507"/>
      <c r="U22" s="508"/>
      <c r="V22" s="517">
        <f t="shared" si="0"/>
        <v>0</v>
      </c>
    </row>
    <row r="23" spans="1:25" ht="15">
      <c r="A23" s="512">
        <f>(C23-C26-T26)/E23</f>
        <v>0.2690919171428946</v>
      </c>
      <c r="B23" s="477" t="s">
        <v>466</v>
      </c>
      <c r="C23" s="507">
        <v>-10927.8</v>
      </c>
      <c r="D23" s="641"/>
      <c r="E23" s="507">
        <v>-266941.5</v>
      </c>
      <c r="F23" s="507"/>
      <c r="G23" s="507">
        <v>256013.7</v>
      </c>
      <c r="H23" s="507">
        <v>10275.5</v>
      </c>
      <c r="I23" s="507">
        <v>9390.1</v>
      </c>
      <c r="J23" s="507">
        <v>50169</v>
      </c>
      <c r="K23" s="507">
        <v>28779.8</v>
      </c>
      <c r="L23" s="507"/>
      <c r="M23" s="507">
        <v>95681.7</v>
      </c>
      <c r="N23" s="507">
        <v>5373.7</v>
      </c>
      <c r="O23" s="507">
        <v>10650.6</v>
      </c>
      <c r="P23" s="507">
        <v>45693.3</v>
      </c>
      <c r="Q23" s="507"/>
      <c r="R23" s="507"/>
      <c r="S23" s="507"/>
      <c r="T23" s="507"/>
      <c r="U23" s="508"/>
      <c r="V23" s="517">
        <f t="shared" si="0"/>
        <v>256013.7</v>
      </c>
      <c r="W23" s="488">
        <v>29</v>
      </c>
      <c r="X23" s="488">
        <f>W23/$W$27</f>
        <v>5.8467741935483868E-2</v>
      </c>
    </row>
    <row r="24" spans="1:25" ht="15">
      <c r="B24" s="477" t="s">
        <v>467</v>
      </c>
      <c r="C24" s="507"/>
      <c r="D24" s="641"/>
      <c r="E24" s="507"/>
      <c r="F24" s="507"/>
      <c r="G24" s="507"/>
      <c r="H24" s="507"/>
      <c r="I24" s="507"/>
      <c r="J24" s="507"/>
      <c r="K24" s="507"/>
      <c r="L24" s="507"/>
      <c r="M24" s="507"/>
      <c r="N24" s="507"/>
      <c r="O24" s="507"/>
      <c r="P24" s="507"/>
      <c r="Q24" s="507"/>
      <c r="R24" s="507"/>
      <c r="S24" s="507"/>
      <c r="T24" s="507"/>
      <c r="U24" s="508"/>
      <c r="V24" s="517">
        <f t="shared" si="0"/>
        <v>0</v>
      </c>
      <c r="W24" s="488">
        <v>54</v>
      </c>
      <c r="X24" s="488">
        <f>W24/$W$27</f>
        <v>0.10887096774193548</v>
      </c>
    </row>
    <row r="25" spans="1:25">
      <c r="B25" s="471" t="s">
        <v>468</v>
      </c>
      <c r="C25" s="507">
        <v>-2.0999999999999996</v>
      </c>
      <c r="D25" s="641"/>
      <c r="E25" s="507"/>
      <c r="F25" s="507"/>
      <c r="G25" s="507"/>
      <c r="H25" s="507"/>
      <c r="I25" s="507"/>
      <c r="J25" s="507"/>
      <c r="K25" s="507"/>
      <c r="L25" s="507"/>
      <c r="M25" s="507"/>
      <c r="N25" s="507"/>
      <c r="O25" s="507"/>
      <c r="P25" s="507"/>
      <c r="Q25" s="507"/>
      <c r="R25" s="507"/>
      <c r="S25" s="507"/>
      <c r="T25" s="507"/>
      <c r="U25" s="508"/>
      <c r="V25" s="517">
        <f t="shared" si="0"/>
        <v>0</v>
      </c>
      <c r="W25" s="488">
        <v>98</v>
      </c>
      <c r="X25" s="488">
        <f>W25/$W$27</f>
        <v>0.19758064516129031</v>
      </c>
    </row>
    <row r="26" spans="1:25" ht="15">
      <c r="B26" s="478" t="s">
        <v>469</v>
      </c>
      <c r="C26" s="509">
        <v>47230.5</v>
      </c>
      <c r="D26" s="642"/>
      <c r="E26" s="509">
        <v>452.5</v>
      </c>
      <c r="F26" s="507"/>
      <c r="G26" s="509">
        <v>13615.7</v>
      </c>
      <c r="H26" s="507">
        <v>7968</v>
      </c>
      <c r="I26" s="507"/>
      <c r="J26" s="507"/>
      <c r="K26" s="507"/>
      <c r="L26" s="507"/>
      <c r="M26" s="507"/>
      <c r="N26" s="507"/>
      <c r="O26" s="507"/>
      <c r="P26" s="507">
        <v>5647.7</v>
      </c>
      <c r="Q26" s="509">
        <v>19479.2</v>
      </c>
      <c r="R26" s="507"/>
      <c r="S26" s="509">
        <v>9.6</v>
      </c>
      <c r="T26" s="509">
        <v>13673.5</v>
      </c>
      <c r="U26" s="508"/>
      <c r="V26" s="517">
        <f t="shared" si="0"/>
        <v>46778</v>
      </c>
      <c r="W26" s="488">
        <v>315</v>
      </c>
      <c r="X26" s="488">
        <f>W26/$W$27</f>
        <v>0.63508064516129037</v>
      </c>
    </row>
    <row r="27" spans="1:25" ht="15">
      <c r="B27" s="478" t="s">
        <v>470</v>
      </c>
      <c r="C27" s="509">
        <v>38719.5</v>
      </c>
      <c r="D27" s="642"/>
      <c r="E27" s="509">
        <v>1753.9</v>
      </c>
      <c r="F27" s="507"/>
      <c r="G27" s="507"/>
      <c r="H27" s="507"/>
      <c r="I27" s="507"/>
      <c r="J27" s="507"/>
      <c r="K27" s="507"/>
      <c r="L27" s="507"/>
      <c r="M27" s="507"/>
      <c r="N27" s="507"/>
      <c r="O27" s="507"/>
      <c r="P27" s="507"/>
      <c r="Q27" s="509">
        <v>28154.5</v>
      </c>
      <c r="R27" s="507"/>
      <c r="S27" s="509">
        <v>798.9</v>
      </c>
      <c r="T27" s="509">
        <v>8012.2</v>
      </c>
      <c r="U27" s="508"/>
      <c r="V27" s="517">
        <f t="shared" si="0"/>
        <v>36965.599999999999</v>
      </c>
      <c r="W27" s="488">
        <f>SUM(W23:W26)</f>
        <v>496</v>
      </c>
      <c r="X27" s="503"/>
    </row>
    <row r="28" spans="1:25" ht="15">
      <c r="B28" s="478" t="s">
        <v>471</v>
      </c>
      <c r="C28" s="509">
        <v>472588.5</v>
      </c>
      <c r="D28" s="642"/>
      <c r="E28" s="507"/>
      <c r="F28" s="507"/>
      <c r="G28" s="509">
        <v>189886.30000000002</v>
      </c>
      <c r="H28" s="507">
        <v>2307.5</v>
      </c>
      <c r="I28" s="507">
        <v>7976.7</v>
      </c>
      <c r="J28" s="507">
        <v>58251.199999999997</v>
      </c>
      <c r="K28" s="507">
        <v>12960.8</v>
      </c>
      <c r="L28" s="507">
        <v>189.4</v>
      </c>
      <c r="M28" s="507">
        <v>60929.8</v>
      </c>
      <c r="N28" s="507">
        <v>3275.2</v>
      </c>
      <c r="O28" s="507">
        <v>9958.6</v>
      </c>
      <c r="P28" s="507">
        <v>34037.1</v>
      </c>
      <c r="Q28" s="509">
        <v>200323.1</v>
      </c>
      <c r="R28" s="509">
        <v>1784.3000000000002</v>
      </c>
      <c r="S28" s="509">
        <v>13207.5</v>
      </c>
      <c r="T28" s="509">
        <v>67198.3</v>
      </c>
      <c r="U28" s="510">
        <v>189</v>
      </c>
      <c r="V28" s="517">
        <f t="shared" si="0"/>
        <v>472588.5</v>
      </c>
    </row>
    <row r="29" spans="1:25" ht="15">
      <c r="B29" s="478" t="s">
        <v>472</v>
      </c>
      <c r="C29" s="509">
        <v>417127.69999999995</v>
      </c>
      <c r="D29" s="642"/>
      <c r="E29" s="507"/>
      <c r="F29" s="507"/>
      <c r="G29" s="509">
        <v>135808.9</v>
      </c>
      <c r="H29" s="507"/>
      <c r="I29" s="507">
        <v>1033.7</v>
      </c>
      <c r="J29" s="507">
        <v>58251.199999999997</v>
      </c>
      <c r="K29" s="507">
        <v>12960.8</v>
      </c>
      <c r="L29" s="507">
        <v>25.8</v>
      </c>
      <c r="M29" s="507">
        <v>60784.800000000003</v>
      </c>
      <c r="N29" s="507">
        <v>2655</v>
      </c>
      <c r="O29" s="507"/>
      <c r="P29" s="507">
        <v>97.6</v>
      </c>
      <c r="Q29" s="509">
        <v>199092.7</v>
      </c>
      <c r="R29" s="509">
        <v>1784.3000000000002</v>
      </c>
      <c r="S29" s="509">
        <v>13207.5</v>
      </c>
      <c r="T29" s="509">
        <v>67198.3</v>
      </c>
      <c r="U29" s="510">
        <v>36</v>
      </c>
      <c r="V29" s="517">
        <f t="shared" si="0"/>
        <v>417127.69999999995</v>
      </c>
    </row>
    <row r="30" spans="1:25">
      <c r="B30" s="479" t="s">
        <v>473</v>
      </c>
      <c r="C30" s="643">
        <v>2329926.804</v>
      </c>
      <c r="D30" s="648">
        <v>128697.84699999999</v>
      </c>
      <c r="E30" s="645">
        <v>0</v>
      </c>
      <c r="F30" s="646" t="s">
        <v>588</v>
      </c>
      <c r="G30" s="643">
        <v>137636.19099999999</v>
      </c>
      <c r="H30" s="643">
        <v>14511.948</v>
      </c>
      <c r="I30" s="645">
        <v>2799.81</v>
      </c>
      <c r="J30" s="643">
        <v>3086.5129999999999</v>
      </c>
      <c r="K30" s="645">
        <v>0</v>
      </c>
      <c r="L30" s="645">
        <v>0</v>
      </c>
      <c r="M30" s="643">
        <v>79286.168999999994</v>
      </c>
      <c r="N30" s="643">
        <v>25940.548999999999</v>
      </c>
      <c r="O30" s="645">
        <v>0</v>
      </c>
      <c r="P30" s="647">
        <f>G30-SUM(H30:O30)</f>
        <v>12011.20199999999</v>
      </c>
      <c r="Q30" s="643">
        <v>815408.51300000004</v>
      </c>
      <c r="R30" s="365">
        <v>168217.65299999999</v>
      </c>
      <c r="S30" s="645">
        <v>179213</v>
      </c>
      <c r="T30" s="645">
        <v>803761.2</v>
      </c>
      <c r="U30" s="644">
        <v>96992.4</v>
      </c>
      <c r="V30" s="517">
        <f t="shared" si="0"/>
        <v>2329926.804</v>
      </c>
    </row>
    <row r="31" spans="1:25" ht="15">
      <c r="B31" s="480" t="s">
        <v>474</v>
      </c>
      <c r="C31" s="648">
        <v>298073.03499999997</v>
      </c>
      <c r="D31" s="643">
        <v>28433.278999999999</v>
      </c>
      <c r="E31" s="644">
        <v>0</v>
      </c>
      <c r="F31" s="647" t="s">
        <v>588</v>
      </c>
      <c r="G31" s="648">
        <v>600.34400000000005</v>
      </c>
      <c r="H31" s="644">
        <v>0</v>
      </c>
      <c r="I31" s="648">
        <v>43.073999999999998</v>
      </c>
      <c r="J31" s="644">
        <v>0</v>
      </c>
      <c r="K31" s="644">
        <v>0</v>
      </c>
      <c r="L31" s="644">
        <v>0</v>
      </c>
      <c r="M31" s="644">
        <v>429.27</v>
      </c>
      <c r="N31" s="644">
        <v>0</v>
      </c>
      <c r="O31" s="644">
        <v>0</v>
      </c>
      <c r="P31" s="647">
        <f t="shared" ref="P31:P43" si="1">G31-SUM(H31:O31)</f>
        <v>128.00000000000006</v>
      </c>
      <c r="Q31" s="648">
        <v>86104.111999999994</v>
      </c>
      <c r="R31" s="365">
        <v>4</v>
      </c>
      <c r="S31" s="644">
        <v>1410</v>
      </c>
      <c r="T31" s="644">
        <v>87739.199999999997</v>
      </c>
      <c r="U31" s="645">
        <v>93782.1</v>
      </c>
      <c r="V31" s="517">
        <f t="shared" si="0"/>
        <v>298073.03499999997</v>
      </c>
    </row>
    <row r="32" spans="1:25" ht="15">
      <c r="B32" s="480" t="s">
        <v>475</v>
      </c>
      <c r="C32" s="643">
        <v>567567.06900000002</v>
      </c>
      <c r="D32" s="648">
        <v>14652.936</v>
      </c>
      <c r="E32" s="645">
        <v>0</v>
      </c>
      <c r="F32" s="646" t="s">
        <v>588</v>
      </c>
      <c r="G32" s="643">
        <v>35945.790999999997</v>
      </c>
      <c r="H32" s="645">
        <v>12737.76</v>
      </c>
      <c r="I32" s="645">
        <v>0</v>
      </c>
      <c r="J32" s="645">
        <v>0</v>
      </c>
      <c r="K32" s="645">
        <v>0</v>
      </c>
      <c r="L32" s="645">
        <v>0</v>
      </c>
      <c r="M32" s="643">
        <v>1588.299</v>
      </c>
      <c r="N32" s="643">
        <v>21139.732</v>
      </c>
      <c r="O32" s="645">
        <v>0</v>
      </c>
      <c r="P32" s="647">
        <f t="shared" si="1"/>
        <v>480</v>
      </c>
      <c r="Q32" s="643">
        <v>209784.61600000001</v>
      </c>
      <c r="R32" s="365">
        <v>10570.925999999999</v>
      </c>
      <c r="S32" s="645">
        <v>105172</v>
      </c>
      <c r="T32" s="645">
        <v>189748.8</v>
      </c>
      <c r="U32" s="644">
        <v>1692</v>
      </c>
      <c r="V32" s="517">
        <f t="shared" si="0"/>
        <v>567567.0689999999</v>
      </c>
    </row>
    <row r="33" spans="2:22" ht="15">
      <c r="B33" s="480" t="s">
        <v>476</v>
      </c>
      <c r="C33" s="648">
        <v>94496.457999999999</v>
      </c>
      <c r="D33" s="643">
        <v>1097.598</v>
      </c>
      <c r="E33" s="644">
        <v>0</v>
      </c>
      <c r="F33" s="647" t="s">
        <v>588</v>
      </c>
      <c r="G33" s="648">
        <v>1601.681</v>
      </c>
      <c r="H33" s="644">
        <v>0</v>
      </c>
      <c r="I33" s="648">
        <v>86.147999999999996</v>
      </c>
      <c r="J33" s="644">
        <v>0</v>
      </c>
      <c r="K33" s="644">
        <v>0</v>
      </c>
      <c r="L33" s="644">
        <v>0</v>
      </c>
      <c r="M33" s="648">
        <v>472.197</v>
      </c>
      <c r="N33" s="648">
        <v>685.83100000000002</v>
      </c>
      <c r="O33" s="644">
        <v>0</v>
      </c>
      <c r="P33" s="647">
        <f t="shared" si="1"/>
        <v>357.50500000000011</v>
      </c>
      <c r="Q33" s="644">
        <v>35464.18</v>
      </c>
      <c r="R33" s="365">
        <v>248</v>
      </c>
      <c r="S33" s="644">
        <v>1131</v>
      </c>
      <c r="T33" s="644">
        <v>54954</v>
      </c>
      <c r="U33" s="645">
        <v>0</v>
      </c>
      <c r="V33" s="517">
        <f t="shared" si="0"/>
        <v>94496.459000000003</v>
      </c>
    </row>
    <row r="34" spans="2:22" ht="15">
      <c r="B34" s="480" t="s">
        <v>477</v>
      </c>
      <c r="C34" s="643">
        <v>281834.08299999998</v>
      </c>
      <c r="D34" s="648">
        <v>53875.453000000001</v>
      </c>
      <c r="E34" s="645">
        <v>0</v>
      </c>
      <c r="F34" s="646" t="s">
        <v>588</v>
      </c>
      <c r="G34" s="643">
        <v>16428.066999999999</v>
      </c>
      <c r="H34" s="645">
        <v>0</v>
      </c>
      <c r="I34" s="643">
        <v>516.88800000000003</v>
      </c>
      <c r="J34" s="645">
        <v>0</v>
      </c>
      <c r="K34" s="645">
        <v>0</v>
      </c>
      <c r="L34" s="645">
        <v>0</v>
      </c>
      <c r="M34" s="643">
        <v>3176.598</v>
      </c>
      <c r="N34" s="643">
        <v>2339.8939999999998</v>
      </c>
      <c r="O34" s="645">
        <v>0</v>
      </c>
      <c r="P34" s="647">
        <f t="shared" si="1"/>
        <v>10394.687</v>
      </c>
      <c r="Q34" s="645">
        <v>105073.03</v>
      </c>
      <c r="R34" s="365">
        <v>60597.334000000003</v>
      </c>
      <c r="S34" s="645">
        <v>889</v>
      </c>
      <c r="T34" s="645">
        <v>44971.199999999997</v>
      </c>
      <c r="U34" s="644">
        <v>0</v>
      </c>
      <c r="V34" s="517">
        <f t="shared" si="0"/>
        <v>281834.08399999997</v>
      </c>
    </row>
    <row r="35" spans="2:22" ht="15">
      <c r="B35" s="480" t="s">
        <v>478</v>
      </c>
      <c r="C35" s="648">
        <v>120246.702</v>
      </c>
      <c r="D35" s="645">
        <v>7161.88</v>
      </c>
      <c r="E35" s="644">
        <v>0</v>
      </c>
      <c r="F35" s="647" t="s">
        <v>588</v>
      </c>
      <c r="G35" s="648">
        <v>1628.5350000000001</v>
      </c>
      <c r="H35" s="644">
        <v>0</v>
      </c>
      <c r="I35" s="644">
        <v>215.37</v>
      </c>
      <c r="J35" s="644">
        <v>0</v>
      </c>
      <c r="K35" s="644">
        <v>0</v>
      </c>
      <c r="L35" s="644">
        <v>0</v>
      </c>
      <c r="M35" s="648">
        <v>1373.664</v>
      </c>
      <c r="N35" s="644">
        <v>0</v>
      </c>
      <c r="O35" s="644">
        <v>0</v>
      </c>
      <c r="P35" s="647">
        <f t="shared" si="1"/>
        <v>39.500999999999976</v>
      </c>
      <c r="Q35" s="648">
        <v>36605.161</v>
      </c>
      <c r="R35" s="365">
        <v>464.92599999999999</v>
      </c>
      <c r="S35" s="644">
        <v>12126</v>
      </c>
      <c r="T35" s="644">
        <v>61120.800000000003</v>
      </c>
      <c r="U35" s="645">
        <v>1139.4000000000001</v>
      </c>
      <c r="V35" s="517">
        <f t="shared" si="0"/>
        <v>120246.702</v>
      </c>
    </row>
    <row r="36" spans="2:22" ht="15">
      <c r="B36" s="480" t="s">
        <v>342</v>
      </c>
      <c r="C36" s="643">
        <v>214289.12599999999</v>
      </c>
      <c r="D36" s="648">
        <v>574.64200000000005</v>
      </c>
      <c r="E36" s="645">
        <v>0</v>
      </c>
      <c r="F36" s="646" t="s">
        <v>588</v>
      </c>
      <c r="G36" s="643">
        <v>8575.7720000000008</v>
      </c>
      <c r="H36" s="645">
        <v>0</v>
      </c>
      <c r="I36" s="643">
        <v>947.62800000000004</v>
      </c>
      <c r="J36" s="645">
        <v>0</v>
      </c>
      <c r="K36" s="645">
        <v>0</v>
      </c>
      <c r="L36" s="645">
        <v>0</v>
      </c>
      <c r="M36" s="643">
        <v>7469.2979999999998</v>
      </c>
      <c r="N36" s="643">
        <v>40.343000000000004</v>
      </c>
      <c r="O36" s="645">
        <v>0</v>
      </c>
      <c r="P36" s="647">
        <f t="shared" si="1"/>
        <v>118.50300000000061</v>
      </c>
      <c r="Q36" s="643">
        <v>73810.733999999997</v>
      </c>
      <c r="R36" s="365">
        <v>2225.7780000000002</v>
      </c>
      <c r="S36" s="645">
        <v>10178</v>
      </c>
      <c r="T36" s="645">
        <v>118558.8</v>
      </c>
      <c r="U36" s="644">
        <v>365.4</v>
      </c>
      <c r="V36" s="517">
        <f t="shared" si="0"/>
        <v>214289.12599999999</v>
      </c>
    </row>
    <row r="37" spans="2:22">
      <c r="B37" s="481" t="s">
        <v>479</v>
      </c>
      <c r="C37" s="648">
        <v>14600.868</v>
      </c>
      <c r="D37" s="645">
        <v>2624.08</v>
      </c>
      <c r="E37" s="644">
        <v>0</v>
      </c>
      <c r="F37" s="647" t="s">
        <v>588</v>
      </c>
      <c r="G37" s="648">
        <v>1194.825</v>
      </c>
      <c r="H37" s="644">
        <v>0</v>
      </c>
      <c r="I37" s="648">
        <v>129.22200000000001</v>
      </c>
      <c r="J37" s="644">
        <v>0</v>
      </c>
      <c r="K37" s="644">
        <v>0</v>
      </c>
      <c r="L37" s="644">
        <v>0</v>
      </c>
      <c r="M37" s="648">
        <v>729.75900000000001</v>
      </c>
      <c r="N37" s="648">
        <v>40.343000000000004</v>
      </c>
      <c r="O37" s="644">
        <v>0</v>
      </c>
      <c r="P37" s="647">
        <f t="shared" si="1"/>
        <v>295.50100000000009</v>
      </c>
      <c r="Q37" s="648">
        <v>3917.636</v>
      </c>
      <c r="R37" s="365">
        <v>229.92599999999999</v>
      </c>
      <c r="S37" s="644">
        <v>194</v>
      </c>
      <c r="T37" s="644">
        <v>6440.4</v>
      </c>
      <c r="U37" s="645">
        <v>0</v>
      </c>
      <c r="V37" s="517">
        <f t="shared" si="0"/>
        <v>14600.867</v>
      </c>
    </row>
    <row r="38" spans="2:22">
      <c r="B38" s="481" t="s">
        <v>480</v>
      </c>
      <c r="C38" s="643">
        <v>213476.288</v>
      </c>
      <c r="D38" s="648">
        <v>7846.0739999999996</v>
      </c>
      <c r="E38" s="645">
        <v>0</v>
      </c>
      <c r="F38" s="646" t="s">
        <v>588</v>
      </c>
      <c r="G38" s="643">
        <v>6834.6090000000004</v>
      </c>
      <c r="H38" s="645">
        <v>0</v>
      </c>
      <c r="I38" s="643">
        <v>258.44400000000002</v>
      </c>
      <c r="J38" s="645">
        <v>0</v>
      </c>
      <c r="K38" s="645">
        <v>0</v>
      </c>
      <c r="L38" s="645">
        <v>0</v>
      </c>
      <c r="M38" s="643">
        <v>5365.875</v>
      </c>
      <c r="N38" s="645">
        <v>1210.29</v>
      </c>
      <c r="O38" s="645">
        <v>0</v>
      </c>
      <c r="P38" s="647">
        <f t="shared" si="1"/>
        <v>0</v>
      </c>
      <c r="Q38" s="643">
        <v>116593.553</v>
      </c>
      <c r="R38" s="365">
        <v>3008.8519999999999</v>
      </c>
      <c r="S38" s="645">
        <v>11956</v>
      </c>
      <c r="T38" s="645">
        <v>67237.2</v>
      </c>
      <c r="U38" s="644">
        <v>0</v>
      </c>
      <c r="V38" s="517">
        <f t="shared" si="0"/>
        <v>213476.28799999997</v>
      </c>
    </row>
    <row r="39" spans="2:22">
      <c r="B39" s="481" t="s">
        <v>481</v>
      </c>
      <c r="C39" s="648">
        <v>223933.81700000001</v>
      </c>
      <c r="D39" s="645">
        <v>10776.85</v>
      </c>
      <c r="E39" s="644">
        <v>0</v>
      </c>
      <c r="F39" s="647" t="s">
        <v>588</v>
      </c>
      <c r="G39" s="648">
        <v>1645.181</v>
      </c>
      <c r="H39" s="644">
        <v>0</v>
      </c>
      <c r="I39" s="648">
        <v>86.147999999999996</v>
      </c>
      <c r="J39" s="644">
        <v>0</v>
      </c>
      <c r="K39" s="644">
        <v>0</v>
      </c>
      <c r="L39" s="644">
        <v>0</v>
      </c>
      <c r="M39" s="648">
        <v>1116.1020000000001</v>
      </c>
      <c r="N39" s="644">
        <v>403.43</v>
      </c>
      <c r="O39" s="644">
        <v>0</v>
      </c>
      <c r="P39" s="647">
        <f t="shared" si="1"/>
        <v>39.500999999999976</v>
      </c>
      <c r="Q39" s="648">
        <v>78489.357000000004</v>
      </c>
      <c r="R39" s="365">
        <v>34984.630000000005</v>
      </c>
      <c r="S39" s="644">
        <v>26801</v>
      </c>
      <c r="T39" s="644">
        <v>71236.800000000003</v>
      </c>
      <c r="U39" s="645">
        <v>0</v>
      </c>
      <c r="V39" s="517">
        <f t="shared" si="0"/>
        <v>223933.818</v>
      </c>
    </row>
    <row r="40" spans="2:22" ht="15">
      <c r="B40" s="480" t="s">
        <v>482</v>
      </c>
      <c r="C40" s="643">
        <v>72305.264999999999</v>
      </c>
      <c r="D40" s="644">
        <v>0</v>
      </c>
      <c r="E40" s="645">
        <v>0</v>
      </c>
      <c r="F40" s="646" t="s">
        <v>588</v>
      </c>
      <c r="G40" s="643">
        <v>641.46799999999996</v>
      </c>
      <c r="H40" s="645">
        <v>0</v>
      </c>
      <c r="I40" s="643">
        <v>43.073999999999998</v>
      </c>
      <c r="J40" s="645">
        <v>0</v>
      </c>
      <c r="K40" s="645">
        <v>0</v>
      </c>
      <c r="L40" s="645">
        <v>0</v>
      </c>
      <c r="M40" s="643">
        <v>558.05100000000004</v>
      </c>
      <c r="N40" s="643">
        <v>40.343000000000004</v>
      </c>
      <c r="O40" s="645">
        <v>0</v>
      </c>
      <c r="P40" s="647">
        <f t="shared" si="1"/>
        <v>0</v>
      </c>
      <c r="Q40" s="643">
        <v>4556.9449999999997</v>
      </c>
      <c r="R40" s="365">
        <v>48445.851999999999</v>
      </c>
      <c r="S40" s="645">
        <v>2227</v>
      </c>
      <c r="T40" s="645">
        <v>16434</v>
      </c>
      <c r="U40" s="644">
        <v>0</v>
      </c>
      <c r="V40" s="517">
        <f t="shared" si="0"/>
        <v>72305.264999999999</v>
      </c>
    </row>
    <row r="41" spans="2:22">
      <c r="B41" s="481" t="s">
        <v>483</v>
      </c>
      <c r="C41" s="643">
        <v>17319.823</v>
      </c>
      <c r="D41" s="648">
        <v>180.55199999999999</v>
      </c>
      <c r="E41" s="645">
        <v>0</v>
      </c>
      <c r="F41" s="646" t="s">
        <v>588</v>
      </c>
      <c r="G41" s="643">
        <v>601.125</v>
      </c>
      <c r="H41" s="645">
        <v>0</v>
      </c>
      <c r="I41" s="643">
        <v>43.073999999999998</v>
      </c>
      <c r="J41" s="645">
        <v>0</v>
      </c>
      <c r="K41" s="645">
        <v>0</v>
      </c>
      <c r="L41" s="645">
        <v>0</v>
      </c>
      <c r="M41" s="643">
        <v>558.05100000000004</v>
      </c>
      <c r="N41" s="645">
        <v>0</v>
      </c>
      <c r="O41" s="645">
        <v>0</v>
      </c>
      <c r="P41" s="647">
        <f t="shared" si="1"/>
        <v>0</v>
      </c>
      <c r="Q41" s="643">
        <v>8865.5460000000003</v>
      </c>
      <c r="R41" s="365">
        <v>123</v>
      </c>
      <c r="S41" s="645">
        <v>544</v>
      </c>
      <c r="T41" s="645">
        <v>7005.6</v>
      </c>
      <c r="U41" s="645">
        <v>0</v>
      </c>
      <c r="V41" s="517">
        <f t="shared" si="0"/>
        <v>17319.823</v>
      </c>
    </row>
    <row r="42" spans="2:22">
      <c r="B42" s="481" t="s">
        <v>253</v>
      </c>
      <c r="C42" s="648">
        <v>102209.42200000001</v>
      </c>
      <c r="D42" s="645">
        <v>0</v>
      </c>
      <c r="E42" s="644">
        <v>0</v>
      </c>
      <c r="F42" s="647" t="s">
        <v>588</v>
      </c>
      <c r="G42" s="648">
        <v>56315.993000000002</v>
      </c>
      <c r="H42" s="644">
        <v>0</v>
      </c>
      <c r="I42" s="644">
        <v>0</v>
      </c>
      <c r="J42" s="648">
        <v>3086.5129999999999</v>
      </c>
      <c r="K42" s="644">
        <v>0</v>
      </c>
      <c r="L42" s="644">
        <v>0</v>
      </c>
      <c r="M42" s="644">
        <v>53229.48</v>
      </c>
      <c r="N42" s="644">
        <v>0</v>
      </c>
      <c r="O42" s="644">
        <v>0</v>
      </c>
      <c r="P42" s="647">
        <f t="shared" si="1"/>
        <v>0</v>
      </c>
      <c r="Q42" s="644">
        <v>26449.200000000001</v>
      </c>
      <c r="R42" s="365">
        <v>2099.4290000000001</v>
      </c>
      <c r="S42" s="644">
        <v>0</v>
      </c>
      <c r="T42" s="644">
        <v>17344.8</v>
      </c>
      <c r="U42" s="644">
        <v>0</v>
      </c>
      <c r="V42" s="517">
        <f t="shared" si="0"/>
        <v>102209.42200000001</v>
      </c>
    </row>
    <row r="43" spans="2:22" ht="15">
      <c r="B43" s="480" t="s">
        <v>484</v>
      </c>
      <c r="C43" s="648">
        <v>109114.848</v>
      </c>
      <c r="D43" s="643">
        <v>1474.5050000000001</v>
      </c>
      <c r="E43" s="644">
        <v>0</v>
      </c>
      <c r="F43" s="647" t="s">
        <v>588</v>
      </c>
      <c r="G43" s="644">
        <v>5622.8</v>
      </c>
      <c r="H43" s="648">
        <v>1774.1880000000001</v>
      </c>
      <c r="I43" s="644">
        <v>430.74</v>
      </c>
      <c r="J43" s="644">
        <v>0</v>
      </c>
      <c r="K43" s="644">
        <v>0</v>
      </c>
      <c r="L43" s="644">
        <v>0</v>
      </c>
      <c r="M43" s="648">
        <v>3219.5250000000001</v>
      </c>
      <c r="N43" s="648">
        <v>40.343000000000004</v>
      </c>
      <c r="O43" s="644">
        <v>0</v>
      </c>
      <c r="P43" s="647">
        <f t="shared" si="1"/>
        <v>158.00400000000081</v>
      </c>
      <c r="Q43" s="648">
        <v>29694.444</v>
      </c>
      <c r="R43" s="365">
        <v>4755</v>
      </c>
      <c r="S43" s="644">
        <v>6585</v>
      </c>
      <c r="T43" s="644">
        <v>60969.599999999999</v>
      </c>
      <c r="U43" s="645">
        <v>13.5</v>
      </c>
      <c r="V43" s="517">
        <f t="shared" si="0"/>
        <v>109114.849</v>
      </c>
    </row>
    <row r="44" spans="2:22" ht="15">
      <c r="B44" s="482" t="s">
        <v>485</v>
      </c>
      <c r="C44" s="509">
        <v>116855.90000000001</v>
      </c>
      <c r="D44" s="642"/>
      <c r="E44" s="507"/>
      <c r="F44" s="507"/>
      <c r="G44" s="509">
        <v>115375.30000000002</v>
      </c>
      <c r="H44" s="507"/>
      <c r="I44" s="507">
        <v>848.9</v>
      </c>
      <c r="J44" s="507">
        <v>58030.9</v>
      </c>
      <c r="K44" s="507">
        <v>12960.8</v>
      </c>
      <c r="L44" s="507">
        <v>4.3</v>
      </c>
      <c r="M44" s="507">
        <v>43513.4</v>
      </c>
      <c r="N44" s="507">
        <v>17</v>
      </c>
      <c r="O44" s="507"/>
      <c r="P44" s="507"/>
      <c r="Q44" s="509">
        <v>23.4</v>
      </c>
      <c r="R44" s="509">
        <v>2.1</v>
      </c>
      <c r="S44" s="507"/>
      <c r="T44" s="509">
        <v>1427.4</v>
      </c>
      <c r="U44" s="510">
        <v>27.7</v>
      </c>
      <c r="V44" s="517">
        <f t="shared" si="0"/>
        <v>116855.90000000001</v>
      </c>
    </row>
    <row r="45" spans="2:22">
      <c r="B45" s="481" t="s">
        <v>486</v>
      </c>
      <c r="C45" s="507">
        <v>100725.3</v>
      </c>
      <c r="D45" s="641"/>
      <c r="E45" s="507"/>
      <c r="F45" s="507"/>
      <c r="G45" s="507">
        <v>100725.3</v>
      </c>
      <c r="H45" s="507"/>
      <c r="I45" s="507">
        <v>848.9</v>
      </c>
      <c r="J45" s="507">
        <v>58030.9</v>
      </c>
      <c r="K45" s="507"/>
      <c r="L45" s="507"/>
      <c r="M45" s="507">
        <v>41845.5</v>
      </c>
      <c r="N45" s="507"/>
      <c r="O45" s="507"/>
      <c r="P45" s="507"/>
      <c r="Q45" s="507"/>
      <c r="R45" s="507"/>
      <c r="S45" s="507"/>
      <c r="T45" s="507"/>
      <c r="U45" s="508"/>
      <c r="V45" s="517">
        <f t="shared" si="0"/>
        <v>100725.3</v>
      </c>
    </row>
    <row r="46" spans="2:22" ht="15">
      <c r="B46" s="480" t="s">
        <v>487</v>
      </c>
      <c r="C46" s="507">
        <v>1543</v>
      </c>
      <c r="D46" s="641"/>
      <c r="E46" s="507"/>
      <c r="F46" s="507"/>
      <c r="G46" s="507">
        <v>349.7</v>
      </c>
      <c r="H46" s="507"/>
      <c r="I46" s="507"/>
      <c r="J46" s="507"/>
      <c r="K46" s="507"/>
      <c r="L46" s="507"/>
      <c r="M46" s="507">
        <v>345.5</v>
      </c>
      <c r="N46" s="507">
        <v>4.2</v>
      </c>
      <c r="O46" s="507"/>
      <c r="P46" s="507"/>
      <c r="Q46" s="507"/>
      <c r="R46" s="507">
        <v>2.1</v>
      </c>
      <c r="S46" s="507"/>
      <c r="T46" s="507">
        <v>1163.5</v>
      </c>
      <c r="U46" s="508">
        <v>27.7</v>
      </c>
      <c r="V46" s="517">
        <f t="shared" si="0"/>
        <v>1543</v>
      </c>
    </row>
    <row r="47" spans="2:22">
      <c r="B47" s="481" t="s">
        <v>488</v>
      </c>
      <c r="C47" s="507">
        <v>12977.999999999998</v>
      </c>
      <c r="D47" s="641"/>
      <c r="E47" s="507"/>
      <c r="F47" s="507"/>
      <c r="G47" s="507">
        <v>12977.999999999998</v>
      </c>
      <c r="H47" s="507"/>
      <c r="I47" s="507"/>
      <c r="J47" s="507"/>
      <c r="K47" s="507">
        <v>12960.8</v>
      </c>
      <c r="L47" s="507">
        <v>4.3</v>
      </c>
      <c r="M47" s="507">
        <v>12.9</v>
      </c>
      <c r="N47" s="507"/>
      <c r="O47" s="507"/>
      <c r="P47" s="507"/>
      <c r="Q47" s="507"/>
      <c r="R47" s="507"/>
      <c r="S47" s="507"/>
      <c r="T47" s="507"/>
      <c r="U47" s="508"/>
      <c r="V47" s="517">
        <f t="shared" si="0"/>
        <v>12977.999999999998</v>
      </c>
    </row>
    <row r="48" spans="2:22">
      <c r="B48" s="481" t="s">
        <v>489</v>
      </c>
      <c r="C48" s="507">
        <v>1309.5</v>
      </c>
      <c r="D48" s="641"/>
      <c r="E48" s="507"/>
      <c r="F48" s="507"/>
      <c r="G48" s="507">
        <v>1309.5</v>
      </c>
      <c r="H48" s="507"/>
      <c r="I48" s="507"/>
      <c r="J48" s="507"/>
      <c r="K48" s="507"/>
      <c r="L48" s="507"/>
      <c r="M48" s="507">
        <v>1309.5</v>
      </c>
      <c r="N48" s="507"/>
      <c r="O48" s="507"/>
      <c r="P48" s="507"/>
      <c r="Q48" s="507"/>
      <c r="R48" s="507"/>
      <c r="S48" s="507"/>
      <c r="T48" s="507"/>
      <c r="U48" s="508"/>
      <c r="V48" s="517">
        <f t="shared" si="0"/>
        <v>1309.5</v>
      </c>
    </row>
    <row r="49" spans="2:22">
      <c r="B49" s="481" t="s">
        <v>502</v>
      </c>
      <c r="C49" s="507">
        <v>287.29999999999995</v>
      </c>
      <c r="D49" s="641"/>
      <c r="E49" s="507"/>
      <c r="F49" s="507"/>
      <c r="G49" s="507"/>
      <c r="H49" s="507"/>
      <c r="I49" s="507"/>
      <c r="J49" s="507"/>
      <c r="K49" s="507"/>
      <c r="L49" s="507"/>
      <c r="M49" s="507"/>
      <c r="N49" s="507"/>
      <c r="O49" s="507"/>
      <c r="P49" s="507"/>
      <c r="Q49" s="507">
        <v>23.4</v>
      </c>
      <c r="R49" s="507"/>
      <c r="S49" s="507"/>
      <c r="T49" s="507">
        <v>263.89999999999998</v>
      </c>
      <c r="U49" s="508"/>
      <c r="V49" s="517">
        <f t="shared" si="0"/>
        <v>287.29999999999995</v>
      </c>
    </row>
    <row r="50" spans="2:22" ht="15">
      <c r="B50" s="483" t="s">
        <v>491</v>
      </c>
      <c r="C50" s="507">
        <v>12.8</v>
      </c>
      <c r="D50" s="641"/>
      <c r="E50" s="507"/>
      <c r="F50" s="507"/>
      <c r="G50" s="507">
        <v>12.8</v>
      </c>
      <c r="H50" s="507"/>
      <c r="I50" s="507"/>
      <c r="J50" s="507"/>
      <c r="K50" s="507"/>
      <c r="L50" s="507"/>
      <c r="M50" s="507"/>
      <c r="N50" s="507">
        <v>12.8</v>
      </c>
      <c r="O50" s="507"/>
      <c r="P50" s="507"/>
      <c r="Q50" s="507"/>
      <c r="R50" s="507"/>
      <c r="S50" s="507"/>
      <c r="T50" s="507" t="s">
        <v>450</v>
      </c>
      <c r="U50" s="508"/>
      <c r="V50" s="517">
        <f t="shared" si="0"/>
        <v>12.8</v>
      </c>
    </row>
    <row r="51" spans="2:22" ht="15">
      <c r="B51" s="482" t="s">
        <v>492</v>
      </c>
      <c r="C51" s="509">
        <v>232306.1</v>
      </c>
      <c r="D51" s="642"/>
      <c r="E51" s="507"/>
      <c r="F51" s="507"/>
      <c r="G51" s="509">
        <v>14639.2</v>
      </c>
      <c r="H51" s="507"/>
      <c r="I51" s="507">
        <v>161.30000000000001</v>
      </c>
      <c r="J51" s="507">
        <v>220.3</v>
      </c>
      <c r="K51" s="507"/>
      <c r="L51" s="507">
        <v>21.5</v>
      </c>
      <c r="M51" s="507">
        <v>13641.4</v>
      </c>
      <c r="N51" s="507">
        <v>594.70000000000005</v>
      </c>
      <c r="O51" s="507"/>
      <c r="P51" s="507"/>
      <c r="Q51" s="509">
        <v>160165.5</v>
      </c>
      <c r="R51" s="509">
        <v>1513.2</v>
      </c>
      <c r="S51" s="509">
        <v>6041.4</v>
      </c>
      <c r="T51" s="509">
        <v>49938.5</v>
      </c>
      <c r="U51" s="510">
        <v>8.3000000000000007</v>
      </c>
      <c r="V51" s="517">
        <f t="shared" si="0"/>
        <v>232306.1</v>
      </c>
    </row>
    <row r="52" spans="2:22" ht="15">
      <c r="B52" s="480" t="s">
        <v>493</v>
      </c>
      <c r="C52" s="643">
        <v>149608.41699999999</v>
      </c>
      <c r="D52" s="644">
        <v>0</v>
      </c>
      <c r="E52" s="645">
        <v>0</v>
      </c>
      <c r="F52" s="646" t="s">
        <v>588</v>
      </c>
      <c r="G52" s="643">
        <v>88423.578999999998</v>
      </c>
      <c r="H52" s="645">
        <v>0</v>
      </c>
      <c r="I52" s="645">
        <v>8830.17</v>
      </c>
      <c r="J52" s="643">
        <v>2367.7359999999999</v>
      </c>
      <c r="K52" s="645">
        <v>0</v>
      </c>
      <c r="L52" s="645">
        <v>0</v>
      </c>
      <c r="M52" s="643">
        <v>77225.672999999995</v>
      </c>
      <c r="N52" s="645">
        <v>0</v>
      </c>
      <c r="O52" s="645">
        <v>0</v>
      </c>
      <c r="P52" s="647">
        <f t="shared" ref="P52" si="2">G52-SUM(H52:O52)</f>
        <v>0</v>
      </c>
      <c r="Q52" s="645">
        <v>10788.3</v>
      </c>
      <c r="R52" s="365">
        <v>32184.137999999999</v>
      </c>
      <c r="S52" s="645">
        <v>0</v>
      </c>
      <c r="T52" s="645">
        <v>18212.400000000001</v>
      </c>
      <c r="U52" s="645">
        <v>0</v>
      </c>
      <c r="V52" s="517">
        <f t="shared" si="0"/>
        <v>149608.41699999999</v>
      </c>
    </row>
    <row r="53" spans="2:22">
      <c r="B53" s="481" t="s">
        <v>494</v>
      </c>
      <c r="C53" s="507">
        <v>51900.800000000003</v>
      </c>
      <c r="D53" s="641"/>
      <c r="E53" s="507"/>
      <c r="F53" s="507"/>
      <c r="G53" s="507">
        <v>636.6</v>
      </c>
      <c r="H53" s="507"/>
      <c r="I53" s="507">
        <v>19</v>
      </c>
      <c r="J53" s="507" t="s">
        <v>450</v>
      </c>
      <c r="K53" s="507"/>
      <c r="L53" s="507">
        <v>17.2</v>
      </c>
      <c r="M53" s="507">
        <v>345.5</v>
      </c>
      <c r="N53" s="507">
        <v>254.9</v>
      </c>
      <c r="O53" s="507"/>
      <c r="P53" s="507"/>
      <c r="Q53" s="507">
        <v>26521.7</v>
      </c>
      <c r="R53" s="507">
        <v>1042.5</v>
      </c>
      <c r="S53" s="507">
        <v>979.3</v>
      </c>
      <c r="T53" s="507">
        <v>22712.400000000001</v>
      </c>
      <c r="U53" s="508">
        <v>8.3000000000000007</v>
      </c>
      <c r="V53" s="517">
        <f t="shared" si="0"/>
        <v>51900.800000000003</v>
      </c>
    </row>
    <row r="54" spans="2:22">
      <c r="B54" s="481" t="s">
        <v>495</v>
      </c>
      <c r="C54" s="507">
        <v>158674.6</v>
      </c>
      <c r="D54" s="641"/>
      <c r="E54" s="507"/>
      <c r="F54" s="507"/>
      <c r="G54" s="507">
        <v>491.5</v>
      </c>
      <c r="H54" s="507"/>
      <c r="I54" s="507">
        <v>132.80000000000001</v>
      </c>
      <c r="J54" s="507">
        <v>30.2</v>
      </c>
      <c r="K54" s="507"/>
      <c r="L54" s="507">
        <v>4.3</v>
      </c>
      <c r="M54" s="507">
        <v>324.2</v>
      </c>
      <c r="N54" s="507"/>
      <c r="O54" s="507"/>
      <c r="P54" s="507"/>
      <c r="Q54" s="507">
        <v>129558.1</v>
      </c>
      <c r="R54" s="507">
        <v>458.1</v>
      </c>
      <c r="S54" s="507">
        <v>5062.1000000000004</v>
      </c>
      <c r="T54" s="507">
        <v>23104.799999999999</v>
      </c>
      <c r="U54" s="508"/>
      <c r="V54" s="517">
        <f t="shared" si="0"/>
        <v>158674.6</v>
      </c>
    </row>
    <row r="55" spans="2:22">
      <c r="B55" s="481" t="s">
        <v>496</v>
      </c>
      <c r="C55" s="507"/>
      <c r="D55" s="641"/>
      <c r="E55" s="507"/>
      <c r="F55" s="507"/>
      <c r="G55" s="507"/>
      <c r="H55" s="507"/>
      <c r="I55" s="507"/>
      <c r="J55" s="507"/>
      <c r="K55" s="507"/>
      <c r="L55" s="507"/>
      <c r="M55" s="507"/>
      <c r="N55" s="507"/>
      <c r="O55" s="507"/>
      <c r="P55" s="507"/>
      <c r="Q55" s="507"/>
      <c r="R55" s="507"/>
      <c r="S55" s="507"/>
      <c r="T55" s="507"/>
      <c r="U55" s="508"/>
      <c r="V55" s="517">
        <f t="shared" si="0"/>
        <v>0</v>
      </c>
    </row>
    <row r="56" spans="2:22" ht="16" thickBot="1">
      <c r="B56" s="484" t="s">
        <v>497</v>
      </c>
      <c r="C56" s="513">
        <v>55460.800000000003</v>
      </c>
      <c r="D56" s="513"/>
      <c r="E56" s="514"/>
      <c r="F56" s="514"/>
      <c r="G56" s="513">
        <v>54077.4</v>
      </c>
      <c r="H56" s="514">
        <v>2307.5</v>
      </c>
      <c r="I56" s="514">
        <v>6943</v>
      </c>
      <c r="J56" s="514"/>
      <c r="K56" s="514"/>
      <c r="L56" s="514">
        <v>163.6</v>
      </c>
      <c r="M56" s="514">
        <v>145</v>
      </c>
      <c r="N56" s="514">
        <v>620.20000000000005</v>
      </c>
      <c r="O56" s="514">
        <v>9958.6</v>
      </c>
      <c r="P56" s="514">
        <v>33939.5</v>
      </c>
      <c r="Q56" s="513">
        <v>1230.4000000000001</v>
      </c>
      <c r="R56" s="514"/>
      <c r="S56" s="514"/>
      <c r="T56" s="514"/>
      <c r="U56" s="515">
        <v>153</v>
      </c>
    </row>
  </sheetData>
  <mergeCells count="14">
    <mergeCell ref="V5:V6"/>
    <mergeCell ref="S5:S6"/>
    <mergeCell ref="T5:T6"/>
    <mergeCell ref="U5:U6"/>
    <mergeCell ref="B3:U3"/>
    <mergeCell ref="B4:U4"/>
    <mergeCell ref="B5:B6"/>
    <mergeCell ref="C5:C6"/>
    <mergeCell ref="E5:E6"/>
    <mergeCell ref="F5:F6"/>
    <mergeCell ref="G5:G6"/>
    <mergeCell ref="H5:P5"/>
    <mergeCell ref="Q5:Q6"/>
    <mergeCell ref="R5:R6"/>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15AB354-734C-4017-9B28-AE7732DD434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2022-03-18T08:51:01Z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