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TIMES models\TIMES_AZ\SubRES_TMPL\"/>
    </mc:Choice>
  </mc:AlternateContent>
  <xr:revisionPtr revIDLastSave="0" documentId="13_ncr:1_{B282606B-C198-4FFE-A3A2-8EC5927DAA51}" xr6:coauthVersionLast="47" xr6:coauthVersionMax="47" xr10:uidLastSave="{00000000-0000-0000-0000-000000000000}"/>
  <bookViews>
    <workbookView xWindow="-108" yWindow="-108" windowWidth="41496" windowHeight="16896" firstSheet="1" activeTab="2" xr2:uid="{00000000-000D-0000-FFFF-FFFF00000000}"/>
  </bookViews>
  <sheets>
    <sheet name="LOG" sheetId="7" r:id="rId1"/>
    <sheet name="Intro" sheetId="8" r:id="rId2"/>
    <sheet name="DH" sheetId="40" r:id="rId3"/>
    <sheet name="Power" sheetId="37" r:id="rId4"/>
    <sheet name="Gas" sheetId="39" r:id="rId5"/>
    <sheet name="Index" sheetId="9" r:id="rId6"/>
    <sheet name="111 1 el Main distri50-60kVcabl" sheetId="10" r:id="rId7"/>
    <sheet name="111 2 el distri Rural" sheetId="11" r:id="rId8"/>
    <sheet name="111 3 el distri suburban" sheetId="12" r:id="rId9"/>
    <sheet name="111 4 el distri  city" sheetId="13" r:id="rId10"/>
    <sheet name="111 5 el distri new area" sheetId="14" r:id="rId11"/>
    <sheet name="112 6 gas Main distri line" sheetId="15" r:id="rId12"/>
    <sheet name="112 7 gas  Rural" sheetId="16" r:id="rId13"/>
    <sheet name="112 8 gas  Suburban" sheetId="17" r:id="rId14"/>
    <sheet name="112 9 gas City" sheetId="18" r:id="rId15"/>
    <sheet name="112 1 gas  New area" sheetId="19" r:id="rId16"/>
    <sheet name="113_11 DH transmission" sheetId="20" r:id="rId17"/>
    <sheet name="113_12 DH_Distribu Rural" sheetId="21" r:id="rId18"/>
    <sheet name="113_13 DH_Distribu Suburb" sheetId="22" r:id="rId19"/>
    <sheet name="113_14 DH_Distribu City" sheetId="23" r:id="rId20"/>
    <sheet name="112_15 DH_Distribu New area" sheetId="24" r:id="rId21"/>
    <sheet name="113_16 DH_Distr New area LTDH" sheetId="25" r:id="rId22"/>
    <sheet name="121 co2 pipeline" sheetId="26" r:id="rId23"/>
    <sheet name="122 co2 road transport" sheetId="27" r:id="rId24"/>
    <sheet name="123 co2 ship transport" sheetId="28" r:id="rId25"/>
    <sheet name="co2 terminals" sheetId="29" r:id="rId26"/>
    <sheet name="H2 140" sheetId="30" r:id="rId27"/>
    <sheet name="H2 70" sheetId="31" r:id="rId28"/>
    <sheet name="NH3" sheetId="32" r:id="rId29"/>
    <sheet name="DME" sheetId="33" r:id="rId30"/>
    <sheet name="TOLU" sheetId="34" r:id="rId31"/>
    <sheet name="Road transport" sheetId="35" r:id="rId32"/>
    <sheet name="Ship Transport" sheetId="36" r:id="rId33"/>
  </sheets>
  <externalReferences>
    <externalReference r:id="rId34"/>
    <externalReference r:id="rId35"/>
    <externalReference r:id="rId36"/>
    <externalReference r:id="rId37"/>
  </externalReferences>
  <definedNames>
    <definedName name="EUR__DKK">[1]KeyNH3!$D$34</definedName>
    <definedName name="EUR2DKK" localSheetId="29">[1]KeyNH3!$D$34</definedName>
    <definedName name="EUR2DKK" localSheetId="26">[1]KeyNH3!$D$34</definedName>
    <definedName name="EUR2DKK" localSheetId="27">[1]KeyNH3!$D$34</definedName>
    <definedName name="EUR2DKK" localSheetId="28">[1]KeyNH3!$D$34</definedName>
    <definedName name="EUR2DKK" localSheetId="30">[1]KeyNH3!$D$34</definedName>
    <definedName name="EUR2DKK">#REF!</definedName>
    <definedName name="eurusd_rate">[2]Input!$B$7</definedName>
    <definedName name="FID_1">[3]AGR_Fuels!$A$2</definedName>
    <definedName name="FIXWSTBP">'[4]O&amp;M waste '!$C$4</definedName>
    <definedName name="index">Index!$A$1</definedName>
    <definedName name="sheet10">'112 9 gas City'!$C$2</definedName>
    <definedName name="sheet11">'112 1 gas  New area'!$C$2</definedName>
    <definedName name="sheet12">'113_11 DH transmission'!$C$2</definedName>
    <definedName name="sheet13">'113_12 DH_Distribu Rural'!$C$2</definedName>
    <definedName name="sheet14">'113_13 DH_Distribu Suburb'!$C$2</definedName>
    <definedName name="sheet15">'113_14 DH_Distribu City'!$C$2</definedName>
    <definedName name="sheet16">'112_15 DH_Distribu New area'!$C$2</definedName>
    <definedName name="sheet17">'113_16 DH_Distr New area LTDH'!$C$2</definedName>
    <definedName name="sheet18">'121 co2 pipeline'!$C$2</definedName>
    <definedName name="sheet19">'122 co2 road transport'!$C$2</definedName>
    <definedName name="sheet2">'111 1 el Main distri50-60kVcabl'!$C$2</definedName>
    <definedName name="sheet20">'123 co2 ship transport'!$C$2</definedName>
    <definedName name="sheet21">'co2 terminals'!$C$2</definedName>
    <definedName name="sheet3">'111 2 el distri Rural'!$C$2</definedName>
    <definedName name="sheet4">'111 3 el distri suburban'!$C$2</definedName>
    <definedName name="sheet5">'111 4 el distri  city'!$C$2</definedName>
    <definedName name="sheet6">'111 5 el distri new area'!$C$2</definedName>
    <definedName name="sheet7">'112 6 gas Main distri line'!$C$2</definedName>
    <definedName name="sheet8">'112 7 gas  Rural'!$C$2</definedName>
    <definedName name="sheet9">'112 8 gas  Suburban'!$C$2</definedName>
    <definedName name="VARWSTBO">'[4]O&amp;M waste '!$D$5</definedName>
    <definedName name="VARWSTBP">'[4]O&amp;M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40" l="1"/>
  <c r="M9" i="40"/>
  <c r="M8" i="40"/>
  <c r="Q9" i="40"/>
  <c r="C19" i="40"/>
  <c r="N10" i="40"/>
  <c r="K10" i="40"/>
  <c r="G10" i="40"/>
  <c r="I10" i="40"/>
  <c r="H10" i="40"/>
  <c r="J10" i="40"/>
  <c r="N9" i="40"/>
  <c r="K9" i="40"/>
  <c r="I9" i="40"/>
  <c r="H9" i="40"/>
  <c r="N8" i="40"/>
  <c r="G9" i="40"/>
  <c r="G8" i="40"/>
  <c r="I8" i="40"/>
  <c r="H8" i="40"/>
  <c r="K8" i="40" s="1"/>
  <c r="C18" i="40" l="1"/>
  <c r="C17" i="40"/>
  <c r="J9" i="40"/>
  <c r="J8" i="40"/>
  <c r="K8" i="39"/>
  <c r="K9" i="39"/>
  <c r="O9" i="39"/>
  <c r="O8" i="39"/>
  <c r="N9" i="39" l="1"/>
  <c r="G9" i="39"/>
  <c r="L9" i="39"/>
  <c r="S9" i="39" s="1"/>
  <c r="U9" i="39" s="1"/>
  <c r="L10" i="37"/>
  <c r="Q10" i="37"/>
  <c r="H9" i="39"/>
  <c r="I9" i="39"/>
  <c r="J9" i="39"/>
  <c r="C18" i="39"/>
  <c r="G8" i="39"/>
  <c r="N8" i="39"/>
  <c r="M8" i="39"/>
  <c r="L8" i="39"/>
  <c r="S8" i="39" s="1"/>
  <c r="U8" i="39" s="1"/>
  <c r="I8" i="39"/>
  <c r="H8" i="39"/>
  <c r="C17" i="39"/>
  <c r="J8" i="39"/>
  <c r="R8" i="39" l="1"/>
  <c r="T8" i="39" s="1"/>
  <c r="R9" i="39"/>
  <c r="T12" i="39" l="1"/>
  <c r="U12" i="39" s="1"/>
  <c r="T9" i="39"/>
  <c r="N10" i="37" l="1"/>
  <c r="S10" i="37"/>
  <c r="R10" i="37"/>
  <c r="T10" i="37" s="1"/>
  <c r="K10" i="37"/>
  <c r="T9" i="37"/>
  <c r="T8" i="37"/>
  <c r="S8" i="37"/>
  <c r="S9" i="37"/>
  <c r="Q9" i="37"/>
  <c r="L9" i="37"/>
  <c r="R9" i="37" s="1"/>
  <c r="J10" i="37"/>
  <c r="I10" i="37"/>
  <c r="H10" i="37"/>
  <c r="K8" i="37"/>
  <c r="K9" i="37"/>
  <c r="L8" i="37"/>
  <c r="R8" i="37" s="1"/>
  <c r="N9" i="37"/>
  <c r="J9" i="37"/>
  <c r="I9" i="37"/>
  <c r="H9" i="37"/>
  <c r="G9" i="37"/>
  <c r="G8" i="37"/>
  <c r="D9" i="10"/>
  <c r="D8" i="10"/>
  <c r="D7" i="10"/>
  <c r="D6" i="10"/>
  <c r="O17" i="11"/>
  <c r="N17" i="11"/>
  <c r="O16" i="11"/>
  <c r="N16" i="11"/>
  <c r="G10" i="37"/>
  <c r="S12" i="37" l="1"/>
  <c r="T12" i="37" s="1"/>
  <c r="J8" i="37"/>
  <c r="N8" i="37"/>
  <c r="I8" i="37"/>
  <c r="Q8" i="37" s="1"/>
  <c r="H8" i="37"/>
  <c r="C31" i="37"/>
  <c r="C32" i="37"/>
  <c r="C33" i="37"/>
  <c r="C30" i="37"/>
  <c r="C29" i="37"/>
  <c r="C28" i="37"/>
  <c r="C26" i="37"/>
  <c r="C25" i="37"/>
  <c r="C24" i="37"/>
  <c r="D6" i="36"/>
  <c r="E6" i="36"/>
  <c r="D7" i="36"/>
  <c r="E7" i="36"/>
  <c r="D8" i="36"/>
  <c r="E8" i="36"/>
  <c r="D12" i="36"/>
  <c r="E12" i="36"/>
  <c r="D13" i="36"/>
  <c r="E13" i="36"/>
  <c r="C14" i="29"/>
  <c r="D14" i="29"/>
  <c r="E14" i="29"/>
  <c r="C15" i="29"/>
  <c r="D15" i="29"/>
  <c r="E15" i="29"/>
  <c r="C14" i="28"/>
  <c r="D14" i="28"/>
  <c r="E14" i="28"/>
  <c r="F14" i="28"/>
  <c r="G14" i="28"/>
  <c r="H14" i="28"/>
  <c r="I14" i="28"/>
  <c r="C15" i="28"/>
  <c r="D15" i="28"/>
  <c r="E15" i="28"/>
  <c r="F15" i="28"/>
  <c r="G15" i="28"/>
  <c r="H15" i="28"/>
  <c r="I15" i="28"/>
  <c r="D6" i="23"/>
  <c r="E6" i="23"/>
  <c r="F6" i="23" s="1"/>
  <c r="D7" i="23"/>
  <c r="E7" i="23" s="1"/>
  <c r="F7" i="23" s="1"/>
  <c r="I7" i="23"/>
  <c r="J7" i="23"/>
  <c r="D8" i="23"/>
  <c r="E8" i="23"/>
  <c r="F8" i="23" s="1"/>
  <c r="I8" i="23"/>
  <c r="J8" i="23"/>
  <c r="D9" i="23"/>
  <c r="E9" i="23" s="1"/>
  <c r="F9" i="23" s="1"/>
  <c r="I9" i="23"/>
  <c r="J9" i="23"/>
  <c r="D11" i="23"/>
  <c r="E11" i="23" s="1"/>
  <c r="F11" i="23" s="1"/>
  <c r="D12" i="23"/>
  <c r="E12" i="23" s="1"/>
  <c r="F12" i="23" s="1"/>
  <c r="G12" i="23" s="1"/>
  <c r="H12" i="23" s="1"/>
  <c r="I12" i="23" s="1"/>
  <c r="J12" i="23" s="1"/>
  <c r="D13" i="23"/>
  <c r="E13" i="23"/>
  <c r="F13" i="23" s="1"/>
  <c r="I13" i="23"/>
  <c r="J13" i="23"/>
  <c r="C16" i="23"/>
  <c r="D16" i="23" s="1"/>
  <c r="E16" i="23" s="1"/>
  <c r="F16" i="23" s="1"/>
  <c r="I16" i="23"/>
  <c r="J16" i="23"/>
  <c r="D17" i="23"/>
  <c r="E17" i="23" s="1"/>
  <c r="F17" i="23" s="1"/>
  <c r="I17" i="23"/>
  <c r="J17" i="23"/>
  <c r="D18" i="23"/>
  <c r="E18" i="23"/>
  <c r="F18" i="23" s="1"/>
  <c r="I18" i="23"/>
  <c r="J18" i="23"/>
  <c r="D19" i="23"/>
  <c r="E19" i="23" s="1"/>
  <c r="F19" i="23" s="1"/>
  <c r="I19" i="23"/>
  <c r="J19" i="23"/>
  <c r="D20" i="23"/>
  <c r="E20" i="23"/>
  <c r="F20" i="23"/>
  <c r="C21" i="23"/>
  <c r="D21" i="23" s="1"/>
  <c r="E21" i="23" s="1"/>
  <c r="F21" i="23" s="1"/>
  <c r="I21" i="23"/>
  <c r="J21" i="23"/>
  <c r="I22" i="23"/>
  <c r="J22" i="23"/>
  <c r="I23" i="23"/>
  <c r="J23" i="23"/>
  <c r="I24" i="23"/>
  <c r="J24" i="23"/>
  <c r="C25" i="23"/>
  <c r="D25" i="23" s="1"/>
  <c r="E25" i="23" s="1"/>
  <c r="F25" i="23" s="1"/>
  <c r="I25" i="23"/>
  <c r="J25" i="23"/>
  <c r="I26" i="23"/>
  <c r="J26" i="23"/>
  <c r="C27" i="23"/>
  <c r="D27" i="23" s="1"/>
  <c r="E27" i="23" s="1"/>
  <c r="F27" i="23" s="1"/>
  <c r="G27" i="23" s="1"/>
  <c r="H27" i="23" s="1"/>
  <c r="I27" i="23" s="1"/>
  <c r="J27" i="23" s="1"/>
  <c r="C29" i="23"/>
  <c r="D29" i="23" s="1"/>
  <c r="E29" i="23" s="1"/>
  <c r="F29" i="23" s="1"/>
  <c r="G29" i="23"/>
  <c r="I29" i="23" s="1"/>
  <c r="H29" i="23"/>
  <c r="J29" i="23" s="1"/>
  <c r="C30" i="23"/>
  <c r="D30" i="23" s="1"/>
  <c r="E30" i="23" s="1"/>
  <c r="F30" i="23" s="1"/>
  <c r="G30" i="23"/>
  <c r="I30" i="23" s="1"/>
  <c r="H30" i="23"/>
  <c r="J30" i="23" s="1"/>
  <c r="D33" i="23"/>
  <c r="E33" i="23" s="1"/>
  <c r="F33" i="23" s="1"/>
  <c r="G33" i="23" s="1"/>
  <c r="H33" i="23" s="1"/>
  <c r="I33" i="23" s="1"/>
  <c r="J33" i="23" s="1"/>
  <c r="C34" i="23"/>
  <c r="D34" i="23"/>
  <c r="E34" i="23"/>
  <c r="F34" i="23"/>
  <c r="G34" i="23"/>
  <c r="H34" i="23"/>
  <c r="J34" i="23" s="1"/>
  <c r="I34" i="23"/>
  <c r="B37" i="23"/>
  <c r="C37" i="23"/>
  <c r="D37" i="23"/>
  <c r="E37" i="23"/>
  <c r="F37" i="23"/>
  <c r="G37" i="23"/>
  <c r="H37" i="23"/>
  <c r="I37" i="23"/>
  <c r="J37" i="23"/>
  <c r="L37" i="23"/>
  <c r="B38" i="23"/>
  <c r="C38" i="23"/>
  <c r="D38" i="23"/>
  <c r="E38" i="23"/>
  <c r="F38" i="23"/>
  <c r="G38" i="23"/>
  <c r="H38" i="23"/>
  <c r="I38" i="23"/>
  <c r="J38" i="23"/>
  <c r="L38" i="23"/>
  <c r="D6" i="22"/>
  <c r="E6" i="22"/>
  <c r="F6" i="22" s="1"/>
  <c r="D7" i="22"/>
  <c r="E7" i="22"/>
  <c r="F7" i="22" s="1"/>
  <c r="I7" i="22"/>
  <c r="J7" i="22"/>
  <c r="D8" i="22"/>
  <c r="E8" i="22"/>
  <c r="F8" i="22" s="1"/>
  <c r="I8" i="22"/>
  <c r="J8" i="22"/>
  <c r="D9" i="22"/>
  <c r="E9" i="22" s="1"/>
  <c r="F9" i="22" s="1"/>
  <c r="I9" i="22"/>
  <c r="J9" i="22"/>
  <c r="D11" i="22"/>
  <c r="E11" i="22" s="1"/>
  <c r="F11" i="22" s="1"/>
  <c r="D12" i="22"/>
  <c r="E12" i="22" s="1"/>
  <c r="F12" i="22" s="1"/>
  <c r="D13" i="22"/>
  <c r="E13" i="22"/>
  <c r="F13" i="22" s="1"/>
  <c r="I13" i="22"/>
  <c r="J13" i="22"/>
  <c r="D16" i="22"/>
  <c r="E16" i="22" s="1"/>
  <c r="F16" i="22" s="1"/>
  <c r="I16" i="22"/>
  <c r="J16" i="22"/>
  <c r="C17" i="22"/>
  <c r="D17" i="22"/>
  <c r="E17" i="22"/>
  <c r="F17" i="22"/>
  <c r="I17" i="22"/>
  <c r="J17" i="22"/>
  <c r="C18" i="22"/>
  <c r="D18" i="22"/>
  <c r="E18" i="22"/>
  <c r="F18" i="22"/>
  <c r="I18" i="22"/>
  <c r="J18" i="22"/>
  <c r="C19" i="22"/>
  <c r="D19" i="22"/>
  <c r="E19" i="22"/>
  <c r="F19" i="22"/>
  <c r="I19" i="22"/>
  <c r="J19" i="22"/>
  <c r="C20" i="22"/>
  <c r="D20" i="22"/>
  <c r="E20" i="22"/>
  <c r="F20" i="22"/>
  <c r="G20" i="22"/>
  <c r="H20" i="22"/>
  <c r="J20" i="22" s="1"/>
  <c r="I20" i="22"/>
  <c r="C21" i="22"/>
  <c r="D21" i="22"/>
  <c r="E21" i="22"/>
  <c r="F21" i="22"/>
  <c r="I21" i="22"/>
  <c r="J21" i="22"/>
  <c r="C22" i="22"/>
  <c r="C22" i="23" s="1"/>
  <c r="D22" i="23" s="1"/>
  <c r="E22" i="23" s="1"/>
  <c r="F22" i="23" s="1"/>
  <c r="D22" i="22"/>
  <c r="E22" i="22"/>
  <c r="F22" i="22"/>
  <c r="I22" i="22"/>
  <c r="J22" i="22"/>
  <c r="C23" i="22"/>
  <c r="C23" i="23" s="1"/>
  <c r="D23" i="23" s="1"/>
  <c r="E23" i="23" s="1"/>
  <c r="F23" i="23" s="1"/>
  <c r="D23" i="22"/>
  <c r="E23" i="22"/>
  <c r="F23" i="22"/>
  <c r="I23" i="22"/>
  <c r="J23" i="22"/>
  <c r="C24" i="22"/>
  <c r="C24" i="23" s="1"/>
  <c r="D24" i="23" s="1"/>
  <c r="E24" i="23" s="1"/>
  <c r="F24" i="23" s="1"/>
  <c r="D24" i="22"/>
  <c r="E24" i="22"/>
  <c r="F24" i="22"/>
  <c r="I24" i="22"/>
  <c r="J24" i="22"/>
  <c r="C25" i="22"/>
  <c r="D25" i="22"/>
  <c r="E25" i="22"/>
  <c r="F25" i="22"/>
  <c r="I25" i="22"/>
  <c r="J25" i="22"/>
  <c r="C26" i="22"/>
  <c r="C26" i="23" s="1"/>
  <c r="D26" i="23" s="1"/>
  <c r="E26" i="23" s="1"/>
  <c r="F26" i="23" s="1"/>
  <c r="D26" i="22"/>
  <c r="E26" i="22"/>
  <c r="F26" i="22"/>
  <c r="I26" i="22"/>
  <c r="J26" i="22"/>
  <c r="D27" i="22"/>
  <c r="E27" i="22"/>
  <c r="F27" i="22" s="1"/>
  <c r="G27" i="22" s="1"/>
  <c r="H27" i="22" s="1"/>
  <c r="I27" i="22" s="1"/>
  <c r="J27" i="22" s="1"/>
  <c r="C28" i="22"/>
  <c r="C28" i="23" s="1"/>
  <c r="D28" i="23" s="1"/>
  <c r="E28" i="23" s="1"/>
  <c r="F28" i="23" s="1"/>
  <c r="G28" i="23" s="1"/>
  <c r="H28" i="23" s="1"/>
  <c r="I28" i="23" s="1"/>
  <c r="J28" i="23" s="1"/>
  <c r="C29" i="22"/>
  <c r="D29" i="22" s="1"/>
  <c r="E29" i="22" s="1"/>
  <c r="F29" i="22" s="1"/>
  <c r="G29" i="22"/>
  <c r="I29" i="22" s="1"/>
  <c r="H29" i="22"/>
  <c r="J29" i="22" s="1"/>
  <c r="C30" i="22"/>
  <c r="D30" i="22" s="1"/>
  <c r="E30" i="22" s="1"/>
  <c r="F30" i="22" s="1"/>
  <c r="G30" i="22"/>
  <c r="I30" i="22" s="1"/>
  <c r="H30" i="22"/>
  <c r="J30" i="22" s="1"/>
  <c r="D33" i="22"/>
  <c r="E33" i="22" s="1"/>
  <c r="F33" i="22" s="1"/>
  <c r="G33" i="22" s="1"/>
  <c r="H33" i="22" s="1"/>
  <c r="I33" i="22" s="1"/>
  <c r="J33" i="22" s="1"/>
  <c r="C34" i="22"/>
  <c r="D34" i="22"/>
  <c r="E34" i="22"/>
  <c r="F34" i="22"/>
  <c r="G34" i="22"/>
  <c r="I34" i="22" s="1"/>
  <c r="H34" i="22"/>
  <c r="J34" i="22" s="1"/>
  <c r="B37" i="22"/>
  <c r="C37" i="22"/>
  <c r="D37" i="22"/>
  <c r="E37" i="22"/>
  <c r="F37" i="22"/>
  <c r="G37" i="22"/>
  <c r="H37" i="22"/>
  <c r="I37" i="22"/>
  <c r="J37" i="22"/>
  <c r="L37" i="22"/>
  <c r="B38" i="22"/>
  <c r="C38" i="22"/>
  <c r="D38" i="22"/>
  <c r="E38" i="22"/>
  <c r="F38" i="22"/>
  <c r="G38" i="22"/>
  <c r="H38" i="22"/>
  <c r="I38" i="22"/>
  <c r="J38" i="22"/>
  <c r="L38" i="22"/>
  <c r="D11" i="17"/>
  <c r="E11" i="17" s="1"/>
  <c r="F11" i="17" s="1"/>
  <c r="D11" i="16"/>
  <c r="E11" i="16"/>
  <c r="F11" i="16" s="1"/>
  <c r="C6" i="13"/>
  <c r="D6" i="13"/>
  <c r="E6" i="13"/>
  <c r="F6" i="13"/>
  <c r="G6" i="13"/>
  <c r="H6" i="13"/>
  <c r="I6" i="13"/>
  <c r="J6" i="13"/>
  <c r="C7" i="13"/>
  <c r="D7" i="13"/>
  <c r="E7" i="13"/>
  <c r="F7" i="13"/>
  <c r="G7" i="13"/>
  <c r="H7" i="13"/>
  <c r="I7" i="13"/>
  <c r="J7" i="13"/>
  <c r="I10" i="13"/>
  <c r="J10" i="13"/>
  <c r="I11" i="13"/>
  <c r="J11" i="13"/>
  <c r="I12" i="13"/>
  <c r="J12" i="13"/>
  <c r="G16" i="13"/>
  <c r="H16" i="13"/>
  <c r="I16" i="13"/>
  <c r="J16" i="13"/>
  <c r="G17" i="13"/>
  <c r="I17" i="13" s="1"/>
  <c r="G18" i="13"/>
  <c r="I18" i="13" s="1"/>
  <c r="G19" i="13"/>
  <c r="I19" i="13" s="1"/>
  <c r="G20" i="13"/>
  <c r="I20" i="13"/>
  <c r="I24" i="13"/>
  <c r="I25" i="13"/>
  <c r="I26" i="13"/>
  <c r="G28" i="13"/>
  <c r="I28" i="13" s="1"/>
  <c r="H28" i="13"/>
  <c r="J28" i="13"/>
  <c r="G29" i="13"/>
  <c r="I29" i="13" s="1"/>
  <c r="H29" i="13"/>
  <c r="J29" i="13"/>
  <c r="C35" i="13"/>
  <c r="H35" i="13" s="1"/>
  <c r="G35" i="13"/>
  <c r="I35" i="13"/>
  <c r="J35" i="13"/>
  <c r="C6" i="10"/>
  <c r="E6" i="10"/>
  <c r="F6" i="10"/>
  <c r="G6" i="10"/>
  <c r="I6" i="10"/>
  <c r="J6" i="10"/>
  <c r="C7" i="10"/>
  <c r="E7" i="10"/>
  <c r="F7" i="10"/>
  <c r="G7" i="10"/>
  <c r="I7" i="10"/>
  <c r="J7" i="10"/>
  <c r="C8" i="10"/>
  <c r="E8" i="10"/>
  <c r="F8" i="10"/>
  <c r="I8" i="10"/>
  <c r="J8" i="10"/>
  <c r="C9" i="10"/>
  <c r="E9" i="10"/>
  <c r="F9" i="10"/>
  <c r="G9" i="10"/>
  <c r="H9" i="10"/>
  <c r="I13" i="10"/>
  <c r="J13" i="10"/>
  <c r="G17" i="10"/>
  <c r="I17" i="10" s="1"/>
  <c r="H17" i="10"/>
  <c r="J17" i="10"/>
  <c r="G18" i="10"/>
  <c r="H18" i="10"/>
  <c r="I18" i="10"/>
  <c r="J18" i="10"/>
  <c r="G19" i="10"/>
  <c r="I19" i="10" s="1"/>
  <c r="H19" i="10"/>
  <c r="J19" i="10"/>
  <c r="G23" i="10"/>
  <c r="H23" i="10"/>
  <c r="J23" i="10" s="1"/>
  <c r="I23" i="10"/>
  <c r="G24" i="10"/>
  <c r="I24" i="10" s="1"/>
  <c r="H24" i="10"/>
  <c r="J24" i="10"/>
  <c r="G25" i="10"/>
  <c r="I25" i="10" s="1"/>
  <c r="H25" i="10"/>
  <c r="J25" i="10" s="1"/>
  <c r="G26" i="10"/>
  <c r="H26" i="10"/>
  <c r="J26" i="10"/>
  <c r="G27" i="10"/>
  <c r="I27" i="10"/>
  <c r="C28" i="10"/>
  <c r="D28" i="10" s="1"/>
  <c r="E28" i="10" s="1"/>
  <c r="F28" i="10" s="1"/>
  <c r="J28" i="10" l="1"/>
  <c r="D28" i="22"/>
  <c r="E28" i="22" s="1"/>
  <c r="F28" i="22" s="1"/>
  <c r="G28" i="22" s="1"/>
  <c r="H28" i="22" s="1"/>
  <c r="I28" i="22" s="1"/>
  <c r="J28" i="22" s="1"/>
  <c r="I28" i="10"/>
  <c r="H28" i="10"/>
  <c r="H27" i="10"/>
  <c r="I26" i="10" s="1"/>
  <c r="J27" i="10" s="1"/>
  <c r="D35" i="13"/>
  <c r="E35" i="13" s="1"/>
  <c r="F35" i="13" s="1"/>
  <c r="G2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J8" authorId="0" shapeId="0" xr:uid="{5F8160E1-5635-4F17-B2A7-D46429856F11}">
      <text>
        <r>
          <rPr>
            <b/>
            <sz val="9"/>
            <color indexed="81"/>
            <rFont val="Tahoma"/>
            <family val="2"/>
          </rPr>
          <t>Maurizio Gargiulo:</t>
        </r>
        <r>
          <rPr>
            <sz val="9"/>
            <color indexed="81"/>
            <rFont val="Tahoma"/>
            <family val="2"/>
          </rPr>
          <t xml:space="preserve">
Capacity in MW and output in PJ</t>
        </r>
      </text>
    </comment>
    <comment ref="J9" authorId="0" shapeId="0" xr:uid="{5E341881-B2CD-4868-BEB0-83B404693C4F}">
      <text>
        <r>
          <rPr>
            <b/>
            <sz val="9"/>
            <color indexed="81"/>
            <rFont val="Tahoma"/>
            <family val="2"/>
          </rPr>
          <t>Maurizio Gargiulo:</t>
        </r>
        <r>
          <rPr>
            <sz val="9"/>
            <color indexed="81"/>
            <rFont val="Tahoma"/>
            <family val="2"/>
          </rPr>
          <t xml:space="preserve">
Capacity in MW and output in PJ</t>
        </r>
      </text>
    </comment>
    <comment ref="J10" authorId="0" shapeId="0" xr:uid="{0A4C14D9-93C7-47EA-BDFE-D884F582FB92}">
      <text>
        <r>
          <rPr>
            <b/>
            <sz val="9"/>
            <color indexed="81"/>
            <rFont val="Tahoma"/>
            <family val="2"/>
          </rPr>
          <t>Maurizio Gargiulo:</t>
        </r>
        <r>
          <rPr>
            <sz val="9"/>
            <color indexed="81"/>
            <rFont val="Tahoma"/>
            <family val="2"/>
          </rPr>
          <t xml:space="preserve">
Capacity in MW and output in PJ</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F8" authorId="0" shapeId="0" xr:uid="{DCE0D9BC-9709-4F18-9216-AB8C8C0E5523}">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8" authorId="0" shapeId="0" xr:uid="{2BC6FBE1-8D2E-46EA-A2D9-2B4CF4F1F835}">
      <text>
        <r>
          <rPr>
            <b/>
            <sz val="9"/>
            <color indexed="81"/>
            <rFont val="Tahoma"/>
            <family val="2"/>
          </rPr>
          <t>Maurizio Gargiulo:</t>
        </r>
        <r>
          <rPr>
            <sz val="9"/>
            <color indexed="81"/>
            <rFont val="Tahoma"/>
            <family val="2"/>
          </rPr>
          <t xml:space="preserve">
Capacity in MW and output in PJ</t>
        </r>
      </text>
    </comment>
    <comment ref="F9" authorId="0" shapeId="0" xr:uid="{D5FC1266-612E-44AE-818F-719831A03256}">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9" authorId="0" shapeId="0" xr:uid="{ADCC5FDC-5F4C-4C53-B97A-0928F9528447}">
      <text>
        <r>
          <rPr>
            <b/>
            <sz val="9"/>
            <color indexed="81"/>
            <rFont val="Tahoma"/>
            <family val="2"/>
          </rPr>
          <t>Maurizio Gargiulo:</t>
        </r>
        <r>
          <rPr>
            <sz val="9"/>
            <color indexed="81"/>
            <rFont val="Tahoma"/>
            <family val="2"/>
          </rPr>
          <t xml:space="preserve">
Capacity in MW and output in PJ</t>
        </r>
      </text>
    </comment>
    <comment ref="F10" authorId="0" shapeId="0" xr:uid="{A6A78848-A5CE-41BE-B120-E23352D56B77}">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10" authorId="0" shapeId="0" xr:uid="{A587917F-6947-4B3A-983A-3B234ED6971D}">
      <text>
        <r>
          <rPr>
            <b/>
            <sz val="9"/>
            <color indexed="81"/>
            <rFont val="Tahoma"/>
            <family val="2"/>
          </rPr>
          <t>Maurizio Gargiulo:</t>
        </r>
        <r>
          <rPr>
            <sz val="9"/>
            <color indexed="81"/>
            <rFont val="Tahoma"/>
            <family val="2"/>
          </rPr>
          <t xml:space="preserve">
Capacity in MW and output in PJ</t>
        </r>
      </text>
    </comment>
    <comment ref="F12" authorId="0" shapeId="0" xr:uid="{5DECF2FE-8094-4A50-B209-6A3AEB8C7056}">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F13" authorId="0" shapeId="0" xr:uid="{C02CF633-E67E-4A1A-ABE2-BEC6016CC6A9}">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13" authorId="0" shapeId="0" xr:uid="{968A65F3-7967-481D-AEEB-49773CFCAE29}">
      <text>
        <r>
          <rPr>
            <b/>
            <sz val="9"/>
            <color indexed="81"/>
            <rFont val="Tahoma"/>
            <family val="2"/>
          </rPr>
          <t>Maurizio Gargiulo:</t>
        </r>
        <r>
          <rPr>
            <sz val="9"/>
            <color indexed="81"/>
            <rFont val="Tahoma"/>
            <family val="2"/>
          </rPr>
          <t xml:space="preserve">
Capacity in MW and output in PJ</t>
        </r>
      </text>
    </comment>
    <comment ref="F14" authorId="0" shapeId="0" xr:uid="{A2C24287-C606-4994-BEAE-68553F0CF39B}">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14" authorId="0" shapeId="0" xr:uid="{FACC9F2D-9608-4ACB-8C3F-AACE7B779E00}">
      <text>
        <r>
          <rPr>
            <b/>
            <sz val="9"/>
            <color indexed="81"/>
            <rFont val="Tahoma"/>
            <family val="2"/>
          </rPr>
          <t>Maurizio Gargiulo:</t>
        </r>
        <r>
          <rPr>
            <sz val="9"/>
            <color indexed="81"/>
            <rFont val="Tahoma"/>
            <family val="2"/>
          </rPr>
          <t xml:space="preserve">
Capacity in MW and output in PJ</t>
        </r>
      </text>
    </comment>
    <comment ref="F15" authorId="0" shapeId="0" xr:uid="{4C351D13-A712-4858-A926-07493604DC6A}">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F16" authorId="0" shapeId="0" xr:uid="{59646C4E-5707-49A9-A7DE-5DEFDECA3B94}">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16" authorId="0" shapeId="0" xr:uid="{98B28080-0E7C-49DA-8D8C-A20884905C31}">
      <text>
        <r>
          <rPr>
            <b/>
            <sz val="9"/>
            <color indexed="81"/>
            <rFont val="Tahoma"/>
            <family val="2"/>
          </rPr>
          <t>Maurizio Gargiulo:</t>
        </r>
        <r>
          <rPr>
            <sz val="9"/>
            <color indexed="81"/>
            <rFont val="Tahoma"/>
            <family val="2"/>
          </rPr>
          <t xml:space="preserve">
Capacity in MW and output in PJ</t>
        </r>
      </text>
    </comment>
    <comment ref="F17" authorId="0" shapeId="0" xr:uid="{501B9CBB-6939-43C3-8A83-C2F50D817A52}">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17" authorId="0" shapeId="0" xr:uid="{C5414FB1-DF7E-46DE-B52B-C7299A6D90A4}">
      <text>
        <r>
          <rPr>
            <b/>
            <sz val="9"/>
            <color indexed="81"/>
            <rFont val="Tahoma"/>
            <family val="2"/>
          </rPr>
          <t>Maurizio Gargiulo:</t>
        </r>
        <r>
          <rPr>
            <sz val="9"/>
            <color indexed="81"/>
            <rFont val="Tahoma"/>
            <family val="2"/>
          </rPr>
          <t xml:space="preserve">
Capacity in MW and output in PJ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F8" authorId="0" shapeId="0" xr:uid="{98CA0B03-38D7-4F4D-8FA4-9AAEF3998B34}">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8" authorId="0" shapeId="0" xr:uid="{DC3E0399-9446-468C-88A8-300B61DFDF2D}">
      <text>
        <r>
          <rPr>
            <b/>
            <sz val="9"/>
            <color indexed="81"/>
            <rFont val="Tahoma"/>
            <family val="2"/>
          </rPr>
          <t>Maurizio Gargiulo:</t>
        </r>
        <r>
          <rPr>
            <sz val="9"/>
            <color indexed="81"/>
            <rFont val="Tahoma"/>
            <family val="2"/>
          </rPr>
          <t xml:space="preserve">
Capacity in MW and output in PJ</t>
        </r>
      </text>
    </comment>
    <comment ref="F9" authorId="0" shapeId="0" xr:uid="{C50CD910-5AFE-46B2-9C56-DBF8098BFDDA}">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 ref="J9" authorId="0" shapeId="0" xr:uid="{6DC4D3B3-1B6E-4967-8580-A5A9D501DE54}">
      <text>
        <r>
          <rPr>
            <b/>
            <sz val="9"/>
            <color indexed="81"/>
            <rFont val="Tahoma"/>
            <family val="2"/>
          </rPr>
          <t>Maurizio Gargiulo:</t>
        </r>
        <r>
          <rPr>
            <sz val="9"/>
            <color indexed="81"/>
            <rFont val="Tahoma"/>
            <family val="2"/>
          </rPr>
          <t xml:space="preserve">
Capacity in MW and output in PJ</t>
        </r>
      </text>
    </comment>
    <comment ref="F10" authorId="0" shapeId="0" xr:uid="{6B67A182-C4F7-4F4B-9C6C-ED2AB9B303F0}">
      <text>
        <r>
          <rPr>
            <b/>
            <sz val="9"/>
            <color indexed="81"/>
            <rFont val="Tahoma"/>
            <family val="2"/>
          </rPr>
          <t>Maurizio Gargiulo:</t>
        </r>
        <r>
          <rPr>
            <sz val="9"/>
            <color indexed="81"/>
            <rFont val="Tahoma"/>
            <family val="2"/>
          </rPr>
          <t xml:space="preserve">
This technology is available in the base year. The stock and other inputs are specified in the trans file</t>
        </r>
      </text>
    </comment>
  </commentList>
</comments>
</file>

<file path=xl/sharedStrings.xml><?xml version="1.0" encoding="utf-8"?>
<sst xmlns="http://schemas.openxmlformats.org/spreadsheetml/2006/main" count="3490" uniqueCount="616">
  <si>
    <t>~FI_T</t>
  </si>
  <si>
    <t>TechName</t>
  </si>
  <si>
    <t>TechDesc</t>
  </si>
  <si>
    <t>Comm-IN</t>
  </si>
  <si>
    <t>Comm-OUT</t>
  </si>
  <si>
    <t>Life</t>
  </si>
  <si>
    <t>FIXOM</t>
  </si>
  <si>
    <t>START</t>
  </si>
  <si>
    <t>Sets</t>
  </si>
  <si>
    <t>EFF</t>
  </si>
  <si>
    <t>~FI_Process</t>
  </si>
  <si>
    <t>Tact</t>
  </si>
  <si>
    <t>Tcap</t>
  </si>
  <si>
    <t>Tslvl</t>
  </si>
  <si>
    <t>PrimaryCG</t>
  </si>
  <si>
    <t>Vintage</t>
  </si>
  <si>
    <t>Technology Name</t>
  </si>
  <si>
    <t>Technology Description</t>
  </si>
  <si>
    <t>Activity Unit</t>
  </si>
  <si>
    <t>Capacity Unit</t>
  </si>
  <si>
    <t>Timeslice Operational Level</t>
  </si>
  <si>
    <t>Operational Commodity Group</t>
  </si>
  <si>
    <t>Vintage Tracking</t>
  </si>
  <si>
    <t>Input Commodity</t>
  </si>
  <si>
    <t>Output Commodity</t>
  </si>
  <si>
    <t>AFA</t>
  </si>
  <si>
    <t>VAROM</t>
  </si>
  <si>
    <t>CAP2ACT</t>
  </si>
  <si>
    <t>Efficiency</t>
  </si>
  <si>
    <t>Annual Availability Factor</t>
  </si>
  <si>
    <t>Lifetime of Process</t>
  </si>
  <si>
    <t>Capacity to Activity Factor</t>
  </si>
  <si>
    <t>Starting Year</t>
  </si>
  <si>
    <t>INVCOST</t>
  </si>
  <si>
    <t>Investment Cost</t>
  </si>
  <si>
    <t>Fixed O&amp;M Cost</t>
  </si>
  <si>
    <t>Variable O&amp;M Cost</t>
  </si>
  <si>
    <t>*Technology Name</t>
  </si>
  <si>
    <t>*Process Set Membership</t>
  </si>
  <si>
    <t>PRE</t>
  </si>
  <si>
    <t>PJ</t>
  </si>
  <si>
    <t>MW</t>
  </si>
  <si>
    <t>DAYNITE</t>
  </si>
  <si>
    <t>HETC</t>
  </si>
  <si>
    <t>HETD</t>
  </si>
  <si>
    <t>HETCP</t>
  </si>
  <si>
    <t>HETDP</t>
  </si>
  <si>
    <t>Date</t>
  </si>
  <si>
    <t>Name</t>
  </si>
  <si>
    <t>Sheet Name</t>
  </si>
  <si>
    <t>Cells</t>
  </si>
  <si>
    <t>Comments</t>
  </si>
  <si>
    <t>Lars B. Termansen</t>
  </si>
  <si>
    <t>Intro</t>
  </si>
  <si>
    <t>Added intro sheet</t>
  </si>
  <si>
    <t>Added tab color</t>
  </si>
  <si>
    <t>Description</t>
  </si>
  <si>
    <t>Purpose:</t>
  </si>
  <si>
    <t>Description:</t>
  </si>
  <si>
    <t>Relevant sectors</t>
  </si>
  <si>
    <t>Description of different sheets</t>
  </si>
  <si>
    <t>Existing and new district heating pipelines</t>
  </si>
  <si>
    <t>Missing source information</t>
  </si>
  <si>
    <t>ELC</t>
  </si>
  <si>
    <t>Existing pipes are made in a subres, such that TIMES automaticaly invests in the needed capacity in order to deliver the district heat that have been specified in the VT-file.</t>
  </si>
  <si>
    <t xml:space="preserve">Like this, TIMES then is just investing automatically in the needed capacity. </t>
  </si>
  <si>
    <t>RES (HOU)</t>
  </si>
  <si>
    <t>Defines the processes and topology for district heating pipelines - both existing and new techs</t>
  </si>
  <si>
    <t>Remove the commodity table, as no new commodities are specified here</t>
  </si>
  <si>
    <t>NOTICE. This file is an absolute must to include in a run, as this makes sure that district heating is available to the household sector.</t>
  </si>
  <si>
    <t>CURR</t>
  </si>
  <si>
    <t>133 Ship transport</t>
  </si>
  <si>
    <t>132 Road transport</t>
  </si>
  <si>
    <t>131_5 TOLU</t>
  </si>
  <si>
    <t>131_4 DME</t>
  </si>
  <si>
    <t>131_3 NH3</t>
  </si>
  <si>
    <t>131_2 H2 70</t>
  </si>
  <si>
    <t>131_1 H2 140</t>
  </si>
  <si>
    <t>co2 terminals</t>
  </si>
  <si>
    <t>123 co2 ship transport</t>
  </si>
  <si>
    <t>122 co2 road transport</t>
  </si>
  <si>
    <t>121 co2 pipeline</t>
  </si>
  <si>
    <t>113_16 DH_Distr New area LTDH</t>
  </si>
  <si>
    <t>112_15 DH_Distribu New area</t>
  </si>
  <si>
    <t>113_14 DH_Distribu City</t>
  </si>
  <si>
    <t>113_13 DH_Distribu Suburb</t>
  </si>
  <si>
    <t>113_12 DH_Distribu Rural</t>
  </si>
  <si>
    <t>113_11 DH transmission</t>
  </si>
  <si>
    <t>112 1 gas  New area</t>
  </si>
  <si>
    <t>112 9 gas City</t>
  </si>
  <si>
    <t>co2 transport added</t>
  </si>
  <si>
    <t>121-123 + co2 terminals</t>
  </si>
  <si>
    <t>112 8 gas  Suburban</t>
  </si>
  <si>
    <t>Transport of gasses and liquids added</t>
  </si>
  <si>
    <t>131-133</t>
  </si>
  <si>
    <t>112 7 gas  Rural</t>
  </si>
  <si>
    <t>Notes</t>
  </si>
  <si>
    <t>Change</t>
  </si>
  <si>
    <t>Sheet</t>
  </si>
  <si>
    <t>112 6 gas Main distri line</t>
  </si>
  <si>
    <t>111 5 el distri new area</t>
  </si>
  <si>
    <t>111 4 el distri  city</t>
  </si>
  <si>
    <t>111 3 el distri suburban</t>
  </si>
  <si>
    <t>111 2 el distri Rural</t>
  </si>
  <si>
    <t>All cost data is in 2015€</t>
  </si>
  <si>
    <t>111 1 el Main distri50-60kVcabl</t>
  </si>
  <si>
    <t>Technology Data for Industrial Process Heat</t>
  </si>
  <si>
    <t>INDEX</t>
  </si>
  <si>
    <t>Energy losses and auxiliary electricity consumption can be considered negligible</t>
  </si>
  <si>
    <t>S</t>
  </si>
  <si>
    <t>Variable O&amp;M cost is in very low for electric transmission systems and considered to be negligible</t>
  </si>
  <si>
    <t>R</t>
  </si>
  <si>
    <t>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</si>
  <si>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Q</t>
  </si>
  <si>
    <t>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</si>
  <si>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P</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</si>
  <si>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</si>
  <si>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O</t>
  </si>
  <si>
    <t>Station cost is based on average cost for capacity banks and inductor with a design voltage of 72 kV. It is assumed that the equipment is installed in a existing station.</t>
  </si>
  <si>
    <t>M</t>
  </si>
  <si>
    <t xml:space="preserve">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</si>
  <si>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L</t>
  </si>
  <si>
    <t xml:space="preserve">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</si>
  <si>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K</t>
  </si>
  <si>
    <t>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</si>
  <si>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J</t>
  </si>
  <si>
    <r>
      <t>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t>
    </r>
    <r>
      <rPr>
        <vertAlign val="superscript"/>
        <sz val="9"/>
        <rFont val="Arial"/>
        <family val="2"/>
      </rPr>
      <t>2</t>
    </r>
    <r>
      <rPr>
        <sz val="9"/>
        <rFont val="Arial"/>
        <family val="2"/>
      </rPr>
      <t>, corresponding to a power level of 100 MW. Power levels above 100 MW are not considered for this voltage level.</t>
    </r>
  </si>
  <si>
    <t>I</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</si>
  <si>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t>
    </r>
    <r>
      <rPr>
        <vertAlign val="superscript"/>
        <sz val="9"/>
        <rFont val="Arial"/>
        <family val="2"/>
      </rPr>
      <t>2</t>
    </r>
    <r>
      <rPr>
        <sz val="9"/>
        <rFont val="Arial"/>
        <family val="2"/>
      </rPr>
      <t>, 800mm</t>
    </r>
    <r>
      <rPr>
        <vertAlign val="superscript"/>
        <sz val="9"/>
        <rFont val="Arial"/>
        <family val="2"/>
      </rPr>
      <t>2</t>
    </r>
    <r>
      <rPr>
        <sz val="9"/>
        <rFont val="Arial"/>
        <family val="2"/>
      </rPr>
      <t xml:space="preserve">  and 1000 mm</t>
    </r>
    <r>
      <rPr>
        <vertAlign val="superscript"/>
        <sz val="9"/>
        <rFont val="Arial"/>
        <family val="2"/>
      </rPr>
      <t>2</t>
    </r>
    <r>
      <rPr>
        <sz val="9"/>
        <rFont val="Arial"/>
        <family val="2"/>
      </rPr>
      <t>,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r>
  </si>
  <si>
    <t>H</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</si>
  <si>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</si>
  <si>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G</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</si>
  <si>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t>
    </r>
    <r>
      <rPr>
        <vertAlign val="superscript"/>
        <sz val="9"/>
        <rFont val="Arial"/>
        <family val="2"/>
      </rPr>
      <t>2</t>
    </r>
    <r>
      <rPr>
        <sz val="9"/>
        <rFont val="Arial"/>
        <family val="2"/>
      </rPr>
      <t xml:space="preserve">  and 630 mm</t>
    </r>
    <r>
      <rPr>
        <vertAlign val="superscript"/>
        <sz val="9"/>
        <rFont val="Arial"/>
        <family val="2"/>
      </rPr>
      <t>2,</t>
    </r>
    <r>
      <rPr>
        <sz val="9"/>
        <rFont val="Arial"/>
        <family val="2"/>
      </rPr>
      <t xml:space="preserve">,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r>
  </si>
  <si>
    <t>F</t>
  </si>
  <si>
    <t>Construction time ranges normally from 1 to 2 years. In technically complex projects and for long cable stretches, the construction time increases and could stretch up to 5 years.</t>
  </si>
  <si>
    <t>E</t>
  </si>
  <si>
    <t xml:space="preserve">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</si>
  <si>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D</t>
  </si>
  <si>
    <t>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</si>
  <si>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C</t>
  </si>
  <si>
    <t xml:space="preserve">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</si>
  <si>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B</t>
  </si>
  <si>
    <t>Energy losses are estimated from total energy loss on transmission levels in the voltage range 20kV to 130 kV in Sweden. Transmission lines/cables accounts for approximately 60% of the losses and transformers accounts for approximately 40%.</t>
  </si>
  <si>
    <t>A</t>
  </si>
  <si>
    <t>Notes:</t>
  </si>
  <si>
    <t>Swedish Energy Markets Inspectorate (http://ei.se/sv/el/Elnat-och-natprisreglering/de-olika-delarna-i-intaktsramen/)</t>
  </si>
  <si>
    <t>Standard value list for the Swedish Energy Markets Inspectorate (2015 value) (http://ei.se/sv/el/Elnat-och-natprisreglering/forhandsreglering-av-elnatstariffer-ar-2016-2019/dokument-elnatsreglering/normvardeslista-elnat-2016-2019/)</t>
  </si>
  <si>
    <t>PEX Guiden, Ericsson</t>
  </si>
  <si>
    <t>EBR cost database, developed by Swedish bransch organisation Svensk Energi.</t>
  </si>
  <si>
    <t>Svenska Kraftnät, Technology (http://www.svk.se/en/grid-development/the-construction-process/technology/)</t>
  </si>
  <si>
    <t>International Electrotechnical Comission, Efficient Electrical Energy Transmission and Distribution (http://www.iec.ch/about/brochures/pdf/technology/transmission.pdf)</t>
  </si>
  <si>
    <t>Svenska Kraftnät, Nätuvecklingsplan 2016 – 2025, Oktober 2015 (http://www.svk.se/siteassets/om-oss/rapporter/natutvecklingsplan-2016-2025.pdf)</t>
  </si>
  <si>
    <t>energinet.dk (http://www.energinet.dk/DA/KLIMA-OG-MILJOE/Energinetdks-miljoepaavirkninger/Miljoepaavirkninger-ved-transport-af-el/Sider/Tab-i-elnettet.aspx)</t>
  </si>
  <si>
    <t>U.S. Energy Information Administration (http://www.eia.gov/tools/faqs/faq.cfm?id=105&amp;t=3)</t>
  </si>
  <si>
    <t>References:</t>
  </si>
  <si>
    <t>Technology specific data</t>
  </si>
  <si>
    <t>N/A</t>
  </si>
  <si>
    <t>Variable O&amp;M (EUR/MWh/km)</t>
  </si>
  <si>
    <t>Fixed O&amp;M (EUR/MW/km/year)</t>
  </si>
  <si>
    <t>Investments, percentage materials</t>
  </si>
  <si>
    <t>Investments, percentage installation</t>
  </si>
  <si>
    <t>M,O</t>
  </si>
  <si>
    <t>Investment costs; [type 2] station (EUR/MW)</t>
  </si>
  <si>
    <t>L,O</t>
  </si>
  <si>
    <t>Investment costs; [type 1] station (EUR/MW)</t>
  </si>
  <si>
    <t>K,O</t>
  </si>
  <si>
    <t>Reinforcement costs (EUR/MW)</t>
  </si>
  <si>
    <t>Investment costs; single line, above 1000 MW (EUR/MW/m)</t>
  </si>
  <si>
    <t>Investment costs; single line, 500-1000 MW (EUR/MW/m)</t>
  </si>
  <si>
    <t>Investment costs; single line, 250-500 MW (EUR/MW/m)</t>
  </si>
  <si>
    <t>I,G</t>
  </si>
  <si>
    <t>Investment costs; single line, 100 - 250 MW (EUR/MW/m)</t>
  </si>
  <si>
    <t>H,G</t>
  </si>
  <si>
    <t>Investment costs; single line, 50-100 MW (EUR/MW/m)</t>
  </si>
  <si>
    <t>F,G</t>
  </si>
  <si>
    <t>Investment costs; single line, 0 - 50 MW  (EUR/MW/m)</t>
  </si>
  <si>
    <t>Financial data</t>
  </si>
  <si>
    <t>Construction time (years)</t>
  </si>
  <si>
    <t>Typical load profile (-)</t>
  </si>
  <si>
    <t>Technical life time (years)</t>
  </si>
  <si>
    <t>A,B,S</t>
  </si>
  <si>
    <t>Auxiliary electricity consumption (% energy transmitted)</t>
  </si>
  <si>
    <t>Energy losses, stations [Type 2] (%)</t>
  </si>
  <si>
    <t>1,2,3,4</t>
  </si>
  <si>
    <t>A,B</t>
  </si>
  <si>
    <t>Energy losses, stations [Type 1] (%)</t>
  </si>
  <si>
    <t>Energy losses, lines above 100 MW (%)</t>
  </si>
  <si>
    <t>Energy losses, lines 20-100 MW (%)</t>
  </si>
  <si>
    <t>Energy losses, lines 1-20 MW (%)</t>
  </si>
  <si>
    <t>Upper</t>
  </si>
  <si>
    <t>Lower</t>
  </si>
  <si>
    <t>Energy/technical data</t>
  </si>
  <si>
    <t>Ref</t>
  </si>
  <si>
    <t>Note</t>
  </si>
  <si>
    <t>Uncertainty (2050)</t>
  </si>
  <si>
    <t>Uncertainty (2020)</t>
  </si>
  <si>
    <t>Energy Transport Electricity Main distribution, electricity cables</t>
  </si>
  <si>
    <t>Technology</t>
  </si>
  <si>
    <t>Table 1: Main distribution, 50/60 kV electricity</t>
  </si>
  <si>
    <t>Auxiliary electricity consumption can be considered negligible</t>
  </si>
  <si>
    <t>N</t>
  </si>
  <si>
    <t>Variable O&amp;M cost is in very low for electric transmission systems and considered to be negligeable</t>
  </si>
  <si>
    <t>The fixed O&amp;M cost are calculated as a standard annual cost of 0,51% of the investment cost.  It should be noted that the O&amp;M cost in distribution system is mainly attributed to stations since there is practically no maintanaince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</si>
  <si>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bounds for 2020 assumes a reduction of 17,6% of the investment costs due to more efficient installations and a continued reduction by an additional 10% for 2050.</t>
  </si>
  <si>
    <t xml:space="preserve">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bounds for 2020 assumes a reduction of 4,4% of the costs due to more efficient installations and a continued reduction by an additional 4,4% for 2050. No increases in costs are anticipated and upper bounds are set to today's level for both 2020 and 2050.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</si>
  <si>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replacing the current transformer with a new transformer with a higher power level. The cost for a new transformer, assuming the current station can still be used, is on average 11500 EUR/MW for a 800 kVA or 1250 kVA transformer. </t>
  </si>
  <si>
    <t xml:space="preserve">Costs for the single lines are based on cables with a design voltage of 12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Power levels below 250 kW and above 25 MW are not relevant for the specific voltage level. Above 6 MW more than one cable is needed. The cost of the material increases linear with the number of cables. The installation cost does not increase linear. An average cost based on the installation cost for one cable was used as a cost for more than one cable. </t>
  </si>
  <si>
    <t>Costs for service lines are based on cables with a design voltage of 0,4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The service line length was bases on the guidelines: 0-20 kW - 20 m, 20-100 kW - 50 m, Above 100 kW -100 m.</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</si>
  <si>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</si>
  <si>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19%. </t>
  </si>
  <si>
    <t>According to the network price regulation from Energimarknadsinspektionen, the technical life time for stations and cables are 40 years. In practice, cable technical life can be shorter, depending on the thermal loading of the cable.</t>
  </si>
  <si>
    <t xml:space="preserve">Losses in a transformer tends to decrease with increasing transformer capacity. The losses also depends on the transformer load. When the transformer load decreases under 20 % there is a large increase in the losses. In general the losses are about 1-2 % </t>
  </si>
  <si>
    <t xml:space="preserve">The line losses were calculated using reference (1) and the formula Total energy exported to customer / Total energy fed into the system. Lines in rural areas have a higher loss than lines in more populated areas. </t>
  </si>
  <si>
    <t>Sweco, Project data</t>
  </si>
  <si>
    <t>Energimarknadsinspektionens föreskrifter om intäktsramar för elnätsföretag.  http://ei.se/Documents/Publikationer/rapporter_och_pm/Rapporter%202015/Ei_R2015_01.pdf</t>
  </si>
  <si>
    <t xml:space="preserve"> The Scope for Energy Saving in the EU through the Use of Energy-Efficient Electricity Distribution Transformers. H. De Keukeabaer, D. Chapman, S. Fassbinder, M. McDermott,  (2001).</t>
  </si>
  <si>
    <t>Särskilda rapporten - teknisk data from Energimarknadsinspektionen (Statistics from Swedish utility companies) from 2014 (http://www.ei.se/sv/Publikationer/Arsrapporter/)</t>
  </si>
  <si>
    <t>Variable O&amp;M (EUR/MWh)</t>
  </si>
  <si>
    <t>Fixed O&amp;M (EUR/MW/year)</t>
  </si>
  <si>
    <t>Investments, percentage materials (stations)</t>
  </si>
  <si>
    <t>Investments, percentage installation (stations)</t>
  </si>
  <si>
    <t>Investments, percentage materials (cables)</t>
  </si>
  <si>
    <t>Investments, percentage installation (cables)</t>
  </si>
  <si>
    <t>I,F,J</t>
  </si>
  <si>
    <t>Reinforcement costs (EUR/MW) (Station)</t>
  </si>
  <si>
    <t>H,F</t>
  </si>
  <si>
    <t>Investment costs; single line, 25 MW - 100 MW (EUR/m)</t>
  </si>
  <si>
    <t>Investment costs; single line, 5 MW - 25 MW (EUR/m)</t>
  </si>
  <si>
    <t>Investment costs; single line, 1 MW - 5 MW (EUR/m)</t>
  </si>
  <si>
    <t>Investment costs; single line, 250 kW - 1 MW (EUR/m)</t>
  </si>
  <si>
    <t>Investment costs; single line, 100-250 kW  (EUR/m)</t>
  </si>
  <si>
    <t>Investment costs; single line, 50-250 kW  (EUR/m)</t>
  </si>
  <si>
    <t>Investment costs; single line, 0-50 kW (EUR/m)</t>
  </si>
  <si>
    <t>G,F</t>
  </si>
  <si>
    <t>Investment costs; service line, above 100 kW (EUR/unit)</t>
  </si>
  <si>
    <t>Investment costs; service line, 50-100 kW (EUR/unit)</t>
  </si>
  <si>
    <t>Investment costs; service line, 20 - 50 kW (EUR/unit)</t>
  </si>
  <si>
    <t>Investment costs; service line, 0 - 20 kW (EUR/unit)</t>
  </si>
  <si>
    <t>1, 6</t>
  </si>
  <si>
    <t>E,F</t>
  </si>
  <si>
    <t>Distribution network costs (EUR/MWh/year) Rural</t>
  </si>
  <si>
    <t xml:space="preserve">- Commercial </t>
  </si>
  <si>
    <t>- Residential</t>
  </si>
  <si>
    <t>1, 5</t>
  </si>
  <si>
    <t xml:space="preserve">Typical load profile (-) </t>
  </si>
  <si>
    <t>4, 5</t>
  </si>
  <si>
    <t>Auxiliary electricity consumption (% of energy delivered)</t>
  </si>
  <si>
    <t>Energy losses, stations (%)</t>
  </si>
  <si>
    <t>Energy losses, lines (%)</t>
  </si>
  <si>
    <t>Energy Transport Electricity Distribution, Rural</t>
  </si>
  <si>
    <t>Table 2: Electricity distribution, Rural</t>
  </si>
  <si>
    <t>Variable O&amp;M cost is in very low for electric transmission systems and considered to be negligeble</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</si>
  <si>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decrease the installation costs. </t>
  </si>
  <si>
    <t>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is if Danish salaries decrease to the Swedish level (a decrease by 17,6 %). Upper level is if costs stay on today’s level. For 2050 better efficiency is expected which is estimated to decrease the cost by an additional 10 %.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</si>
  <si>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replacering the current transformer with a new transformer with a higher power level. The cost for a new transformer, assuming the current station can still be used, is on average 11500 EUR/MW for a 800 kVA or 1250 kVA transformer. </t>
  </si>
  <si>
    <t xml:space="preserve">Price projections are based on an extrapolation of price development over the years 2000 - 2014 corrected for inflation. Over the six last years the prices have stabilized on a constant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</si>
  <si>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</si>
  <si>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26%. </t>
  </si>
  <si>
    <t>Investment costs; service line,  above 100 kW (EUR/unit)</t>
  </si>
  <si>
    <t>Distribution network costs (EUR/MWh/year) Suburban</t>
  </si>
  <si>
    <t>- Commercial</t>
  </si>
  <si>
    <t>Energy Transport Electricity Distribution, Suburban</t>
  </si>
  <si>
    <t>Table 3: Electricity distribution, Suburban</t>
  </si>
  <si>
    <t>The fixed O&amp;M cost are calculated as a standard annual cost of 0,51% of the investment cost.  It should be noted that the O&amp;M cost in distribution system is mainly attributed to stations since there is practically no maintenance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</si>
  <si>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 xml:space="preserve">Calculations for the load profile were based on reference (1). This gave an average value of 44 % for all areas. The load profile is not expected to change to 2020. For 2050 the upper scenario is a smart grid scenario, in which  the load factor is increased by 6 %, the lower scenario is an increase in peak load without the use of smart grid leading to a decrease in load factor by 21%. </t>
  </si>
  <si>
    <t>Distribution network costs (EUR/MWh/year) City</t>
  </si>
  <si>
    <t>Energy Transport Electricity Distribution, City</t>
  </si>
  <si>
    <t>Table 4: Electricity distribution, city</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</si>
  <si>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decreace the installation costs. </t>
  </si>
  <si>
    <t xml:space="preserve">Calculations for the load profile were based on reference (1). This gave an average value of 48 % for all areas. The load profile is not expected to change to 2020. For 2050 the upper scenario is a smart grid scenario, in which  the load factor increases by 10 %, the lower scenario is an increase in peak load of 15 % without the use of smart grid leading to a corresponding decrease in load factor. </t>
  </si>
  <si>
    <t>Distribution network costs (EUR/MWh/year) New developed area</t>
  </si>
  <si>
    <t>Energy Transport Electricity Distribution, New developed areas</t>
  </si>
  <si>
    <t>Table 5: Electricity distribution, New developed area</t>
  </si>
  <si>
    <t>Type 1 MR stations supplying the transmission system level 2 .The stated costs are the average cost for a 40/4 bar MR station where reheating after expansion is required and a 19/4 bar MR station where reheating is not necessary. The  cost is only modestly size dependent. A 40/4 bar station capacity of 10.000 m3/h is 20 % higher than a similar station with a capacity of 5.000 m3/h.</t>
  </si>
  <si>
    <t>Type 1 MR stations supplying the transmission system level 2 - not part of the scope</t>
  </si>
  <si>
    <t>Capacity not relevant - too high</t>
  </si>
  <si>
    <t>Not possible to give general numbers. Depends on kind of reinforcement. Can be calculated based on the other numbers given.</t>
  </si>
  <si>
    <t>Two  pipes were chosen for each interval (one for the lowest power level and one for the highest). The average of these two are stated in the table.</t>
  </si>
  <si>
    <t>Data given is for a 50 MW capacity</t>
  </si>
  <si>
    <t>Rates include VVM review, landowner compensation and archaeological screening. Based on 20 km, of which 8 % is based on drilling.</t>
  </si>
  <si>
    <t xml:space="preserve">Includes enginering, tender, and construction.   </t>
  </si>
  <si>
    <t>Type 2 MR stations supplying the 4 bar distribution system. The stated number represents the gas consumption for preheating before expansion from 40 to 4 bar. Expansion from 19 or 16 bar to 4 bar doesn't require preheating. Losses are included in the number stated for lines, see note A.</t>
  </si>
  <si>
    <t xml:space="preserve">There are no general data available for the Danish gas system. The stated losses are based on a European survey that includes all parts in level 2 of the transmission, including stations. It is assumed that the losses (given as kg/km) are the same for transmission level 1 and 2. European gas networks are generally older than the Danish system. Therefore, it is expected that the losses from the Danish system are significantly lower than stated in the table. The lack of data explains the high uncertainty stated.  </t>
  </si>
  <si>
    <t>HMN Naturgas</t>
  </si>
  <si>
    <t>Survey methane emissions for gas transmission and distribution in Europe Marcogaz WG-ME-14-26  29/02/2016</t>
  </si>
  <si>
    <t>C, K</t>
  </si>
  <si>
    <t>B, J</t>
  </si>
  <si>
    <t>-</t>
  </si>
  <si>
    <t>i</t>
  </si>
  <si>
    <t>E, G</t>
  </si>
  <si>
    <t>E, F</t>
  </si>
  <si>
    <t>Investment costs</t>
  </si>
  <si>
    <t>Energy Transport, Natural Gas Main distribution line</t>
  </si>
  <si>
    <t>Table 6: Natural gas main distribution line</t>
  </si>
  <si>
    <t>No station will be installed for the distribution network</t>
  </si>
  <si>
    <t xml:space="preserve"> </t>
  </si>
  <si>
    <t>Reinforcement not relevant</t>
  </si>
  <si>
    <t>Two pipes were chosen for each interval (one for the lowest power level and one for the highest). The average of these two  is stated in the table.</t>
  </si>
  <si>
    <r>
      <t>Stated number is f</t>
    </r>
    <r>
      <rPr>
        <sz val="9"/>
        <rFont val="Calibri"/>
        <family val="2"/>
        <scheme val="minor"/>
      </rPr>
      <t>or Ø40</t>
    </r>
    <r>
      <rPr>
        <sz val="9"/>
        <color theme="1"/>
        <rFont val="Calibri"/>
        <family val="2"/>
        <scheme val="minor"/>
      </rPr>
      <t xml:space="preserve"> pipes - the smallest pipe applied. It is only marginally cheaper to apply smaller pipes.   </t>
    </r>
  </si>
  <si>
    <t>Capacity range not relevant for given case</t>
  </si>
  <si>
    <t>Based on given case</t>
  </si>
  <si>
    <t>There is no power consuming parts in the distribution system</t>
  </si>
  <si>
    <t>As mentioned in the qualitative description, new gas systems will be constructed without stations in the distribution network</t>
  </si>
  <si>
    <t xml:space="preserve">There are no general data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</si>
  <si>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Type 2 station (EUR/MW)</t>
  </si>
  <si>
    <t>Type 1 station (EUR/MW)</t>
  </si>
  <si>
    <t>Distribution network costs (EUR/MWh/year), Rural</t>
  </si>
  <si>
    <t>Energy Transport Natural Gas Distribution, New distribution in existing rual areas</t>
  </si>
  <si>
    <t>Table 7: Gas Distribution, rural</t>
  </si>
  <si>
    <t>Two pipes were chosen for each interval (one for the lowest power level and one for the highest). The average of these two are stated in the table.</t>
  </si>
  <si>
    <r>
      <t xml:space="preserve">Stated number is for a </t>
    </r>
    <r>
      <rPr>
        <sz val="9"/>
        <rFont val="Arial"/>
        <family val="2"/>
      </rPr>
      <t>Ø40</t>
    </r>
    <r>
      <rPr>
        <sz val="9"/>
        <color theme="1"/>
        <rFont val="Arial"/>
        <family val="2"/>
      </rPr>
      <t xml:space="preserve"> pipes - the smallest pipe applied. It is only marginally cheaper to apply smaller pipes.   </t>
    </r>
  </si>
  <si>
    <t xml:space="preserve">There are no general data available for the Danish gas system. The stated losses are based on a European survey. European gas networks are generally older than the Danish system. Therefore, it is expected that the losses from the Danish system are significantly lower than stated in the table. The lack of data explains the high uncertainty stated.  </t>
  </si>
  <si>
    <t>Survey methane emissions for gas transmission and distribution in Europe Marcogaz WG-ME-14-26 29/02/2016</t>
  </si>
  <si>
    <t>Energy Transport, Natural Gas Distribution, New distribution in existing suburban areas</t>
  </si>
  <si>
    <t>Table 8: Gas distribution, suburban</t>
  </si>
  <si>
    <t>Not relavant, see note A</t>
  </si>
  <si>
    <t>Stated number is for a service line supplying 1,5 MW.</t>
  </si>
  <si>
    <t>For the defined case  "New distribution in existing densely populated areas, city centres etc." it is assessed the natural gas based heating will be designed with one boiler and heat is distributied to the endusers by a locel district heating sytem. This means that the local natural gas system will only consist of  a A service line with a capacity of 1.5 MW supplying a boiler aswell a meter and a pressure regulator. Therefore losses are neglegted</t>
  </si>
  <si>
    <t>0.25</t>
  </si>
  <si>
    <t>0.15</t>
  </si>
  <si>
    <t>0.2</t>
  </si>
  <si>
    <t>Energy Transport Natural Gas Distribution, New distribution in existing city areas</t>
  </si>
  <si>
    <t>Table 9: Gas distribution, city</t>
  </si>
  <si>
    <r>
      <t>Stated number is f</t>
    </r>
    <r>
      <rPr>
        <sz val="11"/>
        <rFont val="Calibri"/>
        <family val="2"/>
        <scheme val="minor"/>
      </rPr>
      <t>or Ø40</t>
    </r>
    <r>
      <rPr>
        <sz val="10"/>
        <rFont val="Arial"/>
      </rPr>
      <t xml:space="preserve"> pipes - the smallest pipe applied. It is only marginally cheaper to apply smaller pipes.   </t>
    </r>
  </si>
  <si>
    <t>There are no power consuming parts in the distribution system</t>
  </si>
  <si>
    <t xml:space="preserve">No general data are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</si>
  <si>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Energy Transport Natural Gas Distribution, New  developed residential areas</t>
  </si>
  <si>
    <t>Table 10: Gas distribution, new developed area</t>
  </si>
  <si>
    <t>Energy losses in pumping stations can be considered negligible</t>
  </si>
  <si>
    <t>Depends on the scale of the transmission grid and supply strategy of reserve capacity. Therefore, it is not possible to generalize these costs.</t>
  </si>
  <si>
    <t>Two district heating pipes were chosen for each interval (one for the lowest power level and one for the highest). The average of these two are stated in the table. The cost is per trench meter.</t>
  </si>
  <si>
    <t>An unpaved area is asumed</t>
  </si>
  <si>
    <t>The technical life time of a district heating pipe is minimum 30 years. However the life time can be substatialy longer depending on operation conditions e.g. temperaturevariation, soil conditions etc.</t>
  </si>
  <si>
    <t>The loss is per km of transmission line</t>
  </si>
  <si>
    <t>Consolidated with data from Dansk Fjernvarmes Årsstatistik 2016</t>
  </si>
  <si>
    <t>Consolidated with data from Svensk Fjärrvärme</t>
  </si>
  <si>
    <t>LOGSTOR A/S</t>
  </si>
  <si>
    <t>Based on Sweco experience figures</t>
  </si>
  <si>
    <t>1, 4</t>
  </si>
  <si>
    <t>1.5</t>
  </si>
  <si>
    <t>0.05</t>
  </si>
  <si>
    <t>0.1</t>
  </si>
  <si>
    <t>1, 3</t>
  </si>
  <si>
    <t>C, D</t>
  </si>
  <si>
    <t>See Note</t>
  </si>
  <si>
    <t>0.6</t>
  </si>
  <si>
    <t>0.4</t>
  </si>
  <si>
    <t>0.5</t>
  </si>
  <si>
    <t>1, 2</t>
  </si>
  <si>
    <t>Energy losses, Pumping stations (%)</t>
  </si>
  <si>
    <t>Energy losses, Heat exchanger stations (%)</t>
  </si>
  <si>
    <t>0.7</t>
  </si>
  <si>
    <t>Energy Transport District Heating Transmission</t>
  </si>
  <si>
    <t>The value stated is for stations above 1 MW. Investment costs per MW for stations below 1 MW are very different compared to stations above 1 MW as specified under Technology specific data.</t>
  </si>
  <si>
    <t>Two district heating pipes were chosen for each interval (one for the lowest power level and one for the highest). The average of these two are stated in the table. The cost is per trench meter. Power levels above 25 MW are not relevant in the specific area type.</t>
  </si>
  <si>
    <t>Cost of service lines are based on an average service line lenght of 15 meters. Two service lines were chosen for each interval (one for the lowest power level and one for the highest). The average of these two are stated in the table. Service lines above 100 kW are not relevant in the specific area type.</t>
  </si>
  <si>
    <t>An paved area is assumed for the distribution network. For service lines 50 % unpaved and 50 % paved area is asumed.</t>
  </si>
  <si>
    <t>The distribution network costs are based on the total cost for the area type case divided by the yearly heat demand. An unpaved area is assumed for all economic values</t>
  </si>
  <si>
    <t>The technical life time of a district heating pipe is minimum 30 years. However the life time can be substatialy longer depending on operation conditions e.g. temperature variation, soil conditions etc.</t>
  </si>
  <si>
    <t>For heat exchanger stations the heat loss is below 5 % and varies depending on the level of thermal insulation. For pump stations the heat loss is negligible.</t>
  </si>
  <si>
    <t>Use of single pipes would lead to a higher heat loss</t>
  </si>
  <si>
    <t>For entire distribution network</t>
  </si>
  <si>
    <t>Pumping station below 1 MW (EUR/MW)</t>
  </si>
  <si>
    <t>Heat exchanger station below 1 MW(EUR/MW)</t>
  </si>
  <si>
    <t>2, 4</t>
  </si>
  <si>
    <r>
      <rPr>
        <b/>
        <sz val="8"/>
        <color theme="1"/>
        <rFont val="Arial"/>
        <family val="2"/>
      </rPr>
      <t>Pumping</t>
    </r>
    <r>
      <rPr>
        <sz val="8"/>
        <color theme="1"/>
        <rFont val="Arial"/>
        <family val="2"/>
      </rPr>
      <t xml:space="preserve"> station (EUR/MW)</t>
    </r>
  </si>
  <si>
    <r>
      <rPr>
        <b/>
        <sz val="8"/>
        <color theme="1"/>
        <rFont val="Arial"/>
        <family val="2"/>
      </rPr>
      <t>Heat exchanger</t>
    </r>
    <r>
      <rPr>
        <sz val="8"/>
        <color theme="1"/>
        <rFont val="Arial"/>
        <family val="2"/>
      </rPr>
      <t xml:space="preserve"> station (EUR/MW)</t>
    </r>
  </si>
  <si>
    <t>2, 3</t>
  </si>
  <si>
    <t>F, H</t>
  </si>
  <si>
    <t>F, G</t>
  </si>
  <si>
    <r>
      <t xml:space="preserve">Energy losses, </t>
    </r>
    <r>
      <rPr>
        <b/>
        <sz val="8"/>
        <color theme="1"/>
        <rFont val="Arial"/>
        <family val="2"/>
      </rPr>
      <t xml:space="preserve">Heat exchanger </t>
    </r>
    <r>
      <rPr>
        <sz val="8"/>
        <color theme="1"/>
        <rFont val="Arial"/>
        <family val="2"/>
      </rPr>
      <t>stations (%)</t>
    </r>
  </si>
  <si>
    <t>A, B</t>
  </si>
  <si>
    <t>Energy Transport District Heating Distribution, Rural</t>
  </si>
  <si>
    <t>Table 12: District heating distribution, rural</t>
  </si>
  <si>
    <t>Energy Transport District Heating Distribution, Suburban</t>
  </si>
  <si>
    <t>Table 13: District heating distribution, suburban</t>
  </si>
  <si>
    <t>The value stated is for a DN40 twin pipe. This pipe size is able to deliver up to around 230 kW. If a higher capacity is needed the price will increase.</t>
  </si>
  <si>
    <t>Cost of service lines are based on an average service line lenght of 15 meters. Two service lines were chosen for each interval (one for the lowest power level and one for the highest). The average of these two are stated in the table.</t>
  </si>
  <si>
    <t>An paved area is assumed for the distribution network as well as service lines</t>
  </si>
  <si>
    <t>F, I</t>
  </si>
  <si>
    <t>F, G, H</t>
  </si>
  <si>
    <t>Energy Transport District Heating Distribution, City</t>
  </si>
  <si>
    <t>Table 14: District heating distribution, city</t>
  </si>
  <si>
    <t>An unpaved area is assumed</t>
  </si>
  <si>
    <t>Distribution network costs (EUR/MWh/year) 
New developed residential area</t>
  </si>
  <si>
    <t>Energy Transport District Heating Distribution, New Area</t>
  </si>
  <si>
    <t>Table 15: District heating distribution, new developed area</t>
  </si>
  <si>
    <t>Distribution network costs (EUR/MWh/year)  new developed residential area - Low temperature district heating</t>
  </si>
  <si>
    <t>Energy Transport District Heating Distribution, New Area Low Temperature</t>
  </si>
  <si>
    <t>Table 16: District heating distribution, new developed area with low temperature district heating</t>
  </si>
  <si>
    <t>Operating cost is assumed to be fixed for each pipeline. Estimate is based on cost of 12" pipeline in [2] and excludes pumping/compression cost.</t>
  </si>
  <si>
    <t>Pumping station for 2 MTPA CO₂ flow. CO₂ pressure increased from 80 to 150 bar with high-pressure CO₂ pump. Pump station every approx. 100 km. Cost estimate based on biogas compression station with CO₂ specific process equipment. Technical lifetime of pumping station is 25 years.</t>
  </si>
  <si>
    <r>
      <t>Offshore pipeline cost is based on ZEP's estimate in [2] for 180 km 12" pipeline transporting 2.5 MTPA CO₂ (approx. 300 t CO₂/h) but adjusted down from 4.7 to 4.0 EUR/[t CO</t>
    </r>
    <r>
      <rPr>
        <vertAlign val="subscript"/>
        <sz val="9"/>
        <rFont val="Arial"/>
        <family val="2"/>
      </rPr>
      <t>2</t>
    </r>
    <r>
      <rPr>
        <sz val="9"/>
        <rFont val="Arial"/>
        <family val="2"/>
      </rPr>
      <t>]/m to be more in line with expectations for Danish conditions as well as the estimate for onshore pipeline.</t>
    </r>
  </si>
  <si>
    <r>
      <t>Estimate includes cost for permitting, landowner compensation, cathodic protection and coating. Installation based on burried pipeline with 8% tunnelling. Operating pressure max 150 bar. Sectionalisation valve every 15 km. Installation costs are based om experienced cost for NG pipeline installation in Denmark. The 10-30 t CO</t>
    </r>
    <r>
      <rPr>
        <vertAlign val="subscript"/>
        <sz val="9"/>
        <rFont val="Arial"/>
        <family val="2"/>
      </rPr>
      <t>2</t>
    </r>
    <r>
      <rPr>
        <sz val="9"/>
        <rFont val="Arial"/>
        <family val="2"/>
      </rPr>
      <t>/h capacity interval is based on cost of a 4" pipeline, the 30-120 t CO</t>
    </r>
    <r>
      <rPr>
        <vertAlign val="subscript"/>
        <sz val="9"/>
        <rFont val="Arial"/>
        <family val="2"/>
      </rPr>
      <t>2</t>
    </r>
    <r>
      <rPr>
        <sz val="9"/>
        <rFont val="Arial"/>
        <family val="2"/>
      </rPr>
      <t>/h is based on weighed average of the cost of 4 and 8" pipelines. The 120-500 t CO</t>
    </r>
    <r>
      <rPr>
        <vertAlign val="subscript"/>
        <sz val="9"/>
        <rFont val="Arial"/>
        <family val="2"/>
      </rPr>
      <t>2</t>
    </r>
    <r>
      <rPr>
        <sz val="9"/>
        <rFont val="Arial"/>
        <family val="2"/>
      </rPr>
      <t>/h range is based on cost of a 12" pipeline.</t>
    </r>
  </si>
  <si>
    <t>Estimated as the energy required to overcome pipeline pressure drop (dP). Pipeline sized for dP of approx. 1.5, 1.0, 0.5 bar/km for small, medium and large capacity pipelines respectively (flow velocities of 1.2-2 m/s). It is expected that small bore pipelines will mainly be used for shorter distances, hence larger dP is acceptable.</t>
  </si>
  <si>
    <t>COWI estimate 2020</t>
  </si>
  <si>
    <t>The Costs of CO₂ transport, Zero Emission Platform (ZEP), Report 2010</t>
  </si>
  <si>
    <t>Technology Catalogue Natural gas Main Distribution Lines, Table 6</t>
  </si>
  <si>
    <t>Variable O&amp;M (EUR/[t CO₂/h]/km)</t>
  </si>
  <si>
    <t>Fixed O&amp;M (EUR/[t CO₂/h]/year/km)</t>
  </si>
  <si>
    <t>Investment costs compressor/pumping station (mill EUR)</t>
  </si>
  <si>
    <t>Investments, percentage materials (%)</t>
  </si>
  <si>
    <t>Investments, percentage installation (%)</t>
  </si>
  <si>
    <t>Investment costs; offhore single line, 120 - 500 t CO₂/h (EUR/[t CO2/h]/m)</t>
  </si>
  <si>
    <t>Investment costs; onshore single line, 120 - 500 t CO₂/h (EUR/[t CO2/h]/m)</t>
  </si>
  <si>
    <t>Investment costs; onshore single line, 30 - 120 t CO₂/h (EUR/[t CO2/h]/m)</t>
  </si>
  <si>
    <t>Investment costs; onshore single line, 10 - 30 t CO₂/h (EUR/[t CO2/h]/m)</t>
  </si>
  <si>
    <t>Energy demand, lines above 120-500 t CO2/h (kW/[t CO₂/h]/km)</t>
  </si>
  <si>
    <t>Energy demand lines 30-120 t CO2/h (kW/[t CO₂/h]/km)</t>
  </si>
  <si>
    <t>Energy demand, lines 10-30 t CO2/h (kW/[t CO₂/h]/km)</t>
  </si>
  <si>
    <t xml:space="preserve">CO2 pipeline transport </t>
  </si>
  <si>
    <t>Cost of truck transport is split into a fixed part related to the time spend on loading/unloading and variable cost based on the distance driven. Assumptions: 24/7 operation, 45 min loading and unloading time, 50 km/h average speed, Distance 50 km, fuel cost 1.2 €/kg, LHV 43 MJ/kg, CAPEX Truck + Tanker is 660 k€, 4% annual maintenance. CAPEX annualised with 8% over 4 years</t>
  </si>
  <si>
    <t>Technical lifetime of truck (puller) will depend on the distance driven, 4-10 years. Lifetime trailer 10 years or more.</t>
  </si>
  <si>
    <t>Energy demand based on 50 tonne truck with capacity of carrying 30 ton liquid CO₂. Tanker full one way and empty return. Energy included in variable transport cost.</t>
  </si>
  <si>
    <t>Network for Transport Measures (NTM) database, 2020</t>
  </si>
  <si>
    <t>Variable cost per km (EUR/t CO₂/km)</t>
  </si>
  <si>
    <t>Transport fixed cost (EUR/t CO₂)</t>
  </si>
  <si>
    <t>Energy demand truck (kWh/km/t CO₂)</t>
  </si>
  <si>
    <t>CO₂ road transport by tanker truck</t>
  </si>
  <si>
    <t xml:space="preserve">Variable O&amp;M exlcuding fuel costs is assumed to be insignificant. Tax on tonnage of CO₂ shipped is also excluded as this will be highly dependent on the specific port. </t>
  </si>
  <si>
    <t>Fixed O&amp;M of ships is taken as 5% of CAPEX incl. Pilot assistance and docking fee to harbor</t>
  </si>
  <si>
    <r>
      <t>Ship cost is based on CO₂ pressure conditions of 15 bara, -25</t>
    </r>
    <r>
      <rPr>
        <sz val="9"/>
        <rFont val="Symbol"/>
        <family val="1"/>
        <charset val="2"/>
      </rPr>
      <t>°</t>
    </r>
    <r>
      <rPr>
        <sz val="9"/>
        <rFont val="Arial"/>
        <family val="2"/>
      </rPr>
      <t>C. Significantly lower cost is reported in literature for low pressure 7 bara and -50°C, however no experience exists with transportation of CO₂ at these conditions.</t>
    </r>
  </si>
  <si>
    <t xml:space="preserve">Energy consumption based on fuel LHV at cruising speed 15 knots or 28 km/h and average of full and empty cargo. Typical LHV of Heavy Fuel Oil (HFO) is 40.4 MJ /kg. </t>
  </si>
  <si>
    <t>Shipping CO₂ - UK cost estimation study. ElementEnergy, Final report for Business, Energy &amp; Industrial Strategy Department, Nov 2018.</t>
  </si>
  <si>
    <t>The Cost of CO₂ Transport – Post-demonstration CCS in the EU. ZEP report 2010</t>
  </si>
  <si>
    <t>Based on input from Knutsen shipping</t>
  </si>
  <si>
    <t>Variable O&amp;M  14000 t CO₂ ship (EUR/[t CO₂/h]/)</t>
  </si>
  <si>
    <t>Variable O&amp;M  4000 t CO₂ ship (EUR/[t CO₂])</t>
  </si>
  <si>
    <t>Fixed O&amp;M 10000 t CO₂ Ship (EUR/t CO₂/year)</t>
  </si>
  <si>
    <t>Fixed O&amp;M 4000 t CO₂ Ship (EUR/t CO₂/year)</t>
  </si>
  <si>
    <r>
      <t>Investments,10,000 t CO</t>
    </r>
    <r>
      <rPr>
        <vertAlign val="subscript"/>
        <sz val="8"/>
        <rFont val="Arial"/>
        <family val="2"/>
      </rPr>
      <t>2</t>
    </r>
    <r>
      <rPr>
        <sz val="8"/>
        <rFont val="Arial"/>
        <family val="2"/>
      </rPr>
      <t xml:space="preserve"> ship (EUR/t CO₂) </t>
    </r>
  </si>
  <si>
    <t xml:space="preserve">Investments, 4000 t CO₂ ship (EUR/t CO₂) </t>
  </si>
  <si>
    <t>Technical life time CO₂ carrier (years)</t>
  </si>
  <si>
    <t>Energy demand, 10,000 t CO₂ ship (MWh/day)</t>
  </si>
  <si>
    <t>Energy demand, 4,000 t CO₂ ship (MWh/day)</t>
  </si>
  <si>
    <t>CO₂ ship transportation</t>
  </si>
  <si>
    <t>Assumed to be negligible</t>
  </si>
  <si>
    <t>Fixed O&amp;M is taken as 3% of CAPEX</t>
  </si>
  <si>
    <r>
      <t>The CAPEX estimate assumes the CO</t>
    </r>
    <r>
      <rPr>
        <vertAlign val="subscript"/>
        <sz val="9"/>
        <rFont val="Arial"/>
        <family val="2"/>
      </rPr>
      <t>2</t>
    </r>
    <r>
      <rPr>
        <sz val="9"/>
        <rFont val="Arial"/>
        <family val="2"/>
      </rPr>
      <t xml:space="preserve"> terminal is established at an existing pier. The estimate includes insulated bullet tanks, CO₂ transfer piping, marine loading arm, loading pumps, metering and utilities. Estimated for CO₂ conditions of 15 bara and -27</t>
    </r>
    <r>
      <rPr>
        <vertAlign val="superscript"/>
        <sz val="9"/>
        <rFont val="Arial"/>
        <family val="2"/>
      </rPr>
      <t>o</t>
    </r>
    <r>
      <rPr>
        <sz val="9"/>
        <rFont val="Arial"/>
        <family val="2"/>
      </rPr>
      <t xml:space="preserve">C. </t>
    </r>
  </si>
  <si>
    <t>Electricity primarily for refrigeration/re-liquefaction of CO₂ vapours and operating of ship loading pumps.</t>
  </si>
  <si>
    <t>Variable O&amp;M  terminal (EUR/t CO₂)</t>
  </si>
  <si>
    <t>Fixed O&amp;M terminal, large terminal (EUR/t CO₂/year)</t>
  </si>
  <si>
    <t>Fixed O&amp;M terminal, small terminal (EUR/t CO₂/year)</t>
  </si>
  <si>
    <t>Investments, 14,000 t CO₂ terminal (EUR/t CO₂)</t>
  </si>
  <si>
    <t>Investments, 3,000 t CO₂ terminal (EUR/t CO₂)</t>
  </si>
  <si>
    <t>Technical life time land terminal (years)</t>
  </si>
  <si>
    <t>Energy demand, CO₂ terminal (kWh/t CO₂/day)</t>
  </si>
  <si>
    <t>CO₂ terminals</t>
  </si>
  <si>
    <t>Fixed operation cost is per pipelength and capacity. 4% of CAPEX is assumed in 2020,  2% in 2030 and 1.5% in 2050.</t>
  </si>
  <si>
    <t>Installation cost is ~80% for small pipes and ~75% for large pipes</t>
  </si>
  <si>
    <t>Estimate includes: installation based on burried pipeline with 8% tunneling, coating, sectionalisation with depressurizations vents for every 20 km, cathodic protection, coating, pressure boosting stations, permitting, landowner compensation</t>
  </si>
  <si>
    <t>Energy to compress from 35 barg to 140 barg. This value can be lowered by only compress to curent operation pressure in transmission line using outtake from interstages compressors</t>
  </si>
  <si>
    <r>
      <t>Curently, the optimum seems to be:  velosity (m/s)</t>
    </r>
    <r>
      <rPr>
        <sz val="9"/>
        <rFont val="Verdana"/>
        <family val="2"/>
      </rPr>
      <t>≈4</t>
    </r>
    <r>
      <rPr>
        <sz val="9"/>
        <rFont val="Arial"/>
        <family val="2"/>
      </rPr>
      <t>.4*Q^0.1, dPdL(bar/km)</t>
    </r>
    <r>
      <rPr>
        <sz val="9"/>
        <rFont val="Verdana"/>
        <family val="2"/>
      </rPr>
      <t>≈1.28</t>
    </r>
    <r>
      <rPr>
        <sz val="9"/>
        <rFont val="Arial"/>
        <family val="2"/>
      </rPr>
      <t>*Q^(-0.75), Q=energy flow (MW)</t>
    </r>
  </si>
  <si>
    <t xml:space="preserve">Energy required to overcome pipeline pressure drop (dP). Optimal dP/km depend on cost of booster compressor vs pipe material cost. </t>
  </si>
  <si>
    <t>Variable O&amp;M (EUR/MW/km)</t>
  </si>
  <si>
    <t>Fixed O&amp;M (EUR/km/year/MW)</t>
  </si>
  <si>
    <t>20-25</t>
  </si>
  <si>
    <t>75-80</t>
  </si>
  <si>
    <t>Investment costs; single line, above 6000 MW (EUR/MW/m)</t>
  </si>
  <si>
    <t>Investment costs; single line, 1000-4000 MW (EUR/MW/m)</t>
  </si>
  <si>
    <t>Investment costs; single line, 0 - 100 MW  (EUR/MW/m)</t>
  </si>
  <si>
    <t>Energy demand, compressor filling station %</t>
  </si>
  <si>
    <t>Energy losses, lines &gt;20000 MW, %/1000 km</t>
  </si>
  <si>
    <t>Energy losses, lines 5000-20000 MW, %/1000 km</t>
  </si>
  <si>
    <t>Energy losses, lines 1500-5000 MW, %/1000 km</t>
  </si>
  <si>
    <t>Energy losses, lines 500-1500 MW, %/1000 km</t>
  </si>
  <si>
    <t>Energy losses, lines 250-500 MW, %/1000 km</t>
  </si>
  <si>
    <t>Energy losses, lines 100-250 MW, %/1000 km</t>
  </si>
  <si>
    <t>Energy losses, lines 1-100 MW, %/1000 km</t>
  </si>
  <si>
    <t>Main distribution line H2 - 140 bar</t>
  </si>
  <si>
    <t>Energy to compress from 35 barg to 70 barg. This value can be lowered by only compress to curent operation pressure in transmission line using outtake from interstages compressors</t>
  </si>
  <si>
    <r>
      <t>Curently, the optimum seems to be:  velosity (m/s)</t>
    </r>
    <r>
      <rPr>
        <sz val="9"/>
        <rFont val="Verdana"/>
        <family val="2"/>
      </rPr>
      <t>≈6.7</t>
    </r>
    <r>
      <rPr>
        <sz val="9"/>
        <rFont val="Arial"/>
        <family val="2"/>
      </rPr>
      <t>*Q^0.1, dPdL(bar/km)</t>
    </r>
    <r>
      <rPr>
        <sz val="9"/>
        <rFont val="Verdana"/>
        <family val="2"/>
      </rPr>
      <t>≈1.28</t>
    </r>
    <r>
      <rPr>
        <sz val="9"/>
        <rFont val="Arial"/>
        <family val="2"/>
      </rPr>
      <t>*Q^(-0.75), Q=energy flow (MW)</t>
    </r>
  </si>
  <si>
    <t>Main distribution line - H2 - 70 bar</t>
  </si>
  <si>
    <t xml:space="preserve">Fixed operation cost is only per pipelengt (i.e. is not divided with capacity) as size have a relatively little impact on maintenance cost. 1% of CAPEX is applied. </t>
  </si>
  <si>
    <t>Position drilling is assumed to be able to reduce the installation cost. However, the factor is judged minor as increased safety may outrage this saving</t>
  </si>
  <si>
    <t>Pipes have been calc. using max dP/dL =0.04 bar/km. Higher dP/dL is optimal for short pipes but for long pipes, higher dP/dL will give many intermediate pump-booster stations</t>
  </si>
  <si>
    <t xml:space="preserve">Energy required to overcome pipeline pressure drop (dP). Optimal dP/km depend on length of pipe, cost of booster pump vs pipe material cost. </t>
  </si>
  <si>
    <t>Fixed O&amp;M (EUR/km/year)</t>
  </si>
  <si>
    <t>B, C</t>
  </si>
  <si>
    <t>Investment costs; single line, above 2000 MW (EUR/MW/m)</t>
  </si>
  <si>
    <t>Investment costs; single line, 1000-2000 MW (EUR/MW/m)</t>
  </si>
  <si>
    <t>Investment costs; single line, 300-500 MW (EUR/MW/m)</t>
  </si>
  <si>
    <t>Investment costs; single line, 100-300 MW (EUR/MW/m)</t>
  </si>
  <si>
    <t>Investment costs; single line, 30-100 MW (EUR/MW/m)</t>
  </si>
  <si>
    <t>Investment costs; single line, 15-30 MW (EUR/MW/m)</t>
  </si>
  <si>
    <t>Investment costs; single line, 1-15 MW  (EUR/MW/m)</t>
  </si>
  <si>
    <t xml:space="preserve"> &lt;0.1</t>
  </si>
  <si>
    <r>
      <t>Energy losses (</t>
    </r>
    <r>
      <rPr>
        <sz val="8"/>
        <color theme="1"/>
        <rFont val="Verdana"/>
        <family val="2"/>
      </rPr>
      <t>‰)</t>
    </r>
  </si>
  <si>
    <t>Main distribution line - NH3</t>
  </si>
  <si>
    <t>Investment costs; single line, above 2500 MW (EUR/MW/m)</t>
  </si>
  <si>
    <t>Investment costs; single line, 1000-2500 MW (EUR/MW/m)</t>
  </si>
  <si>
    <t>Investment costs; single line, 20-50 MW (EUR/MW/m)</t>
  </si>
  <si>
    <t>Investment costs; single line, 1-20 MW  (EUR/MW/m)</t>
  </si>
  <si>
    <t>Main distribution line - DME</t>
  </si>
  <si>
    <t>Main distribution line - Toluene</t>
  </si>
  <si>
    <t xml:space="preserve"> Fuel for propulation: 
  For LHC, L20 and LH2:  19 MJ/km in 2020, 18 MJ/km in 2030 and 15 MJ/km in 2050
  For CH2: 24 MJ/km in 2020, 23 MJ/km in 2030 and 20 MJ/km in 2050</t>
  </si>
  <si>
    <t>Improvements: Faster loading time, lower CAPEX, and longer distance per fuel. For CH2, also increased pressure in tank</t>
  </si>
  <si>
    <t>Cost is based on: CAPEX Truck + Tanker is 450-1000 k€ (LHC tank is the cheapest and CH2 the most expensive),  8000 h/year operation, 60 km/h average speed, fuel cost of 1.25 €/kg, fuel LHV=42.5 MJ/kg, Annual fixed O&amp;M is 5% capital cost</t>
  </si>
  <si>
    <t xml:space="preserve">Capital cost of truck is split into the fixed and variable cost based on relative time spend on loading/unloading and on driving. </t>
  </si>
  <si>
    <t xml:space="preserve">Numbers based on diesel transport, but the fuel concumption is based on full cargo tank on the round trip. </t>
  </si>
  <si>
    <t>Numbers based on LPG transport</t>
  </si>
  <si>
    <t xml:space="preserve">Technical lifetime of truck (puller) will depend on the distance driven, 4-10 years. Lifetime trailer 10 years or more. </t>
  </si>
  <si>
    <r>
      <t>Fuel for propulation based on 50-60 tonne truck with capacity of 45-50 m</t>
    </r>
    <r>
      <rPr>
        <vertAlign val="superscript"/>
        <sz val="9"/>
        <rFont val="Arial"/>
        <family val="2"/>
      </rPr>
      <t>3</t>
    </r>
    <r>
      <rPr>
        <sz val="9"/>
        <rFont val="Arial"/>
        <family val="2"/>
      </rPr>
      <t>. Myltiply tank volume with density to get transported mass (density is given in Table 1 except for CH2 which is between 25-42 kg/m3 depending on tank pressure). Tanker assumed full one way and empty return (except for toluene/carrier where 80% return load is assumed). For CH2, pressure in tanks are assumed to increase from 350 bar (2020) to 700 bar (2050)</t>
    </r>
  </si>
  <si>
    <t>Fjellerad Transport Aps</t>
  </si>
  <si>
    <t>Give Svaergods A/S</t>
  </si>
  <si>
    <t>Everfuel A/S</t>
  </si>
  <si>
    <t>Air Liquide A/S</t>
  </si>
  <si>
    <t>E, F, D, H</t>
  </si>
  <si>
    <t>Toluene: Driving cost (EUR/[ton toluene]/km)</t>
  </si>
  <si>
    <t>Toluene: Loading/unloading cost (EUR/[ton toluene])</t>
  </si>
  <si>
    <t>E, F, C, H</t>
  </si>
  <si>
    <t>DME: Driving cost (EUR/[ton DME]/km)</t>
  </si>
  <si>
    <t>DME: Loading/unloading cost (EUR/[ton DME])</t>
  </si>
  <si>
    <t>E, F, H</t>
  </si>
  <si>
    <t>NH3: Driving cost (EUR/[ton NH3]/km)</t>
  </si>
  <si>
    <t>NH3: Loading/unloading cost (EUR/[ton H3])</t>
  </si>
  <si>
    <t>E, F, G</t>
  </si>
  <si>
    <t>CH2: Driving cost (EUR/[ton H2]/km)</t>
  </si>
  <si>
    <t>CH2: Loading/unloading cost (EUR/[ton H2])</t>
  </si>
  <si>
    <t>LH2: Driving cost (EUR/[ton H2]/km)</t>
  </si>
  <si>
    <t>LH2: Loading/unloading cost (EUR/[ton H2])</t>
  </si>
  <si>
    <t>A, H</t>
  </si>
  <si>
    <t>Energy demand truck (MJ/km/ton toluene)</t>
  </si>
  <si>
    <t>Energy demand truck (MJ/km/ton DME)</t>
  </si>
  <si>
    <t>Energy demand truck (MJ/km/ton NH3)</t>
  </si>
  <si>
    <t>Energy demand truck (MJ/km/ton CH2)</t>
  </si>
  <si>
    <t>Energy demand truck (MJ/km/ton LH2)</t>
  </si>
  <si>
    <t>Road transport</t>
  </si>
  <si>
    <t xml:space="preserve">Assumed cost reduction after LH2 tanker is commercialized </t>
  </si>
  <si>
    <t xml:space="preserve">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</si>
  <si>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Fixed O&amp;M is assumed to be ~5% of annual CAPEX</t>
  </si>
  <si>
    <t>CAPEX of tanker see BRS group annual review 2019</t>
  </si>
  <si>
    <t>CAPEX of LPG carrier see https://www.seatrade-maritime.com/tankers/euronav-buys-another-scrubber-fitted-resale-vlcc-newbuild</t>
  </si>
  <si>
    <t>Investment cost based on: Cost [€/t] = 4000 - 0.05*Mcargo, where Mcargo is design capacity of ship</t>
  </si>
  <si>
    <t>Energy based on fuel LHV which is approximated by: 0.023*Mcargo+1400 for L20 and LHC. For LH2 the weight of the cargo is much less (do to the low weight of H2) why the weight of the entire ship have been used instead</t>
  </si>
  <si>
    <t>Shipping CO₂ - UK cost estimation study, 2018</t>
  </si>
  <si>
    <t>Torm annual report 2018</t>
  </si>
  <si>
    <t>The Basics of the Tanker Shipping Market, Euronav, 2017</t>
  </si>
  <si>
    <t>LHC: Port cost (EUR/[ton LHC])</t>
  </si>
  <si>
    <t>L20: Port cost (EUR/[ton H2])</t>
  </si>
  <si>
    <t>LH2: Port cost (EUR/[ton H2])</t>
  </si>
  <si>
    <t>LHC: Fixed O&amp;M cost (EUR/[ton LHC]/y)</t>
  </si>
  <si>
    <t>L20:Fixed O&amp;M cost (EUR/[ton L20]/y)</t>
  </si>
  <si>
    <t>LH2: Fixed O&amp;M cost (EUR/[ton H2]/y)</t>
  </si>
  <si>
    <t>LHC: Investment cost (EUR/[ton LHC])</t>
  </si>
  <si>
    <t>L20: Investment cost (EUR/[ton L20])</t>
  </si>
  <si>
    <t>LH2 Investment cost (EUR/[ton H2])</t>
  </si>
  <si>
    <t>A, F</t>
  </si>
  <si>
    <t>LHC: Energy demand (MJ/km)</t>
  </si>
  <si>
    <t>L20: Energy demand (MJ/km)</t>
  </si>
  <si>
    <t>LH2: Energy demand (MJ/km)</t>
  </si>
  <si>
    <t>Ship transport</t>
  </si>
  <si>
    <t>ELCC</t>
  </si>
  <si>
    <t>ELCHIG</t>
  </si>
  <si>
    <t>ELCMID</t>
  </si>
  <si>
    <t>ELCLOW</t>
  </si>
  <si>
    <t xml:space="preserve">MKr15 </t>
  </si>
  <si>
    <t>FT-ELCHIGH2N</t>
  </si>
  <si>
    <t>FT-ELCMID2N</t>
  </si>
  <si>
    <t>FT-ELCLOW2N</t>
  </si>
  <si>
    <t>Power medium voltage distribution, Low costs</t>
  </si>
  <si>
    <t>Power high voltage transmission, Low costs</t>
  </si>
  <si>
    <t>Power low voltage distribution, Low costs</t>
  </si>
  <si>
    <t>FT-ELCHIGH3N</t>
  </si>
  <si>
    <t>FT-ELCMID3N</t>
  </si>
  <si>
    <t>FT-ELCLOW3N</t>
  </si>
  <si>
    <t>Power high voltage transmission, Medium costs</t>
  </si>
  <si>
    <t>Power medium voltage distribution, Medium costs</t>
  </si>
  <si>
    <t>Power low voltage distribution, Medium costs</t>
  </si>
  <si>
    <t>Power high voltage transmission, High costs</t>
  </si>
  <si>
    <t>Power medium voltage distribution, High costs</t>
  </si>
  <si>
    <t>Power low voltage distribution, High costs</t>
  </si>
  <si>
    <t>ILED</t>
  </si>
  <si>
    <t>Construction time</t>
  </si>
  <si>
    <t>Distance</t>
  </si>
  <si>
    <t>km</t>
  </si>
  <si>
    <t>* Units</t>
  </si>
  <si>
    <t>years</t>
  </si>
  <si>
    <t>MEUR/MW</t>
  </si>
  <si>
    <t>MEUR/MW/year</t>
  </si>
  <si>
    <t>Years</t>
  </si>
  <si>
    <t>MEUR/PJ</t>
  </si>
  <si>
    <t>DKK/KWh</t>
  </si>
  <si>
    <t>kr/KWh</t>
  </si>
  <si>
    <t>Changed from 0.6 to 0.3 otherwise the values would not make sense</t>
  </si>
  <si>
    <t>All values canged to be in between the lower and upper</t>
  </si>
  <si>
    <t>kr/MWh</t>
  </si>
  <si>
    <t>MEUR15</t>
  </si>
  <si>
    <t>https://www.danskenergi.dk/sites/danskenergi.dk/files/media/dokumenter/2020-03/Elforsyningens_nettariffer_og_priser_2019.pdf</t>
  </si>
  <si>
    <t>DKK øre/kWh</t>
  </si>
  <si>
    <t>The value of 36 danish øre/kWh is resempling very well the historical tariff levels of the danish transmission and distribution systems</t>
  </si>
  <si>
    <t>Power transmission lines</t>
  </si>
  <si>
    <t>Gas transmissions and distribution lines</t>
  </si>
  <si>
    <t>NGA</t>
  </si>
  <si>
    <t>NGAT</t>
  </si>
  <si>
    <t>NGAD</t>
  </si>
  <si>
    <t>Gas distribution grid transmission lines New</t>
  </si>
  <si>
    <t>Gas distribution grid distribution lines New</t>
  </si>
  <si>
    <t>Methane lekage</t>
  </si>
  <si>
    <t>kt CO2e</t>
  </si>
  <si>
    <t>District heating distribution grid Urban lines New</t>
  </si>
  <si>
    <t>District heating distribution grid Suburban lines New</t>
  </si>
  <si>
    <t>District heating distribution grid Rural lines New</t>
  </si>
  <si>
    <t>EMISSIONS~SUPCH4</t>
  </si>
  <si>
    <t>FT-GRDNGATN</t>
  </si>
  <si>
    <t>FT-GRDNGADN</t>
  </si>
  <si>
    <t>FT-GRDELCHIGH1N</t>
  </si>
  <si>
    <t>FT-GRDELCMID1N</t>
  </si>
  <si>
    <t>FT-GRDELCLOW1N</t>
  </si>
  <si>
    <t>FT-GRDHETRPN</t>
  </si>
  <si>
    <t>FT-GRDHETSPN</t>
  </si>
  <si>
    <t>FT-GRDHETUPN</t>
  </si>
  <si>
    <t>District heating transmissions and distribution lines</t>
  </si>
  <si>
    <t>HETSP</t>
  </si>
  <si>
    <t>EUR/MWH</t>
  </si>
  <si>
    <t>EUR/GJ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</si>
</sst>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8" formatCode="&quot;£&quot;#,##0.00;[Red]\-&quot;£&quot;#,##0.00"/>
    <numFmt numFmtId="164" formatCode="_ * #,##0.00_ ;_ * \-#,##0.00_ ;_ * &quot;-&quot;??_ ;_ @_ "/>
    <numFmt numFmtId="165" formatCode="_(* #,##0_);_(* \(#,##0\);_(* &quot;-&quot;_);_(@_)"/>
    <numFmt numFmtId="166" formatCode="_(* #,##0.00_);_(* \(#,##0.00\);_(* &quot;-&quot;??_);_(@_)"/>
    <numFmt numFmtId="167" formatCode="0.0000"/>
    <numFmt numFmtId="168" formatCode="_-&quot;€&quot;\ * #,##0.00_-;\-&quot;€&quot;\ * #,##0.00_-;_-&quot;€&quot;\ * &quot;-&quot;??_-;_-@_-"/>
    <numFmt numFmtId="169" formatCode="#,##0;\-\ #,##0;_-\ &quot;- &quot;"/>
    <numFmt numFmtId="170" formatCode="\Te\x\t"/>
    <numFmt numFmtId="171" formatCode="_([$€]* #,##0.00_);_([$€]* \(#,##0.00\);_([$€]* &quot;-&quot;??_);_(@_)"/>
    <numFmt numFmtId="172" formatCode="_-[$€-2]\ * #,##0.00_-;\-[$€-2]\ * #,##0.00_-;_-[$€-2]\ * &quot;-&quot;??_-"/>
    <numFmt numFmtId="173" formatCode="0.0"/>
    <numFmt numFmtId="174" formatCode="0.0E+00"/>
    <numFmt numFmtId="175" formatCode="0.000"/>
    <numFmt numFmtId="176" formatCode="#,##0.0"/>
    <numFmt numFmtId="177" formatCode="0E+00"/>
    <numFmt numFmtId="178" formatCode="0.00000"/>
  </numFmts>
  <fonts count="82" x14ac:knownFonts="1">
    <font>
      <sz val="10"/>
      <name val="Arial"/>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14"/>
      <color indexed="9"/>
      <name val="Arial"/>
      <family val="2"/>
    </font>
    <font>
      <b/>
      <sz val="10"/>
      <name val="Arial"/>
      <family val="2"/>
    </font>
    <font>
      <b/>
      <sz val="12"/>
      <color indexed="53"/>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1"/>
      <name val="Tahoma"/>
      <family val="2"/>
    </font>
    <font>
      <b/>
      <sz val="9"/>
      <color indexed="81"/>
      <name val="Tahoma"/>
      <family val="2"/>
    </font>
    <font>
      <sz val="10"/>
      <name val="Helv"/>
    </font>
    <font>
      <sz val="10"/>
      <name val="MS Sans Serif"/>
      <family val="2"/>
    </font>
    <font>
      <sz val="9"/>
      <color indexed="8"/>
      <name val="Times New Roman"/>
      <family val="1"/>
    </font>
    <font>
      <sz val="10"/>
      <name val="Arial"/>
      <family val="2"/>
      <charset val="204"/>
    </font>
    <font>
      <sz val="9"/>
      <name val="Times New Roman"/>
      <family val="1"/>
    </font>
    <font>
      <b/>
      <sz val="9"/>
      <name val="Times New Roman"/>
      <family val="1"/>
    </font>
    <font>
      <sz val="11"/>
      <color theme="1"/>
      <name val="Calibri"/>
      <family val="2"/>
      <scheme val="minor"/>
    </font>
    <font>
      <sz val="10"/>
      <color rgb="FF9C0006"/>
      <name val="Calibri"/>
      <family val="2"/>
    </font>
    <font>
      <b/>
      <sz val="11"/>
      <color rgb="FFFA7D00"/>
      <name val="Calibri"/>
      <family val="2"/>
      <scheme val="minor"/>
    </font>
    <font>
      <sz val="10"/>
      <color theme="1"/>
      <name val="Calibri"/>
      <family val="2"/>
    </font>
    <font>
      <sz val="11"/>
      <color theme="1"/>
      <name val="Calibri"/>
      <family val="2"/>
    </font>
    <font>
      <b/>
      <sz val="11"/>
      <color theme="0"/>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sz val="10"/>
      <color rgb="FF006100"/>
      <name val="Calibri"/>
      <family val="2"/>
    </font>
    <font>
      <u/>
      <sz val="10"/>
      <color theme="10"/>
      <name val="Calibri"/>
      <family val="2"/>
    </font>
    <font>
      <sz val="10"/>
      <color rgb="FF9C6500"/>
      <name val="Calibri"/>
      <family val="2"/>
    </font>
    <font>
      <b/>
      <sz val="12"/>
      <name val="Arial"/>
      <family val="2"/>
    </font>
    <font>
      <sz val="8"/>
      <color indexed="9"/>
      <name val="Arial"/>
      <family val="2"/>
    </font>
    <font>
      <sz val="10"/>
      <color rgb="FF000000"/>
      <name val="Calibri"/>
      <family val="2"/>
      <scheme val="minor"/>
    </font>
    <font>
      <u/>
      <sz val="11"/>
      <color theme="10"/>
      <name val="Calibri"/>
      <family val="2"/>
      <scheme val="minor"/>
    </font>
    <font>
      <b/>
      <sz val="15"/>
      <color rgb="FF000000"/>
      <name val="Calibri"/>
      <family val="2"/>
      <scheme val="minor"/>
    </font>
    <font>
      <sz val="11"/>
      <name val="Calibri"/>
      <family val="2"/>
      <scheme val="minor"/>
    </font>
    <font>
      <sz val="9"/>
      <name val="Arial"/>
      <family val="2"/>
    </font>
    <font>
      <vertAlign val="superscript"/>
      <sz val="9"/>
      <name val="Arial"/>
      <family val="2"/>
    </font>
    <font>
      <b/>
      <sz val="9"/>
      <name val="Arial"/>
      <family val="2"/>
    </font>
    <font>
      <sz val="8"/>
      <name val="Arial"/>
      <family val="2"/>
    </font>
    <font>
      <b/>
      <sz val="11"/>
      <name val="Arial"/>
      <family val="2"/>
    </font>
    <font>
      <b/>
      <sz val="11"/>
      <name val="Calibri"/>
      <family val="2"/>
      <scheme val="minor"/>
    </font>
    <font>
      <b/>
      <sz val="8"/>
      <name val="Arial"/>
      <family val="2"/>
    </font>
    <font>
      <u/>
      <sz val="11"/>
      <name val="Calibri"/>
      <family val="2"/>
      <scheme val="minor"/>
    </font>
    <font>
      <b/>
      <sz val="9"/>
      <color theme="1"/>
      <name val="Calibri"/>
      <family val="2"/>
      <scheme val="minor"/>
    </font>
    <font>
      <b/>
      <sz val="11"/>
      <color rgb="FF0097A7"/>
      <name val="Calibri"/>
      <family val="2"/>
      <scheme val="minor"/>
    </font>
    <font>
      <sz val="10"/>
      <name val="Calibri"/>
      <family val="2"/>
      <scheme val="minor"/>
    </font>
    <font>
      <sz val="9"/>
      <name val="Calibri"/>
      <family val="2"/>
      <scheme val="minor"/>
    </font>
    <font>
      <sz val="8"/>
      <name val="Calibri"/>
      <family val="2"/>
      <scheme val="minor"/>
    </font>
    <font>
      <sz val="8"/>
      <color rgb="FF000000"/>
      <name val="Arial"/>
      <family val="2"/>
    </font>
    <font>
      <sz val="8"/>
      <color rgb="FFFF0000"/>
      <name val="Arial"/>
      <family val="2"/>
    </font>
    <font>
      <sz val="8"/>
      <color theme="1"/>
      <name val="Arial"/>
      <family val="2"/>
    </font>
    <font>
      <b/>
      <sz val="11"/>
      <color theme="1"/>
      <name val="Arial"/>
      <family val="2"/>
    </font>
    <font>
      <b/>
      <sz val="8"/>
      <color rgb="FF000000"/>
      <name val="Arial"/>
      <family val="2"/>
    </font>
    <font>
      <b/>
      <sz val="8"/>
      <color theme="1"/>
      <name val="Arial"/>
      <family val="2"/>
    </font>
    <font>
      <u/>
      <sz val="11"/>
      <color theme="1"/>
      <name val="Calibri"/>
      <family val="2"/>
      <scheme val="minor"/>
    </font>
    <font>
      <sz val="9"/>
      <color theme="1"/>
      <name val="Calibri"/>
      <family val="2"/>
      <scheme val="minor"/>
    </font>
    <font>
      <sz val="9"/>
      <color theme="1"/>
      <name val="Arial"/>
      <family val="2"/>
    </font>
    <font>
      <sz val="9"/>
      <color indexed="8"/>
      <name val="Arial"/>
      <family val="2"/>
    </font>
    <font>
      <b/>
      <sz val="12"/>
      <color rgb="FF0070C0"/>
      <name val="Calibri"/>
      <family val="2"/>
      <scheme val="minor"/>
    </font>
    <font>
      <vertAlign val="subscript"/>
      <sz val="9"/>
      <name val="Arial"/>
      <family val="2"/>
    </font>
    <font>
      <sz val="9"/>
      <name val="Symbol"/>
      <family val="1"/>
      <charset val="2"/>
    </font>
    <font>
      <vertAlign val="subscript"/>
      <sz val="8"/>
      <name val="Arial"/>
      <family val="2"/>
    </font>
    <font>
      <sz val="9"/>
      <name val="Verdana"/>
      <family val="2"/>
    </font>
    <font>
      <sz val="8"/>
      <color theme="1"/>
      <name val="Verdana"/>
      <family val="2"/>
    </font>
    <font>
      <b/>
      <sz val="8"/>
      <color rgb="FFFF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rgb="FFFFC7CE"/>
      </patternFill>
    </fill>
    <fill>
      <patternFill patternType="solid">
        <fgColor rgb="FFF2F2F2"/>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indexed="63"/>
        <bgColor indexed="64"/>
      </patternFill>
    </fill>
    <fill>
      <patternFill patternType="solid">
        <fgColor indexed="62"/>
        <bgColor indexed="64"/>
      </patternFill>
    </fill>
    <fill>
      <patternFill patternType="solid">
        <fgColor theme="0" tint="-0.14999847407452621"/>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581">
    <xf numFmtId="0" fontId="0" fillId="0" borderId="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5" fillId="0" borderId="0" applyNumberFormat="0" applyFont="0" applyFill="0" applyBorder="0" applyProtection="0">
      <alignment horizontal="left" vertical="center" indent="5"/>
    </xf>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4" fontId="30" fillId="20" borderId="1">
      <alignment horizontal="right" vertical="center"/>
    </xf>
    <xf numFmtId="4" fontId="30" fillId="20" borderId="1">
      <alignment horizontal="right" vertical="center"/>
    </xf>
    <xf numFmtId="0" fontId="35" fillId="29" borderId="0" applyNumberFormat="0" applyBorder="0" applyAlignment="0" applyProtection="0"/>
    <xf numFmtId="0" fontId="35" fillId="29" borderId="0" applyNumberFormat="0" applyBorder="0" applyAlignment="0" applyProtection="0"/>
    <xf numFmtId="0" fontId="12" fillId="21" borderId="2" applyNumberFormat="0" applyAlignment="0" applyProtection="0"/>
    <xf numFmtId="0" fontId="12" fillId="21" borderId="2" applyNumberFormat="0" applyAlignment="0" applyProtection="0"/>
    <xf numFmtId="0" fontId="36" fillId="30" borderId="17" applyNumberFormat="0" applyAlignment="0" applyProtection="0"/>
    <xf numFmtId="0" fontId="20" fillId="0" borderId="3" applyNumberFormat="0" applyFill="0" applyAlignment="0" applyProtection="0"/>
    <xf numFmtId="0" fontId="13" fillId="22" borderId="4" applyNumberForma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4" fontId="34" fillId="0" borderId="0" applyFont="0" applyFill="0" applyBorder="0" applyAlignment="0" applyProtection="0"/>
    <xf numFmtId="0" fontId="28" fillId="0" borderId="0"/>
    <xf numFmtId="0" fontId="32" fillId="0" borderId="5">
      <alignment horizontal="left" vertical="center" wrapText="1" indent="2"/>
    </xf>
    <xf numFmtId="0" fontId="32" fillId="0" borderId="5">
      <alignment horizontal="left" vertical="center" wrapText="1" indent="2"/>
    </xf>
    <xf numFmtId="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0"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28" fillId="0" borderId="0"/>
    <xf numFmtId="0" fontId="19" fillId="7" borderId="2" applyNumberFormat="0" applyAlignment="0" applyProtection="0"/>
    <xf numFmtId="0" fontId="19" fillId="7" borderId="2" applyNumberFormat="0" applyAlignment="0" applyProtection="0"/>
    <xf numFmtId="0" fontId="19" fillId="7" borderId="2" applyNumberFormat="0" applyAlignment="0" applyProtection="0"/>
    <xf numFmtId="4" fontId="32" fillId="0" borderId="0" applyBorder="0">
      <alignment horizontal="right" vertical="center"/>
    </xf>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21" fillId="23" borderId="0" applyNumberFormat="0" applyBorder="0" applyAlignment="0" applyProtection="0"/>
    <xf numFmtId="0" fontId="5" fillId="0" borderId="0"/>
    <xf numFmtId="0" fontId="5" fillId="0" borderId="0"/>
    <xf numFmtId="0" fontId="37" fillId="0" borderId="0"/>
    <xf numFmtId="0" fontId="28" fillId="0" borderId="0"/>
    <xf numFmtId="0" fontId="34" fillId="0" borderId="0"/>
    <xf numFmtId="0" fontId="28" fillId="0" borderId="0"/>
    <xf numFmtId="0" fontId="34" fillId="0" borderId="0"/>
    <xf numFmtId="0" fontId="5" fillId="0" borderId="0"/>
    <xf numFmtId="0" fontId="5" fillId="0" borderId="0"/>
    <xf numFmtId="0" fontId="34" fillId="0" borderId="0"/>
    <xf numFmtId="0" fontId="34" fillId="0" borderId="0"/>
    <xf numFmtId="0" fontId="5" fillId="0" borderId="0"/>
    <xf numFmtId="0" fontId="34" fillId="0" borderId="0"/>
    <xf numFmtId="0" fontId="34" fillId="0" borderId="0"/>
    <xf numFmtId="0" fontId="5" fillId="0" borderId="0"/>
    <xf numFmtId="0" fontId="37" fillId="0" borderId="0"/>
    <xf numFmtId="0" fontId="38" fillId="0" borderId="0"/>
    <xf numFmtId="0" fontId="5" fillId="0" borderId="0"/>
    <xf numFmtId="0" fontId="38" fillId="0" borderId="0"/>
    <xf numFmtId="0" fontId="37" fillId="0" borderId="0"/>
    <xf numFmtId="0" fontId="37" fillId="0" borderId="0"/>
    <xf numFmtId="0" fontId="37" fillId="0" borderId="0"/>
    <xf numFmtId="0" fontId="37" fillId="0" borderId="0"/>
    <xf numFmtId="0" fontId="34" fillId="0" borderId="0"/>
    <xf numFmtId="0" fontId="5" fillId="0" borderId="0"/>
    <xf numFmtId="0" fontId="34" fillId="0" borderId="0"/>
    <xf numFmtId="0" fontId="37" fillId="0" borderId="0"/>
    <xf numFmtId="0" fontId="37" fillId="0" borderId="0"/>
    <xf numFmtId="0" fontId="31" fillId="0" borderId="0"/>
    <xf numFmtId="0" fontId="5" fillId="0" borderId="0"/>
    <xf numFmtId="0" fontId="34" fillId="0" borderId="0"/>
    <xf numFmtId="0" fontId="37" fillId="0" borderId="0"/>
    <xf numFmtId="4" fontId="32" fillId="0" borderId="1" applyFill="0" applyBorder="0" applyProtection="0">
      <alignment horizontal="right" vertical="center"/>
    </xf>
    <xf numFmtId="4" fontId="32" fillId="0" borderId="1" applyFill="0" applyBorder="0" applyProtection="0">
      <alignment horizontal="right" vertical="center"/>
    </xf>
    <xf numFmtId="4" fontId="32" fillId="0" borderId="1" applyFill="0" applyBorder="0" applyProtection="0">
      <alignment horizontal="right" vertical="center"/>
    </xf>
    <xf numFmtId="0" fontId="33" fillId="0" borderId="0" applyNumberFormat="0" applyFill="0" applyBorder="0" applyProtection="0">
      <alignment horizontal="left" vertical="center"/>
    </xf>
    <xf numFmtId="0" fontId="5" fillId="24"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3" fillId="0" borderId="0"/>
    <xf numFmtId="0" fontId="5"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22" fillId="21" borderId="10" applyNumberFormat="0" applyAlignment="0" applyProtection="0"/>
    <xf numFmtId="0" fontId="22" fillId="21" borderId="10" applyNumberFormat="0" applyAlignment="0" applyProtection="0"/>
    <xf numFmtId="0" fontId="22" fillId="21" borderId="10" applyNumberFormat="0" applyAlignment="0" applyProtection="0"/>
    <xf numFmtId="0" fontId="28" fillId="0" borderId="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25" fillId="0" borderId="0" applyNumberFormat="0" applyFill="0" applyBorder="0" applyAlignment="0" applyProtection="0"/>
    <xf numFmtId="0" fontId="14" fillId="0" borderId="0" applyNumberFormat="0" applyFill="0" applyBorder="0" applyAlignment="0" applyProtection="0"/>
    <xf numFmtId="0" fontId="23" fillId="0" borderId="0" applyNumberFormat="0" applyFill="0" applyBorder="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11" fillId="3" borderId="0" applyNumberFormat="0" applyBorder="0" applyAlignment="0" applyProtection="0"/>
    <xf numFmtId="0" fontId="15" fillId="4" borderId="0" applyNumberFormat="0" applyBorder="0" applyAlignment="0" applyProtection="0"/>
    <xf numFmtId="4" fontId="32" fillId="0" borderId="0"/>
    <xf numFmtId="0" fontId="2" fillId="37" borderId="0" applyNumberFormat="0" applyBorder="0" applyAlignment="0" applyProtection="0"/>
    <xf numFmtId="0" fontId="2" fillId="37"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7" borderId="0" applyNumberFormat="0" applyBorder="0" applyAlignment="0" applyProtection="0"/>
    <xf numFmtId="0" fontId="2" fillId="5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41" fillId="39" borderId="0" applyNumberFormat="0" applyBorder="0" applyAlignment="0" applyProtection="0"/>
    <xf numFmtId="0" fontId="41" fillId="43" borderId="0" applyNumberFormat="0" applyBorder="0" applyAlignment="0" applyProtection="0"/>
    <xf numFmtId="0" fontId="41" fillId="47" borderId="0" applyNumberFormat="0" applyBorder="0" applyAlignment="0" applyProtection="0"/>
    <xf numFmtId="0" fontId="41" fillId="51" borderId="0" applyNumberFormat="0" applyBorder="0" applyAlignment="0" applyProtection="0"/>
    <xf numFmtId="0" fontId="41" fillId="55" borderId="0" applyNumberFormat="0" applyBorder="0" applyAlignment="0" applyProtection="0"/>
    <xf numFmtId="0" fontId="41" fillId="59" borderId="0" applyNumberFormat="0" applyBorder="0" applyAlignment="0" applyProtection="0"/>
    <xf numFmtId="0" fontId="12" fillId="21" borderId="2" applyNumberFormat="0" applyAlignment="0" applyProtection="0"/>
    <xf numFmtId="0" fontId="12" fillId="21" borderId="2" applyNumberFormat="0" applyAlignment="0" applyProtection="0"/>
    <xf numFmtId="166" fontId="5"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72" fontId="5" fillId="0" borderId="0" applyFont="0" applyFill="0" applyBorder="0" applyAlignment="0" applyProtection="0"/>
    <xf numFmtId="172" fontId="31"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72"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1" fillId="0" borderId="0" applyFont="0" applyFill="0" applyBorder="0" applyAlignment="0" applyProtection="0"/>
    <xf numFmtId="0" fontId="43" fillId="32" borderId="0" applyNumberFormat="0" applyBorder="0" applyAlignment="0" applyProtection="0"/>
    <xf numFmtId="0" fontId="44" fillId="0" borderId="0" applyNumberFormat="0" applyFill="0" applyBorder="0" applyAlignment="0" applyProtection="0"/>
    <xf numFmtId="0" fontId="19" fillId="7" borderId="2" applyNumberFormat="0" applyAlignment="0" applyProtection="0"/>
    <xf numFmtId="0" fontId="19" fillId="7" borderId="2" applyNumberFormat="0" applyAlignment="0" applyProtection="0"/>
    <xf numFmtId="0" fontId="19" fillId="7" borderId="2" applyNumberFormat="0" applyAlignment="0" applyProtection="0"/>
    <xf numFmtId="164" fontId="28" fillId="0" borderId="0" applyFont="0" applyFill="0" applyBorder="0" applyAlignment="0" applyProtection="0"/>
    <xf numFmtId="0" fontId="39" fillId="34" borderId="18" applyNumberFormat="0" applyAlignment="0" applyProtection="0"/>
    <xf numFmtId="0" fontId="41" fillId="36" borderId="0" applyNumberFormat="0" applyBorder="0" applyAlignment="0" applyProtection="0"/>
    <xf numFmtId="0" fontId="41" fillId="40" borderId="0" applyNumberFormat="0" applyBorder="0" applyAlignment="0" applyProtection="0"/>
    <xf numFmtId="0" fontId="41" fillId="44" borderId="0" applyNumberFormat="0" applyBorder="0" applyAlignment="0" applyProtection="0"/>
    <xf numFmtId="0" fontId="41" fillId="48" borderId="0" applyNumberFormat="0" applyBorder="0" applyAlignment="0" applyProtection="0"/>
    <xf numFmtId="0" fontId="41" fillId="52" borderId="0" applyNumberFormat="0" applyBorder="0" applyAlignment="0" applyProtection="0"/>
    <xf numFmtId="0" fontId="41" fillId="56" borderId="0" applyNumberFormat="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31" fillId="0" borderId="0" applyFont="0" applyFill="0" applyBorder="0" applyAlignment="0" applyProtection="0"/>
    <xf numFmtId="0" fontId="45" fillId="33" borderId="0" applyNumberFormat="0" applyBorder="0" applyAlignment="0" applyProtection="0"/>
    <xf numFmtId="0" fontId="2" fillId="0" borderId="0"/>
    <xf numFmtId="0" fontId="2"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5" fillId="25" borderId="9" applyNumberFormat="0" applyFont="0" applyAlignment="0" applyProtection="0"/>
    <xf numFmtId="0" fontId="5" fillId="25" borderId="9" applyNumberFormat="0" applyFont="0" applyAlignment="0" applyProtection="0"/>
    <xf numFmtId="0" fontId="31" fillId="25" borderId="9" applyNumberFormat="0" applyFont="0" applyAlignment="0" applyProtection="0"/>
    <xf numFmtId="0" fontId="31"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0" fontId="5" fillId="25" borderId="9" applyNumberFormat="0" applyFont="0" applyAlignment="0" applyProtection="0"/>
    <xf numFmtId="0" fontId="31" fillId="25" borderId="9" applyNumberFormat="0" applyFont="0" applyAlignment="0" applyProtection="0"/>
    <xf numFmtId="0" fontId="31" fillId="25" borderId="9" applyNumberFormat="0" applyFont="0" applyAlignment="0" applyProtection="0"/>
    <xf numFmtId="0" fontId="5" fillId="25" borderId="9" applyNumberFormat="0" applyFont="0" applyAlignment="0" applyProtection="0"/>
    <xf numFmtId="0" fontId="2" fillId="35" borderId="19" applyNumberFormat="0" applyFont="0" applyAlignment="0" applyProtection="0"/>
    <xf numFmtId="0" fontId="2" fillId="35" borderId="19" applyNumberFormat="0" applyFont="0" applyAlignment="0" applyProtection="0"/>
    <xf numFmtId="0" fontId="2" fillId="35" borderId="19" applyNumberFormat="0" applyFont="0" applyAlignment="0" applyProtection="0"/>
    <xf numFmtId="0" fontId="2" fillId="35" borderId="19" applyNumberFormat="0" applyFont="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1" fillId="0" borderId="0" applyFont="0" applyFill="0" applyBorder="0" applyAlignment="0" applyProtection="0"/>
    <xf numFmtId="0" fontId="22" fillId="21" borderId="10" applyNumberFormat="0" applyAlignment="0" applyProtection="0"/>
    <xf numFmtId="0" fontId="22" fillId="21" borderId="10" applyNumberFormat="0" applyAlignment="0" applyProtection="0"/>
    <xf numFmtId="0" fontId="22" fillId="21" borderId="10" applyNumberFormat="0" applyAlignment="0" applyProtection="0"/>
    <xf numFmtId="9" fontId="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7" fillId="61" borderId="1" applyNumberFormat="0" applyProtection="0">
      <alignment horizontal="right"/>
    </xf>
    <xf numFmtId="0" fontId="46" fillId="61" borderId="0" applyNumberFormat="0" applyBorder="0" applyProtection="0">
      <alignment horizontal="left"/>
    </xf>
    <xf numFmtId="0" fontId="7" fillId="61" borderId="1" applyNumberFormat="0" applyProtection="0">
      <alignment horizontal="left"/>
    </xf>
    <xf numFmtId="49" fontId="5" fillId="0" borderId="1" applyFill="0" applyProtection="0">
      <alignment horizontal="right"/>
    </xf>
    <xf numFmtId="0" fontId="47" fillId="62" borderId="0" applyNumberFormat="0" applyBorder="0" applyProtection="0">
      <alignment horizontal="left"/>
    </xf>
    <xf numFmtId="1" fontId="5" fillId="0" borderId="1" applyFill="0" applyProtection="0">
      <alignment horizontal="right" vertical="top" wrapText="1"/>
    </xf>
    <xf numFmtId="2" fontId="5" fillId="0" borderId="1" applyFill="0" applyProtection="0">
      <alignment horizontal="right" vertical="top" wrapText="1"/>
    </xf>
    <xf numFmtId="0" fontId="5" fillId="0" borderId="1" applyFill="0" applyProtection="0">
      <alignment horizontal="right" vertical="top" wrapText="1"/>
    </xf>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1" fillId="0" borderId="0"/>
    <xf numFmtId="0" fontId="49" fillId="0" borderId="0" applyNumberForma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218">
    <xf numFmtId="0" fontId="0" fillId="0" borderId="0" xfId="0"/>
    <xf numFmtId="0" fontId="4" fillId="0" borderId="0" xfId="0" applyFont="1"/>
    <xf numFmtId="0" fontId="4" fillId="0" borderId="0" xfId="0" applyFont="1" applyAlignment="1">
      <alignment horizontal="left"/>
    </xf>
    <xf numFmtId="0" fontId="5" fillId="0" borderId="0" xfId="0" applyFont="1"/>
    <xf numFmtId="0" fontId="4" fillId="0" borderId="0" xfId="0" applyFont="1" applyFill="1"/>
    <xf numFmtId="0" fontId="7" fillId="26" borderId="12" xfId="0" applyFont="1" applyFill="1" applyBorder="1" applyAlignment="1">
      <alignment vertical="center"/>
    </xf>
    <xf numFmtId="0" fontId="5" fillId="27" borderId="13" xfId="440" applyFont="1" applyFill="1" applyBorder="1" applyAlignment="1">
      <alignment horizontal="center" wrapText="1"/>
    </xf>
    <xf numFmtId="0" fontId="6" fillId="28" borderId="0" xfId="0" applyFont="1" applyFill="1" applyBorder="1" applyAlignment="1">
      <alignment horizontal="left"/>
    </xf>
    <xf numFmtId="0" fontId="7" fillId="26" borderId="12" xfId="0" applyFont="1" applyFill="1" applyBorder="1" applyAlignment="1">
      <alignment horizontal="center" vertical="center" wrapText="1"/>
    </xf>
    <xf numFmtId="0" fontId="8" fillId="0" borderId="0" xfId="0" applyFont="1"/>
    <xf numFmtId="0" fontId="0" fillId="0" borderId="0" xfId="0" applyFill="1"/>
    <xf numFmtId="0" fontId="0" fillId="0" borderId="14" xfId="0" applyBorder="1"/>
    <xf numFmtId="0" fontId="0" fillId="0" borderId="0" xfId="0" applyBorder="1"/>
    <xf numFmtId="0" fontId="0" fillId="31" borderId="0" xfId="0" applyFill="1"/>
    <xf numFmtId="170" fontId="4" fillId="0" borderId="0" xfId="0" applyNumberFormat="1" applyFont="1"/>
    <xf numFmtId="170" fontId="0" fillId="0" borderId="0" xfId="0" applyNumberFormat="1" applyFill="1"/>
    <xf numFmtId="170" fontId="0" fillId="0" borderId="0" xfId="0" applyNumberFormat="1"/>
    <xf numFmtId="170" fontId="7" fillId="26" borderId="15" xfId="0" applyNumberFormat="1" applyFont="1" applyFill="1" applyBorder="1"/>
    <xf numFmtId="170" fontId="5" fillId="27" borderId="16" xfId="440" applyNumberFormat="1" applyFont="1" applyFill="1" applyBorder="1" applyAlignment="1">
      <alignment horizontal="left" wrapText="1"/>
    </xf>
    <xf numFmtId="170" fontId="0" fillId="0" borderId="14" xfId="0" applyNumberFormat="1" applyBorder="1"/>
    <xf numFmtId="170" fontId="0" fillId="0" borderId="14" xfId="0" applyNumberFormat="1" applyFill="1" applyBorder="1"/>
    <xf numFmtId="2" fontId="0" fillId="0" borderId="0" xfId="0" applyNumberFormat="1" applyFill="1"/>
    <xf numFmtId="2" fontId="0" fillId="0" borderId="14" xfId="0" applyNumberFormat="1" applyFill="1" applyBorder="1"/>
    <xf numFmtId="0" fontId="0" fillId="0" borderId="14" xfId="0" applyFill="1" applyBorder="1"/>
    <xf numFmtId="167" fontId="0" fillId="0" borderId="0" xfId="0" applyNumberFormat="1" applyFill="1"/>
    <xf numFmtId="167" fontId="0" fillId="0" borderId="14" xfId="0" applyNumberFormat="1" applyFill="1" applyBorder="1"/>
    <xf numFmtId="2" fontId="0" fillId="0" borderId="0" xfId="0" applyNumberFormat="1" applyFill="1" applyBorder="1"/>
    <xf numFmtId="167" fontId="0" fillId="0" borderId="0" xfId="0" applyNumberFormat="1" applyFill="1" applyBorder="1"/>
    <xf numFmtId="0" fontId="7" fillId="0" borderId="0" xfId="440" applyFont="1"/>
    <xf numFmtId="0" fontId="5" fillId="0" borderId="0" xfId="440"/>
    <xf numFmtId="14" fontId="5" fillId="0" borderId="0" xfId="440" applyNumberFormat="1" applyFont="1" applyAlignment="1">
      <alignment horizontal="left"/>
    </xf>
    <xf numFmtId="0" fontId="5" fillId="0" borderId="0" xfId="440" applyFont="1" applyAlignment="1">
      <alignment horizontal="left"/>
    </xf>
    <xf numFmtId="0" fontId="42" fillId="0" borderId="0" xfId="442" applyFont="1"/>
    <xf numFmtId="0" fontId="37" fillId="0" borderId="0" xfId="442"/>
    <xf numFmtId="0" fontId="40" fillId="0" borderId="0" xfId="442" applyFont="1"/>
    <xf numFmtId="0" fontId="40" fillId="0" borderId="14" xfId="442" applyFont="1" applyBorder="1"/>
    <xf numFmtId="0" fontId="40" fillId="60" borderId="0" xfId="442" applyFont="1" applyFill="1"/>
    <xf numFmtId="0" fontId="5" fillId="0" borderId="0" xfId="442" applyFont="1"/>
    <xf numFmtId="0" fontId="5" fillId="0" borderId="0" xfId="440" applyFont="1"/>
    <xf numFmtId="0" fontId="1" fillId="0" borderId="0" xfId="2577"/>
    <xf numFmtId="0" fontId="48" fillId="0" borderId="0" xfId="2577" applyFont="1"/>
    <xf numFmtId="0" fontId="48" fillId="0" borderId="0" xfId="2578" applyFont="1"/>
    <xf numFmtId="0" fontId="1" fillId="0" borderId="20" xfId="2577" applyBorder="1"/>
    <xf numFmtId="0" fontId="1" fillId="0" borderId="14" xfId="2577" applyBorder="1"/>
    <xf numFmtId="0" fontId="1" fillId="0" borderId="21" xfId="2577" applyBorder="1"/>
    <xf numFmtId="0" fontId="1" fillId="0" borderId="22" xfId="2577" applyBorder="1"/>
    <xf numFmtId="0" fontId="1" fillId="0" borderId="23" xfId="2577" applyBorder="1"/>
    <xf numFmtId="14" fontId="1" fillId="0" borderId="23" xfId="2577" applyNumberFormat="1" applyBorder="1"/>
    <xf numFmtId="0" fontId="40" fillId="63" borderId="24" xfId="2577" applyFont="1" applyFill="1" applyBorder="1"/>
    <xf numFmtId="0" fontId="40" fillId="63" borderId="12" xfId="2577" applyFont="1" applyFill="1" applyBorder="1"/>
    <xf numFmtId="0" fontId="40" fillId="63" borderId="25" xfId="2577" applyFont="1" applyFill="1" applyBorder="1"/>
    <xf numFmtId="0" fontId="50" fillId="0" borderId="0" xfId="2577" applyFont="1"/>
    <xf numFmtId="0" fontId="51" fillId="64" borderId="0" xfId="2577" applyFont="1" applyFill="1"/>
    <xf numFmtId="0" fontId="52" fillId="64" borderId="0" xfId="2577" applyFont="1" applyFill="1" applyAlignment="1">
      <alignment horizontal="right" vertical="top"/>
    </xf>
    <xf numFmtId="0" fontId="52" fillId="64" borderId="0" xfId="2577" applyFont="1" applyFill="1"/>
    <xf numFmtId="0" fontId="54" fillId="64" borderId="0" xfId="2577" applyFont="1" applyFill="1"/>
    <xf numFmtId="0" fontId="52" fillId="64" borderId="0" xfId="2577" applyFont="1" applyFill="1" applyAlignment="1">
      <alignment vertical="top"/>
    </xf>
    <xf numFmtId="0" fontId="55" fillId="64" borderId="0" xfId="2577" applyFont="1" applyFill="1" applyAlignment="1">
      <alignment horizontal="center" vertical="center" wrapText="1"/>
    </xf>
    <xf numFmtId="0" fontId="55" fillId="64" borderId="0" xfId="2577" applyFont="1" applyFill="1" applyAlignment="1">
      <alignment vertical="center" wrapText="1"/>
    </xf>
    <xf numFmtId="0" fontId="55" fillId="64" borderId="26" xfId="2577" applyFont="1" applyFill="1" applyBorder="1" applyAlignment="1">
      <alignment horizontal="center" vertical="center" wrapText="1"/>
    </xf>
    <xf numFmtId="0" fontId="55" fillId="64" borderId="27" xfId="2577" applyFont="1" applyFill="1" applyBorder="1" applyAlignment="1">
      <alignment vertical="center" wrapText="1"/>
    </xf>
    <xf numFmtId="0" fontId="55" fillId="64" borderId="27" xfId="2577" applyFont="1" applyFill="1" applyBorder="1" applyAlignment="1">
      <alignment horizontal="left" vertical="center" wrapText="1" indent="1"/>
    </xf>
    <xf numFmtId="0" fontId="56" fillId="64" borderId="28" xfId="2577" applyFont="1" applyFill="1" applyBorder="1" applyAlignment="1">
      <alignment vertical="center" wrapText="1"/>
    </xf>
    <xf numFmtId="173" fontId="55" fillId="64" borderId="26" xfId="2577" applyNumberFormat="1" applyFont="1" applyFill="1" applyBorder="1" applyAlignment="1">
      <alignment horizontal="center" vertical="center" wrapText="1"/>
    </xf>
    <xf numFmtId="9" fontId="55" fillId="64" borderId="26" xfId="2577" applyNumberFormat="1" applyFont="1" applyFill="1" applyBorder="1" applyAlignment="1">
      <alignment horizontal="center" vertical="center" wrapText="1"/>
    </xf>
    <xf numFmtId="1" fontId="55" fillId="64" borderId="26" xfId="2577" applyNumberFormat="1" applyFont="1" applyFill="1" applyBorder="1" applyAlignment="1">
      <alignment horizontal="center" vertical="center" wrapText="1"/>
    </xf>
    <xf numFmtId="3" fontId="55" fillId="64" borderId="26" xfId="2577" applyNumberFormat="1" applyFont="1" applyFill="1" applyBorder="1" applyAlignment="1">
      <alignment horizontal="center" vertical="center" wrapText="1"/>
    </xf>
    <xf numFmtId="0" fontId="57" fillId="64" borderId="0" xfId="2577" applyFont="1" applyFill="1"/>
    <xf numFmtId="0" fontId="58" fillId="64" borderId="26" xfId="2577" applyFont="1" applyFill="1" applyBorder="1" applyAlignment="1">
      <alignment horizontal="center" vertical="center" wrapText="1"/>
    </xf>
    <xf numFmtId="0" fontId="58" fillId="64" borderId="16" xfId="2577" applyFont="1" applyFill="1" applyBorder="1" applyAlignment="1">
      <alignment horizontal="center" vertical="center" wrapText="1"/>
    </xf>
    <xf numFmtId="9" fontId="55" fillId="0" borderId="26" xfId="2579" applyFont="1" applyFill="1" applyBorder="1" applyAlignment="1">
      <alignment horizontal="center" vertical="center" wrapText="1"/>
    </xf>
    <xf numFmtId="2" fontId="55" fillId="64" borderId="26" xfId="2577" applyNumberFormat="1" applyFont="1" applyFill="1" applyBorder="1" applyAlignment="1">
      <alignment horizontal="center" vertical="center" wrapText="1"/>
    </xf>
    <xf numFmtId="0" fontId="55" fillId="64" borderId="16" xfId="2577" applyFont="1" applyFill="1" applyBorder="1" applyAlignment="1">
      <alignment horizontal="center" vertical="center" wrapText="1"/>
    </xf>
    <xf numFmtId="0" fontId="59" fillId="64" borderId="0" xfId="2577" applyFont="1" applyFill="1"/>
    <xf numFmtId="0" fontId="56" fillId="64" borderId="35" xfId="2577" applyFont="1" applyFill="1" applyBorder="1" applyAlignment="1">
      <alignment vertical="center" wrapText="1"/>
    </xf>
    <xf numFmtId="0" fontId="61" fillId="0" borderId="0" xfId="2577" applyFont="1" applyAlignment="1">
      <alignment horizontal="justify" vertical="center"/>
    </xf>
    <xf numFmtId="0" fontId="62" fillId="64" borderId="0" xfId="2577" applyFont="1" applyFill="1"/>
    <xf numFmtId="0" fontId="51" fillId="64" borderId="0" xfId="2577" applyFont="1" applyFill="1" applyAlignment="1">
      <alignment horizontal="left" vertical="top"/>
    </xf>
    <xf numFmtId="0" fontId="51" fillId="64" borderId="0" xfId="2577" applyFont="1" applyFill="1" applyAlignment="1">
      <alignment vertical="top"/>
    </xf>
    <xf numFmtId="0" fontId="52" fillId="64" borderId="0" xfId="2577" applyFont="1" applyFill="1" applyAlignment="1">
      <alignment vertical="top" wrapText="1"/>
    </xf>
    <xf numFmtId="0" fontId="55" fillId="64" borderId="27" xfId="2577" quotePrefix="1" applyFont="1" applyFill="1" applyBorder="1" applyAlignment="1">
      <alignment vertical="center" wrapText="1"/>
    </xf>
    <xf numFmtId="0" fontId="55" fillId="64" borderId="0" xfId="2577" applyFont="1" applyFill="1"/>
    <xf numFmtId="0" fontId="55" fillId="0" borderId="0" xfId="2577" applyFont="1"/>
    <xf numFmtId="0" fontId="55" fillId="0" borderId="26" xfId="2577" applyFont="1" applyBorder="1" applyAlignment="1">
      <alignment horizontal="center" vertical="center" wrapText="1"/>
    </xf>
    <xf numFmtId="9" fontId="55" fillId="0" borderId="26" xfId="2577" applyNumberFormat="1" applyFont="1" applyBorder="1" applyAlignment="1">
      <alignment horizontal="center" vertical="center" wrapText="1"/>
    </xf>
    <xf numFmtId="0" fontId="51" fillId="0" borderId="0" xfId="2577" applyFont="1"/>
    <xf numFmtId="0" fontId="52" fillId="64" borderId="0" xfId="2577" applyFont="1" applyFill="1" applyAlignment="1">
      <alignment wrapText="1"/>
    </xf>
    <xf numFmtId="9" fontId="55" fillId="64" borderId="26" xfId="2579" applyFont="1" applyFill="1" applyBorder="1" applyAlignment="1">
      <alignment horizontal="center" vertical="center" wrapText="1"/>
    </xf>
    <xf numFmtId="0" fontId="63" fillId="64" borderId="0" xfId="2577" applyFont="1" applyFill="1"/>
    <xf numFmtId="0" fontId="64" fillId="64" borderId="0" xfId="2577" applyFont="1" applyFill="1"/>
    <xf numFmtId="0" fontId="1" fillId="64" borderId="0" xfId="2577" applyFill="1"/>
    <xf numFmtId="0" fontId="1" fillId="64" borderId="0" xfId="2577" applyFill="1" applyAlignment="1">
      <alignment wrapText="1"/>
    </xf>
    <xf numFmtId="0" fontId="52" fillId="64" borderId="0" xfId="2577" applyFont="1" applyFill="1" applyAlignment="1">
      <alignment horizontal="right" vertical="top" wrapText="1"/>
    </xf>
    <xf numFmtId="0" fontId="65" fillId="64" borderId="26" xfId="2577" applyFont="1" applyFill="1" applyBorder="1" applyAlignment="1">
      <alignment horizontal="center" vertical="center" wrapText="1"/>
    </xf>
    <xf numFmtId="0" fontId="66" fillId="64" borderId="26" xfId="2577" applyFont="1" applyFill="1" applyBorder="1" applyAlignment="1">
      <alignment horizontal="left" vertical="center"/>
    </xf>
    <xf numFmtId="0" fontId="67" fillId="64" borderId="27" xfId="2577" applyFont="1" applyFill="1" applyBorder="1" applyAlignment="1">
      <alignment vertical="center" wrapText="1"/>
    </xf>
    <xf numFmtId="0" fontId="67" fillId="64" borderId="27" xfId="2577" applyFont="1" applyFill="1" applyBorder="1" applyAlignment="1">
      <alignment horizontal="left" vertical="center" wrapText="1" indent="1"/>
    </xf>
    <xf numFmtId="0" fontId="68" fillId="64" borderId="28" xfId="2577" applyFont="1" applyFill="1" applyBorder="1" applyAlignment="1">
      <alignment vertical="center" wrapText="1"/>
    </xf>
    <xf numFmtId="174" fontId="65" fillId="64" borderId="26" xfId="2577" applyNumberFormat="1" applyFont="1" applyFill="1" applyBorder="1" applyAlignment="1">
      <alignment horizontal="center" vertical="center" wrapText="1"/>
    </xf>
    <xf numFmtId="2" fontId="65" fillId="64" borderId="26" xfId="2577" applyNumberFormat="1" applyFont="1" applyFill="1" applyBorder="1" applyAlignment="1">
      <alignment horizontal="center" vertical="center" wrapText="1"/>
    </xf>
    <xf numFmtId="1" fontId="65" fillId="64" borderId="26" xfId="2577" applyNumberFormat="1" applyFont="1" applyFill="1" applyBorder="1" applyAlignment="1">
      <alignment horizontal="center" vertical="center" wrapText="1"/>
    </xf>
    <xf numFmtId="0" fontId="55" fillId="64" borderId="26" xfId="2577" quotePrefix="1" applyFont="1" applyFill="1" applyBorder="1" applyAlignment="1">
      <alignment horizontal="center" vertical="center" wrapText="1"/>
    </xf>
    <xf numFmtId="173" fontId="65" fillId="64" borderId="26" xfId="2577" applyNumberFormat="1" applyFont="1" applyFill="1" applyBorder="1" applyAlignment="1">
      <alignment horizontal="center" vertical="center" wrapText="1"/>
    </xf>
    <xf numFmtId="0" fontId="69" fillId="64" borderId="26" xfId="2577" applyFont="1" applyFill="1" applyBorder="1" applyAlignment="1">
      <alignment horizontal="center" vertical="center" wrapText="1"/>
    </xf>
    <xf numFmtId="0" fontId="69" fillId="64" borderId="16" xfId="2577" applyFont="1" applyFill="1" applyBorder="1" applyAlignment="1">
      <alignment horizontal="center" vertical="center" wrapText="1"/>
    </xf>
    <xf numFmtId="0" fontId="70" fillId="64" borderId="28" xfId="2577" applyFont="1" applyFill="1" applyBorder="1" applyAlignment="1">
      <alignment vertical="center" wrapText="1"/>
    </xf>
    <xf numFmtId="0" fontId="40" fillId="64" borderId="0" xfId="2577" applyFont="1" applyFill="1"/>
    <xf numFmtId="175" fontId="65" fillId="64" borderId="26" xfId="2577" applyNumberFormat="1" applyFont="1" applyFill="1" applyBorder="1" applyAlignment="1">
      <alignment horizontal="center" vertical="center" wrapText="1"/>
    </xf>
    <xf numFmtId="0" fontId="67" fillId="64" borderId="16" xfId="2577" applyFont="1" applyFill="1" applyBorder="1" applyAlignment="1">
      <alignment horizontal="center" vertical="center" wrapText="1"/>
    </xf>
    <xf numFmtId="0" fontId="71" fillId="64" borderId="0" xfId="2577" applyFont="1" applyFill="1"/>
    <xf numFmtId="0" fontId="68" fillId="64" borderId="35" xfId="2577" applyFont="1" applyFill="1" applyBorder="1" applyAlignment="1">
      <alignment vertical="center" wrapText="1"/>
    </xf>
    <xf numFmtId="9" fontId="65" fillId="64" borderId="26" xfId="2577" applyNumberFormat="1" applyFont="1" applyFill="1" applyBorder="1" applyAlignment="1">
      <alignment horizontal="center" vertical="center" wrapText="1"/>
    </xf>
    <xf numFmtId="1" fontId="69" fillId="64" borderId="26" xfId="2577" applyNumberFormat="1" applyFont="1" applyFill="1" applyBorder="1" applyAlignment="1">
      <alignment horizontal="center" vertical="center" wrapText="1"/>
    </xf>
    <xf numFmtId="0" fontId="67" fillId="64" borderId="27" xfId="2577" quotePrefix="1" applyFont="1" applyFill="1" applyBorder="1" applyAlignment="1">
      <alignment vertical="center" wrapText="1"/>
    </xf>
    <xf numFmtId="164" fontId="65" fillId="64" borderId="26" xfId="2577" applyNumberFormat="1" applyFont="1" applyFill="1" applyBorder="1" applyAlignment="1">
      <alignment horizontal="center" vertical="center" wrapText="1"/>
    </xf>
    <xf numFmtId="0" fontId="65" fillId="64" borderId="26" xfId="2577" quotePrefix="1" applyFont="1" applyFill="1" applyBorder="1" applyAlignment="1">
      <alignment horizontal="center" vertical="center" wrapText="1"/>
    </xf>
    <xf numFmtId="0" fontId="73" fillId="64" borderId="0" xfId="2577" applyFont="1" applyFill="1"/>
    <xf numFmtId="0" fontId="73" fillId="0" borderId="0" xfId="2577" applyFont="1" applyAlignment="1">
      <alignment vertical="center"/>
    </xf>
    <xf numFmtId="3" fontId="65" fillId="64" borderId="26" xfId="2577" applyNumberFormat="1" applyFont="1" applyFill="1" applyBorder="1" applyAlignment="1">
      <alignment horizontal="center" vertical="center" wrapText="1"/>
    </xf>
    <xf numFmtId="0" fontId="52" fillId="64" borderId="0" xfId="2577" applyFont="1" applyFill="1" applyAlignment="1">
      <alignment vertical="center" wrapText="1"/>
    </xf>
    <xf numFmtId="0" fontId="65" fillId="64" borderId="0" xfId="2577" applyFont="1" applyFill="1" applyAlignment="1">
      <alignment horizontal="center" vertical="center" wrapText="1"/>
    </xf>
    <xf numFmtId="0" fontId="67" fillId="64" borderId="0" xfId="2577" applyFont="1" applyFill="1" applyAlignment="1">
      <alignment vertical="center" wrapText="1"/>
    </xf>
    <xf numFmtId="0" fontId="52" fillId="64" borderId="0" xfId="2577" applyFont="1" applyFill="1" applyAlignment="1">
      <alignment horizontal="left" vertical="top" wrapText="1"/>
    </xf>
    <xf numFmtId="0" fontId="52" fillId="64" borderId="0" xfId="2577" applyFont="1" applyFill="1" applyAlignment="1">
      <alignment horizontal="left" vertical="top"/>
    </xf>
    <xf numFmtId="0" fontId="73" fillId="64" borderId="0" xfId="2577" applyFont="1" applyFill="1" applyAlignment="1">
      <alignment horizontal="left" vertical="top" wrapText="1"/>
    </xf>
    <xf numFmtId="176" fontId="65" fillId="64" borderId="26" xfId="2577" applyNumberFormat="1" applyFont="1" applyFill="1" applyBorder="1" applyAlignment="1">
      <alignment horizontal="center" vertical="center" wrapText="1"/>
    </xf>
    <xf numFmtId="3" fontId="65" fillId="64" borderId="0" xfId="2577" applyNumberFormat="1" applyFont="1" applyFill="1" applyAlignment="1">
      <alignment horizontal="center" vertical="center" wrapText="1"/>
    </xf>
    <xf numFmtId="0" fontId="67" fillId="64" borderId="0" xfId="2577" applyFont="1" applyFill="1" applyAlignment="1">
      <alignment horizontal="left" vertical="center" wrapText="1" indent="1"/>
    </xf>
    <xf numFmtId="49" fontId="65" fillId="64" borderId="26" xfId="2577" applyNumberFormat="1" applyFont="1" applyFill="1" applyBorder="1" applyAlignment="1">
      <alignment horizontal="center" vertical="center" wrapText="1"/>
    </xf>
    <xf numFmtId="0" fontId="65" fillId="64" borderId="26" xfId="2580" applyNumberFormat="1" applyFont="1" applyFill="1" applyBorder="1" applyAlignment="1">
      <alignment horizontal="center" vertical="center" wrapText="1"/>
    </xf>
    <xf numFmtId="0" fontId="75" fillId="64" borderId="0" xfId="2577" applyFont="1" applyFill="1"/>
    <xf numFmtId="1" fontId="1" fillId="64" borderId="0" xfId="2577" applyNumberFormat="1" applyFill="1"/>
    <xf numFmtId="0" fontId="65" fillId="0" borderId="26" xfId="2577" applyFont="1" applyBorder="1" applyAlignment="1">
      <alignment horizontal="center" vertical="center" wrapText="1"/>
    </xf>
    <xf numFmtId="0" fontId="55" fillId="0" borderId="27" xfId="2577" quotePrefix="1" applyFont="1" applyBorder="1" applyAlignment="1">
      <alignment vertical="center" wrapText="1"/>
    </xf>
    <xf numFmtId="1" fontId="65" fillId="64" borderId="26" xfId="2577" quotePrefix="1" applyNumberFormat="1" applyFont="1" applyFill="1" applyBorder="1" applyAlignment="1">
      <alignment horizontal="center" vertical="center" wrapText="1"/>
    </xf>
    <xf numFmtId="173" fontId="1" fillId="64" borderId="0" xfId="2577" applyNumberFormat="1" applyFill="1"/>
    <xf numFmtId="173" fontId="55" fillId="64" borderId="26" xfId="2577" quotePrefix="1" applyNumberFormat="1" applyFont="1" applyFill="1" applyBorder="1" applyAlignment="1">
      <alignment horizontal="center" vertical="center" wrapText="1"/>
    </xf>
    <xf numFmtId="173" fontId="65" fillId="64" borderId="26" xfId="2577" quotePrefix="1" applyNumberFormat="1" applyFont="1" applyFill="1" applyBorder="1" applyAlignment="1">
      <alignment horizontal="center" vertical="center" wrapText="1"/>
    </xf>
    <xf numFmtId="0" fontId="1" fillId="64" borderId="26" xfId="2577" applyFill="1" applyBorder="1"/>
    <xf numFmtId="0" fontId="1" fillId="64" borderId="16" xfId="2577" applyFill="1" applyBorder="1"/>
    <xf numFmtId="0" fontId="54" fillId="64" borderId="28" xfId="2577" applyFont="1" applyFill="1" applyBorder="1"/>
    <xf numFmtId="177" fontId="1" fillId="64" borderId="0" xfId="2577" applyNumberFormat="1" applyFill="1"/>
    <xf numFmtId="173" fontId="52" fillId="64" borderId="0" xfId="2577" applyNumberFormat="1" applyFont="1" applyFill="1"/>
    <xf numFmtId="173" fontId="52" fillId="64" borderId="0" xfId="2577" applyNumberFormat="1" applyFont="1" applyFill="1" applyAlignment="1">
      <alignment vertical="center" wrapText="1"/>
    </xf>
    <xf numFmtId="1" fontId="1" fillId="64" borderId="0" xfId="2577" applyNumberFormat="1" applyFill="1" applyAlignment="1">
      <alignment horizontal="left"/>
    </xf>
    <xf numFmtId="173" fontId="58" fillId="64" borderId="16" xfId="2577" applyNumberFormat="1" applyFont="1" applyFill="1" applyBorder="1" applyAlignment="1">
      <alignment horizontal="center" vertical="center" wrapText="1"/>
    </xf>
    <xf numFmtId="2" fontId="1" fillId="64" borderId="0" xfId="2577" applyNumberFormat="1" applyFill="1"/>
    <xf numFmtId="0" fontId="1" fillId="64" borderId="0" xfId="2577" applyFill="1" applyAlignment="1">
      <alignment horizontal="right"/>
    </xf>
    <xf numFmtId="0" fontId="55" fillId="64" borderId="35" xfId="2577" quotePrefix="1" applyFont="1" applyFill="1" applyBorder="1" applyAlignment="1">
      <alignment vertical="center" wrapText="1"/>
    </xf>
    <xf numFmtId="0" fontId="0" fillId="0" borderId="0" xfId="0" applyFill="1" applyBorder="1"/>
    <xf numFmtId="0" fontId="7" fillId="26" borderId="0" xfId="0" applyFont="1" applyFill="1" applyBorder="1" applyAlignment="1">
      <alignment horizontal="center" vertical="center" wrapText="1"/>
    </xf>
    <xf numFmtId="0" fontId="5" fillId="27" borderId="0" xfId="440" applyFont="1" applyFill="1" applyBorder="1" applyAlignment="1">
      <alignment horizontal="center" wrapText="1"/>
    </xf>
    <xf numFmtId="175" fontId="0" fillId="0" borderId="0" xfId="0" applyNumberFormat="1" applyFill="1"/>
    <xf numFmtId="175" fontId="0" fillId="0" borderId="14" xfId="0" applyNumberFormat="1" applyFill="1" applyBorder="1"/>
    <xf numFmtId="8" fontId="51" fillId="64" borderId="0" xfId="2577" applyNumberFormat="1" applyFont="1" applyFill="1"/>
    <xf numFmtId="175" fontId="0" fillId="0" borderId="0" xfId="0" applyNumberFormat="1" applyFill="1" applyAlignment="1">
      <alignment horizontal="right"/>
    </xf>
    <xf numFmtId="0" fontId="66" fillId="64" borderId="26" xfId="2577" applyFont="1" applyFill="1" applyBorder="1" applyAlignment="1">
      <alignment horizontal="center" vertical="center" wrapText="1"/>
    </xf>
    <xf numFmtId="2" fontId="66" fillId="64" borderId="26" xfId="2577" applyNumberFormat="1" applyFont="1" applyFill="1" applyBorder="1" applyAlignment="1">
      <alignment horizontal="center" vertical="center" wrapText="1"/>
    </xf>
    <xf numFmtId="0" fontId="81" fillId="64" borderId="16" xfId="2577" applyFont="1" applyFill="1" applyBorder="1" applyAlignment="1">
      <alignment horizontal="center" vertical="center" wrapText="1"/>
    </xf>
    <xf numFmtId="178" fontId="0" fillId="31" borderId="0" xfId="0" applyNumberFormat="1" applyFill="1"/>
    <xf numFmtId="178" fontId="0" fillId="0" borderId="0" xfId="0" applyNumberFormat="1"/>
    <xf numFmtId="173" fontId="0" fillId="0" borderId="0" xfId="0" applyNumberFormat="1"/>
    <xf numFmtId="2" fontId="5" fillId="0" borderId="14" xfId="0" applyNumberFormat="1" applyFont="1" applyFill="1" applyBorder="1"/>
    <xf numFmtId="175" fontId="0" fillId="0" borderId="0" xfId="0" applyNumberFormat="1" applyFill="1" applyBorder="1"/>
    <xf numFmtId="2" fontId="5" fillId="0" borderId="0" xfId="0" applyNumberFormat="1" applyFont="1" applyFill="1" applyBorder="1"/>
    <xf numFmtId="1" fontId="0" fillId="0" borderId="0" xfId="0" applyNumberFormat="1" applyBorder="1"/>
    <xf numFmtId="170" fontId="0" fillId="0" borderId="0" xfId="0" applyNumberFormat="1" applyBorder="1"/>
    <xf numFmtId="170" fontId="0" fillId="0" borderId="0" xfId="0" applyNumberFormat="1" applyFill="1" applyBorder="1"/>
    <xf numFmtId="175" fontId="0" fillId="0" borderId="14" xfId="0" applyNumberFormat="1" applyBorder="1"/>
    <xf numFmtId="178" fontId="0" fillId="0" borderId="14" xfId="0" applyNumberFormat="1" applyBorder="1"/>
    <xf numFmtId="0" fontId="5" fillId="0" borderId="0" xfId="0" applyFont="1" applyFill="1"/>
    <xf numFmtId="1" fontId="0" fillId="0" borderId="0" xfId="0" applyNumberFormat="1"/>
    <xf numFmtId="175" fontId="0" fillId="0" borderId="0" xfId="0" applyNumberFormat="1" applyBorder="1"/>
    <xf numFmtId="178" fontId="0" fillId="0" borderId="0" xfId="0" applyNumberFormat="1" applyBorder="1"/>
    <xf numFmtId="175" fontId="0" fillId="31" borderId="0" xfId="0" applyNumberFormat="1" applyFill="1"/>
    <xf numFmtId="173" fontId="0" fillId="31" borderId="0" xfId="0" applyNumberFormat="1" applyFill="1"/>
    <xf numFmtId="0" fontId="50" fillId="0" borderId="0" xfId="2577" applyFont="1" applyAlignment="1">
      <alignment horizontal="left" vertical="top" wrapText="1"/>
    </xf>
    <xf numFmtId="0" fontId="60" fillId="64" borderId="34" xfId="2578" applyFont="1" applyFill="1" applyBorder="1" applyAlignment="1">
      <alignment horizontal="center" vertical="center" wrapText="1"/>
    </xf>
    <xf numFmtId="0" fontId="58" fillId="64" borderId="33" xfId="2577" applyFont="1" applyFill="1" applyBorder="1" applyAlignment="1">
      <alignment horizontal="center" vertical="center" wrapText="1"/>
    </xf>
    <xf numFmtId="0" fontId="58" fillId="64" borderId="32" xfId="2577" applyFont="1" applyFill="1" applyBorder="1" applyAlignment="1">
      <alignment horizontal="center" vertical="center" wrapText="1"/>
    </xf>
    <xf numFmtId="0" fontId="55" fillId="64" borderId="29" xfId="2577" applyFont="1" applyFill="1" applyBorder="1" applyAlignment="1">
      <alignment vertical="center" wrapText="1"/>
    </xf>
    <xf numFmtId="0" fontId="55" fillId="64" borderId="27" xfId="2577" applyFont="1" applyFill="1" applyBorder="1" applyAlignment="1">
      <alignment vertical="center" wrapText="1"/>
    </xf>
    <xf numFmtId="0" fontId="55" fillId="64" borderId="29" xfId="2577" applyFont="1" applyFill="1" applyBorder="1" applyAlignment="1">
      <alignment horizontal="center" vertical="center" wrapText="1"/>
    </xf>
    <xf numFmtId="0" fontId="55" fillId="64" borderId="27" xfId="2577" applyFont="1" applyFill="1" applyBorder="1" applyAlignment="1">
      <alignment horizontal="center" vertical="center" wrapText="1"/>
    </xf>
    <xf numFmtId="0" fontId="55" fillId="64" borderId="31" xfId="2577" applyFont="1" applyFill="1" applyBorder="1" applyAlignment="1">
      <alignment horizontal="center" vertical="center" wrapText="1"/>
    </xf>
    <xf numFmtId="0" fontId="55" fillId="64" borderId="30" xfId="2577" applyFont="1" applyFill="1" applyBorder="1" applyAlignment="1">
      <alignment horizontal="center" vertical="center" wrapText="1"/>
    </xf>
    <xf numFmtId="0" fontId="55" fillId="64" borderId="28" xfId="2577" applyFont="1" applyFill="1" applyBorder="1" applyAlignment="1">
      <alignment horizontal="center" vertical="center" wrapText="1"/>
    </xf>
    <xf numFmtId="0" fontId="55" fillId="64" borderId="26" xfId="2577" applyFont="1" applyFill="1" applyBorder="1" applyAlignment="1">
      <alignment horizontal="center" vertical="center" wrapText="1"/>
    </xf>
    <xf numFmtId="0" fontId="52" fillId="64" borderId="0" xfId="2577" applyFont="1" applyFill="1" applyAlignment="1">
      <alignment vertical="top" wrapText="1"/>
    </xf>
    <xf numFmtId="0" fontId="51" fillId="0" borderId="0" xfId="2577" applyFont="1" applyAlignment="1">
      <alignment vertical="top"/>
    </xf>
    <xf numFmtId="0" fontId="52" fillId="64" borderId="0" xfId="2577" applyFont="1" applyFill="1" applyAlignment="1">
      <alignment wrapText="1"/>
    </xf>
    <xf numFmtId="0" fontId="52" fillId="64" borderId="0" xfId="2577" applyFont="1" applyFill="1" applyAlignment="1">
      <alignment horizontal="left" vertical="top" wrapText="1"/>
    </xf>
    <xf numFmtId="0" fontId="56" fillId="64" borderId="33" xfId="2577" applyFont="1" applyFill="1" applyBorder="1" applyAlignment="1">
      <alignment horizontal="center" vertical="center" wrapText="1"/>
    </xf>
    <xf numFmtId="0" fontId="56" fillId="64" borderId="32" xfId="2577" applyFont="1" applyFill="1" applyBorder="1" applyAlignment="1">
      <alignment horizontal="center" vertical="center" wrapText="1"/>
    </xf>
    <xf numFmtId="0" fontId="51" fillId="0" borderId="0" xfId="2577" applyFont="1" applyAlignment="1">
      <alignment horizontal="left" vertical="top" wrapText="1"/>
    </xf>
    <xf numFmtId="0" fontId="52" fillId="0" borderId="0" xfId="2577" applyFont="1" applyAlignment="1">
      <alignment vertical="top" wrapText="1"/>
    </xf>
    <xf numFmtId="0" fontId="70" fillId="64" borderId="33" xfId="2577" applyFont="1" applyFill="1" applyBorder="1" applyAlignment="1">
      <alignment horizontal="center" vertical="center" wrapText="1"/>
    </xf>
    <xf numFmtId="0" fontId="70" fillId="64" borderId="32" xfId="2577" applyFont="1" applyFill="1" applyBorder="1" applyAlignment="1">
      <alignment horizontal="center" vertical="center" wrapText="1"/>
    </xf>
    <xf numFmtId="0" fontId="67" fillId="64" borderId="29" xfId="2577" applyFont="1" applyFill="1" applyBorder="1" applyAlignment="1">
      <alignment vertical="center" wrapText="1"/>
    </xf>
    <xf numFmtId="0" fontId="67" fillId="64" borderId="27" xfId="2577" applyFont="1" applyFill="1" applyBorder="1" applyAlignment="1">
      <alignment vertical="center" wrapText="1"/>
    </xf>
    <xf numFmtId="0" fontId="65" fillId="64" borderId="29" xfId="2577" applyFont="1" applyFill="1" applyBorder="1" applyAlignment="1">
      <alignment horizontal="center" vertical="center" wrapText="1"/>
    </xf>
    <xf numFmtId="0" fontId="65" fillId="64" borderId="27" xfId="2577" applyFont="1" applyFill="1" applyBorder="1" applyAlignment="1">
      <alignment horizontal="center" vertical="center" wrapText="1"/>
    </xf>
    <xf numFmtId="0" fontId="65" fillId="64" borderId="31" xfId="2577" applyFont="1" applyFill="1" applyBorder="1" applyAlignment="1">
      <alignment horizontal="center" vertical="center" wrapText="1"/>
    </xf>
    <xf numFmtId="0" fontId="65" fillId="64" borderId="30" xfId="2577" applyFont="1" applyFill="1" applyBorder="1" applyAlignment="1">
      <alignment horizontal="center" vertical="center" wrapText="1"/>
    </xf>
    <xf numFmtId="0" fontId="65" fillId="64" borderId="28" xfId="2577" applyFont="1" applyFill="1" applyBorder="1" applyAlignment="1">
      <alignment horizontal="center" vertical="center" wrapText="1"/>
    </xf>
    <xf numFmtId="0" fontId="65" fillId="64" borderId="26" xfId="2577" applyFont="1" applyFill="1" applyBorder="1" applyAlignment="1">
      <alignment horizontal="center" vertical="center" wrapText="1"/>
    </xf>
    <xf numFmtId="0" fontId="68" fillId="64" borderId="33" xfId="2577" applyFont="1" applyFill="1" applyBorder="1" applyAlignment="1">
      <alignment horizontal="center" vertical="center" wrapText="1"/>
    </xf>
    <xf numFmtId="0" fontId="68" fillId="64" borderId="32" xfId="2577" applyFont="1" applyFill="1" applyBorder="1" applyAlignment="1">
      <alignment horizontal="center" vertical="center" wrapText="1"/>
    </xf>
    <xf numFmtId="0" fontId="52" fillId="64" borderId="0" xfId="2577" applyFont="1" applyFill="1" applyAlignment="1">
      <alignment vertical="center" wrapText="1"/>
    </xf>
    <xf numFmtId="0" fontId="74" fillId="64" borderId="0" xfId="2577" applyFont="1" applyFill="1" applyAlignment="1">
      <alignment wrapText="1"/>
    </xf>
    <xf numFmtId="0" fontId="60" fillId="64" borderId="33" xfId="2578" applyFont="1" applyFill="1" applyBorder="1" applyAlignment="1">
      <alignment horizontal="center" vertical="center" wrapText="1"/>
    </xf>
    <xf numFmtId="0" fontId="52" fillId="64" borderId="0" xfId="2577" applyFont="1" applyFill="1" applyAlignment="1">
      <alignment vertical="top"/>
    </xf>
    <xf numFmtId="0" fontId="73" fillId="64" borderId="0" xfId="2577" applyFont="1" applyFill="1" applyAlignment="1">
      <alignment horizontal="left" wrapText="1"/>
    </xf>
    <xf numFmtId="0" fontId="1" fillId="64" borderId="0" xfId="2577" applyFill="1" applyAlignment="1">
      <alignment horizontal="left" wrapText="1"/>
    </xf>
    <xf numFmtId="1" fontId="55" fillId="64" borderId="29" xfId="2577" applyNumberFormat="1" applyFont="1" applyFill="1" applyBorder="1" applyAlignment="1">
      <alignment horizontal="center" vertical="center" wrapText="1"/>
    </xf>
    <xf numFmtId="1" fontId="55" fillId="64" borderId="27" xfId="2577" applyNumberFormat="1" applyFont="1" applyFill="1" applyBorder="1" applyAlignment="1">
      <alignment horizontal="center" vertical="center" wrapText="1"/>
    </xf>
    <xf numFmtId="0" fontId="73" fillId="64" borderId="0" xfId="2577" applyFont="1" applyFill="1" applyAlignment="1">
      <alignment vertical="top" wrapText="1"/>
    </xf>
    <xf numFmtId="173" fontId="0" fillId="0" borderId="0" xfId="0" applyNumberFormat="1" applyBorder="1"/>
  </cellXfs>
  <cellStyles count="2581">
    <cellStyle name="20 % - Markeringsfarve1" xfId="1035" xr:uid="{00000000-0005-0000-0000-000000000000}"/>
    <cellStyle name="20 % - Markeringsfarve1 2" xfId="1036" xr:uid="{00000000-0005-0000-0000-000001000000}"/>
    <cellStyle name="20 % - Markeringsfarve2" xfId="1037" xr:uid="{00000000-0005-0000-0000-000002000000}"/>
    <cellStyle name="20 % - Markeringsfarve2 2" xfId="1038" xr:uid="{00000000-0005-0000-0000-000003000000}"/>
    <cellStyle name="20 % - Markeringsfarve3" xfId="1039" xr:uid="{00000000-0005-0000-0000-000004000000}"/>
    <cellStyle name="20 % - Markeringsfarve3 2" xfId="1040" xr:uid="{00000000-0005-0000-0000-000005000000}"/>
    <cellStyle name="20 % - Markeringsfarve4" xfId="1041" xr:uid="{00000000-0005-0000-0000-000006000000}"/>
    <cellStyle name="20 % - Markeringsfarve4 2" xfId="1042" xr:uid="{00000000-0005-0000-0000-000007000000}"/>
    <cellStyle name="20 % - Markeringsfarve5" xfId="1043" xr:uid="{00000000-0005-0000-0000-000008000000}"/>
    <cellStyle name="20 % - Markeringsfarve5 2" xfId="1044" xr:uid="{00000000-0005-0000-0000-000009000000}"/>
    <cellStyle name="20 % - Markeringsfarve6" xfId="1045" xr:uid="{00000000-0005-0000-0000-00000A000000}"/>
    <cellStyle name="20 % - Markeringsfarve6 2" xfId="1046" xr:uid="{00000000-0005-0000-0000-00000B000000}"/>
    <cellStyle name="20% - Colore 1" xfId="1" xr:uid="{00000000-0005-0000-0000-00000C000000}"/>
    <cellStyle name="20% - Colore 1 2" xfId="2" xr:uid="{00000000-0005-0000-0000-00000D000000}"/>
    <cellStyle name="20% - Colore 2" xfId="3" xr:uid="{00000000-0005-0000-0000-00000E000000}"/>
    <cellStyle name="20% - Colore 2 2" xfId="4" xr:uid="{00000000-0005-0000-0000-00000F000000}"/>
    <cellStyle name="20% - Colore 3" xfId="5" xr:uid="{00000000-0005-0000-0000-000010000000}"/>
    <cellStyle name="20% - Colore 3 2" xfId="6" xr:uid="{00000000-0005-0000-0000-000011000000}"/>
    <cellStyle name="20% - Colore 4" xfId="7" xr:uid="{00000000-0005-0000-0000-000012000000}"/>
    <cellStyle name="20% - Colore 4 2" xfId="8" xr:uid="{00000000-0005-0000-0000-000013000000}"/>
    <cellStyle name="20% - Colore 5" xfId="9" xr:uid="{00000000-0005-0000-0000-000014000000}"/>
    <cellStyle name="20% - Colore 5 2" xfId="10" xr:uid="{00000000-0005-0000-0000-000015000000}"/>
    <cellStyle name="20% - Colore 6" xfId="11" xr:uid="{00000000-0005-0000-0000-000016000000}"/>
    <cellStyle name="20% - Colore 6 2" xfId="12" xr:uid="{00000000-0005-0000-0000-000017000000}"/>
    <cellStyle name="40 % - Markeringsfarve1" xfId="1047" xr:uid="{00000000-0005-0000-0000-000018000000}"/>
    <cellStyle name="40 % - Markeringsfarve1 2" xfId="1048" xr:uid="{00000000-0005-0000-0000-000019000000}"/>
    <cellStyle name="40 % - Markeringsfarve2" xfId="1049" xr:uid="{00000000-0005-0000-0000-00001A000000}"/>
    <cellStyle name="40 % - Markeringsfarve2 2" xfId="1050" xr:uid="{00000000-0005-0000-0000-00001B000000}"/>
    <cellStyle name="40 % - Markeringsfarve3" xfId="1051" xr:uid="{00000000-0005-0000-0000-00001C000000}"/>
    <cellStyle name="40 % - Markeringsfarve3 2" xfId="1052" xr:uid="{00000000-0005-0000-0000-00001D000000}"/>
    <cellStyle name="40 % - Markeringsfarve4" xfId="1053" xr:uid="{00000000-0005-0000-0000-00001E000000}"/>
    <cellStyle name="40 % - Markeringsfarve4 2" xfId="1054" xr:uid="{00000000-0005-0000-0000-00001F000000}"/>
    <cellStyle name="40 % - Markeringsfarve5" xfId="1055" xr:uid="{00000000-0005-0000-0000-000020000000}"/>
    <cellStyle name="40 % - Markeringsfarve5 2" xfId="1056" xr:uid="{00000000-0005-0000-0000-000021000000}"/>
    <cellStyle name="40 % - Markeringsfarve6" xfId="1057" xr:uid="{00000000-0005-0000-0000-000022000000}"/>
    <cellStyle name="40 % - Markeringsfarve6 2" xfId="1058" xr:uid="{00000000-0005-0000-0000-000023000000}"/>
    <cellStyle name="40% - Colore 1" xfId="13" xr:uid="{00000000-0005-0000-0000-000024000000}"/>
    <cellStyle name="40% - Colore 1 2" xfId="14" xr:uid="{00000000-0005-0000-0000-000025000000}"/>
    <cellStyle name="40% - Colore 2" xfId="15" xr:uid="{00000000-0005-0000-0000-000026000000}"/>
    <cellStyle name="40% - Colore 2 2" xfId="16" xr:uid="{00000000-0005-0000-0000-000027000000}"/>
    <cellStyle name="40% - Colore 3" xfId="17" xr:uid="{00000000-0005-0000-0000-000028000000}"/>
    <cellStyle name="40% - Colore 3 2" xfId="18" xr:uid="{00000000-0005-0000-0000-000029000000}"/>
    <cellStyle name="40% - Colore 4" xfId="19" xr:uid="{00000000-0005-0000-0000-00002A000000}"/>
    <cellStyle name="40% - Colore 4 2" xfId="20" xr:uid="{00000000-0005-0000-0000-00002B000000}"/>
    <cellStyle name="40% - Colore 5" xfId="21" xr:uid="{00000000-0005-0000-0000-00002C000000}"/>
    <cellStyle name="40% - Colore 5 2" xfId="22" xr:uid="{00000000-0005-0000-0000-00002D000000}"/>
    <cellStyle name="40% - Colore 6" xfId="23" xr:uid="{00000000-0005-0000-0000-00002E000000}"/>
    <cellStyle name="40% - Colore 6 2" xfId="24" xr:uid="{00000000-0005-0000-0000-00002F000000}"/>
    <cellStyle name="5x indented GHG Textfiels" xfId="25" xr:uid="{00000000-0005-0000-0000-000030000000}"/>
    <cellStyle name="60 % - Markeringsfarve1" xfId="1059" xr:uid="{00000000-0005-0000-0000-000031000000}"/>
    <cellStyle name="60 % - Markeringsfarve2" xfId="1060" xr:uid="{00000000-0005-0000-0000-000032000000}"/>
    <cellStyle name="60 % - Markeringsfarve3" xfId="1061" xr:uid="{00000000-0005-0000-0000-000033000000}"/>
    <cellStyle name="60 % - Markeringsfarve4" xfId="1062" xr:uid="{00000000-0005-0000-0000-000034000000}"/>
    <cellStyle name="60 % - Markeringsfarve5" xfId="1063" xr:uid="{00000000-0005-0000-0000-000035000000}"/>
    <cellStyle name="60 % - Markeringsfarve6" xfId="1064" xr:uid="{00000000-0005-0000-0000-000036000000}"/>
    <cellStyle name="60% - Colore 1" xfId="26" xr:uid="{00000000-0005-0000-0000-000037000000}"/>
    <cellStyle name="60% - Colore 2" xfId="27" xr:uid="{00000000-0005-0000-0000-000038000000}"/>
    <cellStyle name="60% - Colore 3" xfId="28" xr:uid="{00000000-0005-0000-0000-000039000000}"/>
    <cellStyle name="60% - Colore 4" xfId="29" xr:uid="{00000000-0005-0000-0000-00003A000000}"/>
    <cellStyle name="60% - Colore 5" xfId="30" xr:uid="{00000000-0005-0000-0000-00003B000000}"/>
    <cellStyle name="60% - Colore 6" xfId="31" xr:uid="{00000000-0005-0000-0000-00003C000000}"/>
    <cellStyle name="AggOrange_CRFReport-template" xfId="32" xr:uid="{00000000-0005-0000-0000-00003D000000}"/>
    <cellStyle name="AggOrange9_CRFReport-template" xfId="33" xr:uid="{00000000-0005-0000-0000-00003E000000}"/>
    <cellStyle name="Bad 2" xfId="34" xr:uid="{00000000-0005-0000-0000-00003F000000}"/>
    <cellStyle name="Bad 3" xfId="35" xr:uid="{00000000-0005-0000-0000-000040000000}"/>
    <cellStyle name="Calcolo" xfId="36" xr:uid="{00000000-0005-0000-0000-000041000000}"/>
    <cellStyle name="Calcolo 2" xfId="37" xr:uid="{00000000-0005-0000-0000-000042000000}"/>
    <cellStyle name="Calcolo 2 2" xfId="1065" xr:uid="{00000000-0005-0000-0000-000043000000}"/>
    <cellStyle name="Calcolo 3" xfId="1066" xr:uid="{00000000-0005-0000-0000-000044000000}"/>
    <cellStyle name="Calculation 2" xfId="38" xr:uid="{00000000-0005-0000-0000-000045000000}"/>
    <cellStyle name="Cella collegata" xfId="39" xr:uid="{00000000-0005-0000-0000-000046000000}"/>
    <cellStyle name="Cella da controllare" xfId="40" xr:uid="{00000000-0005-0000-0000-000047000000}"/>
    <cellStyle name="Colore 1" xfId="41" xr:uid="{00000000-0005-0000-0000-000048000000}"/>
    <cellStyle name="Colore 2" xfId="42" xr:uid="{00000000-0005-0000-0000-000049000000}"/>
    <cellStyle name="Colore 3" xfId="43" xr:uid="{00000000-0005-0000-0000-00004A000000}"/>
    <cellStyle name="Colore 4" xfId="44" xr:uid="{00000000-0005-0000-0000-00004B000000}"/>
    <cellStyle name="Colore 5" xfId="45" xr:uid="{00000000-0005-0000-0000-00004C000000}"/>
    <cellStyle name="Colore 6" xfId="46" xr:uid="{00000000-0005-0000-0000-00004D000000}"/>
    <cellStyle name="Comma 2" xfId="47" xr:uid="{00000000-0005-0000-0000-00004E000000}"/>
    <cellStyle name="Comma 2 2" xfId="48" xr:uid="{00000000-0005-0000-0000-00004F000000}"/>
    <cellStyle name="Comma 2 3" xfId="49" xr:uid="{00000000-0005-0000-0000-000050000000}"/>
    <cellStyle name="Comma 2 3 2" xfId="1067" xr:uid="{00000000-0005-0000-0000-000051000000}"/>
    <cellStyle name="Comma 2 3 2 2" xfId="1068" xr:uid="{00000000-0005-0000-0000-000052000000}"/>
    <cellStyle name="Comma 2 4" xfId="1069" xr:uid="{00000000-0005-0000-0000-000053000000}"/>
    <cellStyle name="Comma 3" xfId="50" xr:uid="{00000000-0005-0000-0000-000054000000}"/>
    <cellStyle name="Comma 4" xfId="51" xr:uid="{00000000-0005-0000-0000-000055000000}"/>
    <cellStyle name="Comma 4 2" xfId="1070" xr:uid="{00000000-0005-0000-0000-000056000000}"/>
    <cellStyle name="Comma 5" xfId="52" xr:uid="{00000000-0005-0000-0000-000057000000}"/>
    <cellStyle name="Comma 6" xfId="1071" xr:uid="{00000000-0005-0000-0000-000058000000}"/>
    <cellStyle name="Comma 7" xfId="2580" xr:uid="{7A6DFFF7-6865-4012-8EA6-31A05A2F2B3F}"/>
    <cellStyle name="Comma0 - Type3" xfId="53" xr:uid="{00000000-0005-0000-0000-000059000000}"/>
    <cellStyle name="CustomizationCells" xfId="54" xr:uid="{00000000-0005-0000-0000-00005A000000}"/>
    <cellStyle name="CustomizationCells 2" xfId="55" xr:uid="{00000000-0005-0000-0000-00005B000000}"/>
    <cellStyle name="Euro" xfId="56" xr:uid="{00000000-0005-0000-0000-00005C000000}"/>
    <cellStyle name="Euro 10" xfId="57" xr:uid="{00000000-0005-0000-0000-00005D000000}"/>
    <cellStyle name="Euro 10 2" xfId="58" xr:uid="{00000000-0005-0000-0000-00005E000000}"/>
    <cellStyle name="Euro 10 3" xfId="59" xr:uid="{00000000-0005-0000-0000-00005F000000}"/>
    <cellStyle name="Euro 10 3 2" xfId="1072" xr:uid="{00000000-0005-0000-0000-000060000000}"/>
    <cellStyle name="Euro 10 3 2 2" xfId="1073" xr:uid="{00000000-0005-0000-0000-000061000000}"/>
    <cellStyle name="Euro 10 4" xfId="1074" xr:uid="{00000000-0005-0000-0000-000062000000}"/>
    <cellStyle name="Euro 10 4 2" xfId="1075" xr:uid="{00000000-0005-0000-0000-000063000000}"/>
    <cellStyle name="Euro 10 5" xfId="1076" xr:uid="{00000000-0005-0000-0000-000064000000}"/>
    <cellStyle name="Euro 11" xfId="60" xr:uid="{00000000-0005-0000-0000-000065000000}"/>
    <cellStyle name="Euro 11 2" xfId="61" xr:uid="{00000000-0005-0000-0000-000066000000}"/>
    <cellStyle name="Euro 11 3" xfId="62" xr:uid="{00000000-0005-0000-0000-000067000000}"/>
    <cellStyle name="Euro 11 3 2" xfId="1077" xr:uid="{00000000-0005-0000-0000-000068000000}"/>
    <cellStyle name="Euro 11 3 2 2" xfId="1078" xr:uid="{00000000-0005-0000-0000-000069000000}"/>
    <cellStyle name="Euro 11 4" xfId="1079" xr:uid="{00000000-0005-0000-0000-00006A000000}"/>
    <cellStyle name="Euro 11 4 2" xfId="1080" xr:uid="{00000000-0005-0000-0000-00006B000000}"/>
    <cellStyle name="Euro 11 5" xfId="1081" xr:uid="{00000000-0005-0000-0000-00006C000000}"/>
    <cellStyle name="Euro 12" xfId="63" xr:uid="{00000000-0005-0000-0000-00006D000000}"/>
    <cellStyle name="Euro 12 2" xfId="64" xr:uid="{00000000-0005-0000-0000-00006E000000}"/>
    <cellStyle name="Euro 12 3" xfId="65" xr:uid="{00000000-0005-0000-0000-00006F000000}"/>
    <cellStyle name="Euro 12 3 2" xfId="1082" xr:uid="{00000000-0005-0000-0000-000070000000}"/>
    <cellStyle name="Euro 12 3 2 2" xfId="1083" xr:uid="{00000000-0005-0000-0000-000071000000}"/>
    <cellStyle name="Euro 12 4" xfId="1084" xr:uid="{00000000-0005-0000-0000-000072000000}"/>
    <cellStyle name="Euro 12 4 2" xfId="1085" xr:uid="{00000000-0005-0000-0000-000073000000}"/>
    <cellStyle name="Euro 12 5" xfId="1086" xr:uid="{00000000-0005-0000-0000-000074000000}"/>
    <cellStyle name="Euro 13" xfId="66" xr:uid="{00000000-0005-0000-0000-000075000000}"/>
    <cellStyle name="Euro 13 2" xfId="67" xr:uid="{00000000-0005-0000-0000-000076000000}"/>
    <cellStyle name="Euro 13 3" xfId="68" xr:uid="{00000000-0005-0000-0000-000077000000}"/>
    <cellStyle name="Euro 13 3 2" xfId="1087" xr:uid="{00000000-0005-0000-0000-000078000000}"/>
    <cellStyle name="Euro 13 3 2 2" xfId="1088" xr:uid="{00000000-0005-0000-0000-000079000000}"/>
    <cellStyle name="Euro 13 4" xfId="1089" xr:uid="{00000000-0005-0000-0000-00007A000000}"/>
    <cellStyle name="Euro 13 4 2" xfId="1090" xr:uid="{00000000-0005-0000-0000-00007B000000}"/>
    <cellStyle name="Euro 13 5" xfId="1091" xr:uid="{00000000-0005-0000-0000-00007C000000}"/>
    <cellStyle name="Euro 14" xfId="69" xr:uid="{00000000-0005-0000-0000-00007D000000}"/>
    <cellStyle name="Euro 14 2" xfId="70" xr:uid="{00000000-0005-0000-0000-00007E000000}"/>
    <cellStyle name="Euro 14 3" xfId="71" xr:uid="{00000000-0005-0000-0000-00007F000000}"/>
    <cellStyle name="Euro 14 3 2" xfId="1092" xr:uid="{00000000-0005-0000-0000-000080000000}"/>
    <cellStyle name="Euro 14 3 2 2" xfId="1093" xr:uid="{00000000-0005-0000-0000-000081000000}"/>
    <cellStyle name="Euro 14 4" xfId="1094" xr:uid="{00000000-0005-0000-0000-000082000000}"/>
    <cellStyle name="Euro 14 4 2" xfId="1095" xr:uid="{00000000-0005-0000-0000-000083000000}"/>
    <cellStyle name="Euro 14 5" xfId="1096" xr:uid="{00000000-0005-0000-0000-000084000000}"/>
    <cellStyle name="Euro 15" xfId="72" xr:uid="{00000000-0005-0000-0000-000085000000}"/>
    <cellStyle name="Euro 15 2" xfId="73" xr:uid="{00000000-0005-0000-0000-000086000000}"/>
    <cellStyle name="Euro 15 3" xfId="74" xr:uid="{00000000-0005-0000-0000-000087000000}"/>
    <cellStyle name="Euro 15 3 2" xfId="1097" xr:uid="{00000000-0005-0000-0000-000088000000}"/>
    <cellStyle name="Euro 15 3 2 2" xfId="1098" xr:uid="{00000000-0005-0000-0000-000089000000}"/>
    <cellStyle name="Euro 15 4" xfId="1099" xr:uid="{00000000-0005-0000-0000-00008A000000}"/>
    <cellStyle name="Euro 15 4 2" xfId="1100" xr:uid="{00000000-0005-0000-0000-00008B000000}"/>
    <cellStyle name="Euro 15 5" xfId="1101" xr:uid="{00000000-0005-0000-0000-00008C000000}"/>
    <cellStyle name="Euro 16" xfId="75" xr:uid="{00000000-0005-0000-0000-00008D000000}"/>
    <cellStyle name="Euro 16 2" xfId="76" xr:uid="{00000000-0005-0000-0000-00008E000000}"/>
    <cellStyle name="Euro 16 3" xfId="77" xr:uid="{00000000-0005-0000-0000-00008F000000}"/>
    <cellStyle name="Euro 16 3 2" xfId="1102" xr:uid="{00000000-0005-0000-0000-000090000000}"/>
    <cellStyle name="Euro 16 3 2 2" xfId="1103" xr:uid="{00000000-0005-0000-0000-000091000000}"/>
    <cellStyle name="Euro 16 4" xfId="1104" xr:uid="{00000000-0005-0000-0000-000092000000}"/>
    <cellStyle name="Euro 16 4 2" xfId="1105" xr:uid="{00000000-0005-0000-0000-000093000000}"/>
    <cellStyle name="Euro 16 5" xfId="1106" xr:uid="{00000000-0005-0000-0000-000094000000}"/>
    <cellStyle name="Euro 17" xfId="78" xr:uid="{00000000-0005-0000-0000-000095000000}"/>
    <cellStyle name="Euro 17 2" xfId="79" xr:uid="{00000000-0005-0000-0000-000096000000}"/>
    <cellStyle name="Euro 17 3" xfId="80" xr:uid="{00000000-0005-0000-0000-000097000000}"/>
    <cellStyle name="Euro 17 3 2" xfId="1107" xr:uid="{00000000-0005-0000-0000-000098000000}"/>
    <cellStyle name="Euro 17 3 2 2" xfId="1108" xr:uid="{00000000-0005-0000-0000-000099000000}"/>
    <cellStyle name="Euro 17 4" xfId="1109" xr:uid="{00000000-0005-0000-0000-00009A000000}"/>
    <cellStyle name="Euro 17 4 2" xfId="1110" xr:uid="{00000000-0005-0000-0000-00009B000000}"/>
    <cellStyle name="Euro 17 5" xfId="1111" xr:uid="{00000000-0005-0000-0000-00009C000000}"/>
    <cellStyle name="Euro 18" xfId="81" xr:uid="{00000000-0005-0000-0000-00009D000000}"/>
    <cellStyle name="Euro 18 2" xfId="82" xr:uid="{00000000-0005-0000-0000-00009E000000}"/>
    <cellStyle name="Euro 18 3" xfId="83" xr:uid="{00000000-0005-0000-0000-00009F000000}"/>
    <cellStyle name="Euro 18 3 2" xfId="1112" xr:uid="{00000000-0005-0000-0000-0000A0000000}"/>
    <cellStyle name="Euro 18 3 2 2" xfId="1113" xr:uid="{00000000-0005-0000-0000-0000A1000000}"/>
    <cellStyle name="Euro 18 4" xfId="1114" xr:uid="{00000000-0005-0000-0000-0000A2000000}"/>
    <cellStyle name="Euro 18 4 2" xfId="1115" xr:uid="{00000000-0005-0000-0000-0000A3000000}"/>
    <cellStyle name="Euro 18 5" xfId="1116" xr:uid="{00000000-0005-0000-0000-0000A4000000}"/>
    <cellStyle name="Euro 19" xfId="84" xr:uid="{00000000-0005-0000-0000-0000A5000000}"/>
    <cellStyle name="Euro 19 2" xfId="85" xr:uid="{00000000-0005-0000-0000-0000A6000000}"/>
    <cellStyle name="Euro 19 3" xfId="86" xr:uid="{00000000-0005-0000-0000-0000A7000000}"/>
    <cellStyle name="Euro 19 3 2" xfId="1117" xr:uid="{00000000-0005-0000-0000-0000A8000000}"/>
    <cellStyle name="Euro 19 3 2 2" xfId="1118" xr:uid="{00000000-0005-0000-0000-0000A9000000}"/>
    <cellStyle name="Euro 19 4" xfId="1119" xr:uid="{00000000-0005-0000-0000-0000AA000000}"/>
    <cellStyle name="Euro 19 4 2" xfId="1120" xr:uid="{00000000-0005-0000-0000-0000AB000000}"/>
    <cellStyle name="Euro 19 5" xfId="1121" xr:uid="{00000000-0005-0000-0000-0000AC000000}"/>
    <cellStyle name="Euro 2" xfId="87" xr:uid="{00000000-0005-0000-0000-0000AD000000}"/>
    <cellStyle name="Euro 2 2" xfId="88" xr:uid="{00000000-0005-0000-0000-0000AE000000}"/>
    <cellStyle name="Euro 2 3" xfId="89" xr:uid="{00000000-0005-0000-0000-0000AF000000}"/>
    <cellStyle name="Euro 2 3 2" xfId="1122" xr:uid="{00000000-0005-0000-0000-0000B0000000}"/>
    <cellStyle name="Euro 2 3 2 2" xfId="1123" xr:uid="{00000000-0005-0000-0000-0000B1000000}"/>
    <cellStyle name="Euro 2 4" xfId="1124" xr:uid="{00000000-0005-0000-0000-0000B2000000}"/>
    <cellStyle name="Euro 2 4 2" xfId="1125" xr:uid="{00000000-0005-0000-0000-0000B3000000}"/>
    <cellStyle name="Euro 2 5" xfId="1126" xr:uid="{00000000-0005-0000-0000-0000B4000000}"/>
    <cellStyle name="Euro 20" xfId="90" xr:uid="{00000000-0005-0000-0000-0000B5000000}"/>
    <cellStyle name="Euro 20 2" xfId="91" xr:uid="{00000000-0005-0000-0000-0000B6000000}"/>
    <cellStyle name="Euro 20 3" xfId="92" xr:uid="{00000000-0005-0000-0000-0000B7000000}"/>
    <cellStyle name="Euro 20 3 2" xfId="1127" xr:uid="{00000000-0005-0000-0000-0000B8000000}"/>
    <cellStyle name="Euro 20 3 2 2" xfId="1128" xr:uid="{00000000-0005-0000-0000-0000B9000000}"/>
    <cellStyle name="Euro 20 4" xfId="1129" xr:uid="{00000000-0005-0000-0000-0000BA000000}"/>
    <cellStyle name="Euro 20 4 2" xfId="1130" xr:uid="{00000000-0005-0000-0000-0000BB000000}"/>
    <cellStyle name="Euro 20 5" xfId="1131" xr:uid="{00000000-0005-0000-0000-0000BC000000}"/>
    <cellStyle name="Euro 21" xfId="93" xr:uid="{00000000-0005-0000-0000-0000BD000000}"/>
    <cellStyle name="Euro 21 2" xfId="94" xr:uid="{00000000-0005-0000-0000-0000BE000000}"/>
    <cellStyle name="Euro 21 3" xfId="95" xr:uid="{00000000-0005-0000-0000-0000BF000000}"/>
    <cellStyle name="Euro 21 3 2" xfId="1132" xr:uid="{00000000-0005-0000-0000-0000C0000000}"/>
    <cellStyle name="Euro 21 3 2 2" xfId="1133" xr:uid="{00000000-0005-0000-0000-0000C1000000}"/>
    <cellStyle name="Euro 21 4" xfId="1134" xr:uid="{00000000-0005-0000-0000-0000C2000000}"/>
    <cellStyle name="Euro 21 4 2" xfId="1135" xr:uid="{00000000-0005-0000-0000-0000C3000000}"/>
    <cellStyle name="Euro 21 5" xfId="1136" xr:uid="{00000000-0005-0000-0000-0000C4000000}"/>
    <cellStyle name="Euro 22" xfId="96" xr:uid="{00000000-0005-0000-0000-0000C5000000}"/>
    <cellStyle name="Euro 22 2" xfId="97" xr:uid="{00000000-0005-0000-0000-0000C6000000}"/>
    <cellStyle name="Euro 22 3" xfId="98" xr:uid="{00000000-0005-0000-0000-0000C7000000}"/>
    <cellStyle name="Euro 22 3 2" xfId="1137" xr:uid="{00000000-0005-0000-0000-0000C8000000}"/>
    <cellStyle name="Euro 22 3 2 2" xfId="1138" xr:uid="{00000000-0005-0000-0000-0000C9000000}"/>
    <cellStyle name="Euro 22 4" xfId="1139" xr:uid="{00000000-0005-0000-0000-0000CA000000}"/>
    <cellStyle name="Euro 22 4 2" xfId="1140" xr:uid="{00000000-0005-0000-0000-0000CB000000}"/>
    <cellStyle name="Euro 22 5" xfId="1141" xr:uid="{00000000-0005-0000-0000-0000CC000000}"/>
    <cellStyle name="Euro 23" xfId="99" xr:uid="{00000000-0005-0000-0000-0000CD000000}"/>
    <cellStyle name="Euro 23 2" xfId="100" xr:uid="{00000000-0005-0000-0000-0000CE000000}"/>
    <cellStyle name="Euro 23 3" xfId="101" xr:uid="{00000000-0005-0000-0000-0000CF000000}"/>
    <cellStyle name="Euro 23 3 2" xfId="1142" xr:uid="{00000000-0005-0000-0000-0000D0000000}"/>
    <cellStyle name="Euro 23 3 2 2" xfId="1143" xr:uid="{00000000-0005-0000-0000-0000D1000000}"/>
    <cellStyle name="Euro 23 4" xfId="1144" xr:uid="{00000000-0005-0000-0000-0000D2000000}"/>
    <cellStyle name="Euro 23 4 2" xfId="1145" xr:uid="{00000000-0005-0000-0000-0000D3000000}"/>
    <cellStyle name="Euro 23 5" xfId="1146" xr:uid="{00000000-0005-0000-0000-0000D4000000}"/>
    <cellStyle name="Euro 24" xfId="102" xr:uid="{00000000-0005-0000-0000-0000D5000000}"/>
    <cellStyle name="Euro 24 2" xfId="103" xr:uid="{00000000-0005-0000-0000-0000D6000000}"/>
    <cellStyle name="Euro 24 3" xfId="104" xr:uid="{00000000-0005-0000-0000-0000D7000000}"/>
    <cellStyle name="Euro 24 3 2" xfId="1147" xr:uid="{00000000-0005-0000-0000-0000D8000000}"/>
    <cellStyle name="Euro 24 3 2 2" xfId="1148" xr:uid="{00000000-0005-0000-0000-0000D9000000}"/>
    <cellStyle name="Euro 24 4" xfId="1149" xr:uid="{00000000-0005-0000-0000-0000DA000000}"/>
    <cellStyle name="Euro 24 4 2" xfId="1150" xr:uid="{00000000-0005-0000-0000-0000DB000000}"/>
    <cellStyle name="Euro 24 5" xfId="1151" xr:uid="{00000000-0005-0000-0000-0000DC000000}"/>
    <cellStyle name="Euro 25" xfId="105" xr:uid="{00000000-0005-0000-0000-0000DD000000}"/>
    <cellStyle name="Euro 25 2" xfId="106" xr:uid="{00000000-0005-0000-0000-0000DE000000}"/>
    <cellStyle name="Euro 25 3" xfId="107" xr:uid="{00000000-0005-0000-0000-0000DF000000}"/>
    <cellStyle name="Euro 25 3 2" xfId="1152" xr:uid="{00000000-0005-0000-0000-0000E0000000}"/>
    <cellStyle name="Euro 25 3 2 2" xfId="1153" xr:uid="{00000000-0005-0000-0000-0000E1000000}"/>
    <cellStyle name="Euro 25 4" xfId="1154" xr:uid="{00000000-0005-0000-0000-0000E2000000}"/>
    <cellStyle name="Euro 25 4 2" xfId="1155" xr:uid="{00000000-0005-0000-0000-0000E3000000}"/>
    <cellStyle name="Euro 25 5" xfId="1156" xr:uid="{00000000-0005-0000-0000-0000E4000000}"/>
    <cellStyle name="Euro 26" xfId="108" xr:uid="{00000000-0005-0000-0000-0000E5000000}"/>
    <cellStyle name="Euro 26 2" xfId="109" xr:uid="{00000000-0005-0000-0000-0000E6000000}"/>
    <cellStyle name="Euro 26 3" xfId="110" xr:uid="{00000000-0005-0000-0000-0000E7000000}"/>
    <cellStyle name="Euro 26 3 2" xfId="1157" xr:uid="{00000000-0005-0000-0000-0000E8000000}"/>
    <cellStyle name="Euro 26 3 2 2" xfId="1158" xr:uid="{00000000-0005-0000-0000-0000E9000000}"/>
    <cellStyle name="Euro 26 4" xfId="1159" xr:uid="{00000000-0005-0000-0000-0000EA000000}"/>
    <cellStyle name="Euro 26 4 2" xfId="1160" xr:uid="{00000000-0005-0000-0000-0000EB000000}"/>
    <cellStyle name="Euro 26 5" xfId="1161" xr:uid="{00000000-0005-0000-0000-0000EC000000}"/>
    <cellStyle name="Euro 27" xfId="111" xr:uid="{00000000-0005-0000-0000-0000ED000000}"/>
    <cellStyle name="Euro 27 2" xfId="112" xr:uid="{00000000-0005-0000-0000-0000EE000000}"/>
    <cellStyle name="Euro 27 3" xfId="113" xr:uid="{00000000-0005-0000-0000-0000EF000000}"/>
    <cellStyle name="Euro 27 3 2" xfId="1162" xr:uid="{00000000-0005-0000-0000-0000F0000000}"/>
    <cellStyle name="Euro 27 3 2 2" xfId="1163" xr:uid="{00000000-0005-0000-0000-0000F1000000}"/>
    <cellStyle name="Euro 27 4" xfId="1164" xr:uid="{00000000-0005-0000-0000-0000F2000000}"/>
    <cellStyle name="Euro 27 4 2" xfId="1165" xr:uid="{00000000-0005-0000-0000-0000F3000000}"/>
    <cellStyle name="Euro 27 5" xfId="1166" xr:uid="{00000000-0005-0000-0000-0000F4000000}"/>
    <cellStyle name="Euro 28" xfId="114" xr:uid="{00000000-0005-0000-0000-0000F5000000}"/>
    <cellStyle name="Euro 28 2" xfId="115" xr:uid="{00000000-0005-0000-0000-0000F6000000}"/>
    <cellStyle name="Euro 28 3" xfId="116" xr:uid="{00000000-0005-0000-0000-0000F7000000}"/>
    <cellStyle name="Euro 28 3 2" xfId="1167" xr:uid="{00000000-0005-0000-0000-0000F8000000}"/>
    <cellStyle name="Euro 28 3 2 2" xfId="1168" xr:uid="{00000000-0005-0000-0000-0000F9000000}"/>
    <cellStyle name="Euro 28 4" xfId="1169" xr:uid="{00000000-0005-0000-0000-0000FA000000}"/>
    <cellStyle name="Euro 28 4 2" xfId="1170" xr:uid="{00000000-0005-0000-0000-0000FB000000}"/>
    <cellStyle name="Euro 28 5" xfId="1171" xr:uid="{00000000-0005-0000-0000-0000FC000000}"/>
    <cellStyle name="Euro 29" xfId="117" xr:uid="{00000000-0005-0000-0000-0000FD000000}"/>
    <cellStyle name="Euro 29 2" xfId="118" xr:uid="{00000000-0005-0000-0000-0000FE000000}"/>
    <cellStyle name="Euro 29 3" xfId="119" xr:uid="{00000000-0005-0000-0000-0000FF000000}"/>
    <cellStyle name="Euro 29 3 2" xfId="1172" xr:uid="{00000000-0005-0000-0000-000000010000}"/>
    <cellStyle name="Euro 29 3 2 2" xfId="1173" xr:uid="{00000000-0005-0000-0000-000001010000}"/>
    <cellStyle name="Euro 29 4" xfId="1174" xr:uid="{00000000-0005-0000-0000-000002010000}"/>
    <cellStyle name="Euro 29 4 2" xfId="1175" xr:uid="{00000000-0005-0000-0000-000003010000}"/>
    <cellStyle name="Euro 29 5" xfId="1176" xr:uid="{00000000-0005-0000-0000-000004010000}"/>
    <cellStyle name="Euro 3" xfId="120" xr:uid="{00000000-0005-0000-0000-000005010000}"/>
    <cellStyle name="Euro 3 2" xfId="121" xr:uid="{00000000-0005-0000-0000-000006010000}"/>
    <cellStyle name="Euro 3 3" xfId="122" xr:uid="{00000000-0005-0000-0000-000007010000}"/>
    <cellStyle name="Euro 3 3 2" xfId="1177" xr:uid="{00000000-0005-0000-0000-000008010000}"/>
    <cellStyle name="Euro 3 3 2 2" xfId="1178" xr:uid="{00000000-0005-0000-0000-000009010000}"/>
    <cellStyle name="Euro 3 4" xfId="1179" xr:uid="{00000000-0005-0000-0000-00000A010000}"/>
    <cellStyle name="Euro 3 4 2" xfId="1180" xr:uid="{00000000-0005-0000-0000-00000B010000}"/>
    <cellStyle name="Euro 3 5" xfId="1181" xr:uid="{00000000-0005-0000-0000-00000C010000}"/>
    <cellStyle name="Euro 30" xfId="123" xr:uid="{00000000-0005-0000-0000-00000D010000}"/>
    <cellStyle name="Euro 30 2" xfId="124" xr:uid="{00000000-0005-0000-0000-00000E010000}"/>
    <cellStyle name="Euro 30 3" xfId="125" xr:uid="{00000000-0005-0000-0000-00000F010000}"/>
    <cellStyle name="Euro 30 3 2" xfId="1182" xr:uid="{00000000-0005-0000-0000-000010010000}"/>
    <cellStyle name="Euro 30 3 2 2" xfId="1183" xr:uid="{00000000-0005-0000-0000-000011010000}"/>
    <cellStyle name="Euro 30 4" xfId="1184" xr:uid="{00000000-0005-0000-0000-000012010000}"/>
    <cellStyle name="Euro 30 4 2" xfId="1185" xr:uid="{00000000-0005-0000-0000-000013010000}"/>
    <cellStyle name="Euro 30 5" xfId="1186" xr:uid="{00000000-0005-0000-0000-000014010000}"/>
    <cellStyle name="Euro 31" xfId="126" xr:uid="{00000000-0005-0000-0000-000015010000}"/>
    <cellStyle name="Euro 31 2" xfId="127" xr:uid="{00000000-0005-0000-0000-000016010000}"/>
    <cellStyle name="Euro 31 3" xfId="128" xr:uid="{00000000-0005-0000-0000-000017010000}"/>
    <cellStyle name="Euro 31 3 2" xfId="1187" xr:uid="{00000000-0005-0000-0000-000018010000}"/>
    <cellStyle name="Euro 31 3 2 2" xfId="1188" xr:uid="{00000000-0005-0000-0000-000019010000}"/>
    <cellStyle name="Euro 31 4" xfId="1189" xr:uid="{00000000-0005-0000-0000-00001A010000}"/>
    <cellStyle name="Euro 31 4 2" xfId="1190" xr:uid="{00000000-0005-0000-0000-00001B010000}"/>
    <cellStyle name="Euro 31 5" xfId="1191" xr:uid="{00000000-0005-0000-0000-00001C010000}"/>
    <cellStyle name="Euro 32" xfId="129" xr:uid="{00000000-0005-0000-0000-00001D010000}"/>
    <cellStyle name="Euro 32 2" xfId="130" xr:uid="{00000000-0005-0000-0000-00001E010000}"/>
    <cellStyle name="Euro 32 3" xfId="131" xr:uid="{00000000-0005-0000-0000-00001F010000}"/>
    <cellStyle name="Euro 32 3 2" xfId="1192" xr:uid="{00000000-0005-0000-0000-000020010000}"/>
    <cellStyle name="Euro 32 3 2 2" xfId="1193" xr:uid="{00000000-0005-0000-0000-000021010000}"/>
    <cellStyle name="Euro 32 4" xfId="1194" xr:uid="{00000000-0005-0000-0000-000022010000}"/>
    <cellStyle name="Euro 32 4 2" xfId="1195" xr:uid="{00000000-0005-0000-0000-000023010000}"/>
    <cellStyle name="Euro 32 5" xfId="1196" xr:uid="{00000000-0005-0000-0000-000024010000}"/>
    <cellStyle name="Euro 33" xfId="132" xr:uid="{00000000-0005-0000-0000-000025010000}"/>
    <cellStyle name="Euro 33 2" xfId="133" xr:uid="{00000000-0005-0000-0000-000026010000}"/>
    <cellStyle name="Euro 33 3" xfId="134" xr:uid="{00000000-0005-0000-0000-000027010000}"/>
    <cellStyle name="Euro 33 3 2" xfId="1197" xr:uid="{00000000-0005-0000-0000-000028010000}"/>
    <cellStyle name="Euro 33 3 2 2" xfId="1198" xr:uid="{00000000-0005-0000-0000-000029010000}"/>
    <cellStyle name="Euro 33 4" xfId="1199" xr:uid="{00000000-0005-0000-0000-00002A010000}"/>
    <cellStyle name="Euro 33 4 2" xfId="1200" xr:uid="{00000000-0005-0000-0000-00002B010000}"/>
    <cellStyle name="Euro 33 5" xfId="1201" xr:uid="{00000000-0005-0000-0000-00002C010000}"/>
    <cellStyle name="Euro 34" xfId="135" xr:uid="{00000000-0005-0000-0000-00002D010000}"/>
    <cellStyle name="Euro 34 2" xfId="136" xr:uid="{00000000-0005-0000-0000-00002E010000}"/>
    <cellStyle name="Euro 34 3" xfId="137" xr:uid="{00000000-0005-0000-0000-00002F010000}"/>
    <cellStyle name="Euro 34 3 2" xfId="1202" xr:uid="{00000000-0005-0000-0000-000030010000}"/>
    <cellStyle name="Euro 34 3 2 2" xfId="1203" xr:uid="{00000000-0005-0000-0000-000031010000}"/>
    <cellStyle name="Euro 34 4" xfId="1204" xr:uid="{00000000-0005-0000-0000-000032010000}"/>
    <cellStyle name="Euro 34 4 2" xfId="1205" xr:uid="{00000000-0005-0000-0000-000033010000}"/>
    <cellStyle name="Euro 34 5" xfId="1206" xr:uid="{00000000-0005-0000-0000-000034010000}"/>
    <cellStyle name="Euro 35" xfId="138" xr:uid="{00000000-0005-0000-0000-000035010000}"/>
    <cellStyle name="Euro 35 2" xfId="139" xr:uid="{00000000-0005-0000-0000-000036010000}"/>
    <cellStyle name="Euro 35 3" xfId="140" xr:uid="{00000000-0005-0000-0000-000037010000}"/>
    <cellStyle name="Euro 35 3 2" xfId="1207" xr:uid="{00000000-0005-0000-0000-000038010000}"/>
    <cellStyle name="Euro 35 3 2 2" xfId="1208" xr:uid="{00000000-0005-0000-0000-000039010000}"/>
    <cellStyle name="Euro 35 4" xfId="1209" xr:uid="{00000000-0005-0000-0000-00003A010000}"/>
    <cellStyle name="Euro 35 4 2" xfId="1210" xr:uid="{00000000-0005-0000-0000-00003B010000}"/>
    <cellStyle name="Euro 35 5" xfId="1211" xr:uid="{00000000-0005-0000-0000-00003C010000}"/>
    <cellStyle name="Euro 36" xfId="141" xr:uid="{00000000-0005-0000-0000-00003D010000}"/>
    <cellStyle name="Euro 36 2" xfId="142" xr:uid="{00000000-0005-0000-0000-00003E010000}"/>
    <cellStyle name="Euro 36 3" xfId="143" xr:uid="{00000000-0005-0000-0000-00003F010000}"/>
    <cellStyle name="Euro 36 3 2" xfId="1212" xr:uid="{00000000-0005-0000-0000-000040010000}"/>
    <cellStyle name="Euro 36 3 2 2" xfId="1213" xr:uid="{00000000-0005-0000-0000-000041010000}"/>
    <cellStyle name="Euro 36 4" xfId="1214" xr:uid="{00000000-0005-0000-0000-000042010000}"/>
    <cellStyle name="Euro 36 4 2" xfId="1215" xr:uid="{00000000-0005-0000-0000-000043010000}"/>
    <cellStyle name="Euro 36 5" xfId="1216" xr:uid="{00000000-0005-0000-0000-000044010000}"/>
    <cellStyle name="Euro 37" xfId="144" xr:uid="{00000000-0005-0000-0000-000045010000}"/>
    <cellStyle name="Euro 37 2" xfId="145" xr:uid="{00000000-0005-0000-0000-000046010000}"/>
    <cellStyle name="Euro 37 3" xfId="146" xr:uid="{00000000-0005-0000-0000-000047010000}"/>
    <cellStyle name="Euro 37 3 2" xfId="1217" xr:uid="{00000000-0005-0000-0000-000048010000}"/>
    <cellStyle name="Euro 37 3 2 2" xfId="1218" xr:uid="{00000000-0005-0000-0000-000049010000}"/>
    <cellStyle name="Euro 37 4" xfId="1219" xr:uid="{00000000-0005-0000-0000-00004A010000}"/>
    <cellStyle name="Euro 37 4 2" xfId="1220" xr:uid="{00000000-0005-0000-0000-00004B010000}"/>
    <cellStyle name="Euro 37 5" xfId="1221" xr:uid="{00000000-0005-0000-0000-00004C010000}"/>
    <cellStyle name="Euro 38" xfId="147" xr:uid="{00000000-0005-0000-0000-00004D010000}"/>
    <cellStyle name="Euro 38 2" xfId="148" xr:uid="{00000000-0005-0000-0000-00004E010000}"/>
    <cellStyle name="Euro 38 3" xfId="149" xr:uid="{00000000-0005-0000-0000-00004F010000}"/>
    <cellStyle name="Euro 38 3 2" xfId="1222" xr:uid="{00000000-0005-0000-0000-000050010000}"/>
    <cellStyle name="Euro 38 3 2 2" xfId="1223" xr:uid="{00000000-0005-0000-0000-000051010000}"/>
    <cellStyle name="Euro 38 4" xfId="1224" xr:uid="{00000000-0005-0000-0000-000052010000}"/>
    <cellStyle name="Euro 38 4 2" xfId="1225" xr:uid="{00000000-0005-0000-0000-000053010000}"/>
    <cellStyle name="Euro 38 5" xfId="1226" xr:uid="{00000000-0005-0000-0000-000054010000}"/>
    <cellStyle name="Euro 39" xfId="150" xr:uid="{00000000-0005-0000-0000-000055010000}"/>
    <cellStyle name="Euro 39 2" xfId="151" xr:uid="{00000000-0005-0000-0000-000056010000}"/>
    <cellStyle name="Euro 39 3" xfId="152" xr:uid="{00000000-0005-0000-0000-000057010000}"/>
    <cellStyle name="Euro 39 3 2" xfId="1227" xr:uid="{00000000-0005-0000-0000-000058010000}"/>
    <cellStyle name="Euro 39 3 2 2" xfId="1228" xr:uid="{00000000-0005-0000-0000-000059010000}"/>
    <cellStyle name="Euro 39 4" xfId="1229" xr:uid="{00000000-0005-0000-0000-00005A010000}"/>
    <cellStyle name="Euro 39 4 2" xfId="1230" xr:uid="{00000000-0005-0000-0000-00005B010000}"/>
    <cellStyle name="Euro 39 5" xfId="1231" xr:uid="{00000000-0005-0000-0000-00005C010000}"/>
    <cellStyle name="Euro 4" xfId="153" xr:uid="{00000000-0005-0000-0000-00005D010000}"/>
    <cellStyle name="Euro 4 2" xfId="154" xr:uid="{00000000-0005-0000-0000-00005E010000}"/>
    <cellStyle name="Euro 4 3" xfId="155" xr:uid="{00000000-0005-0000-0000-00005F010000}"/>
    <cellStyle name="Euro 4 3 2" xfId="1232" xr:uid="{00000000-0005-0000-0000-000060010000}"/>
    <cellStyle name="Euro 4 3 2 2" xfId="1233" xr:uid="{00000000-0005-0000-0000-000061010000}"/>
    <cellStyle name="Euro 4 4" xfId="1234" xr:uid="{00000000-0005-0000-0000-000062010000}"/>
    <cellStyle name="Euro 4 4 2" xfId="1235" xr:uid="{00000000-0005-0000-0000-000063010000}"/>
    <cellStyle name="Euro 4 5" xfId="1236" xr:uid="{00000000-0005-0000-0000-000064010000}"/>
    <cellStyle name="Euro 40" xfId="156" xr:uid="{00000000-0005-0000-0000-000065010000}"/>
    <cellStyle name="Euro 40 2" xfId="157" xr:uid="{00000000-0005-0000-0000-000066010000}"/>
    <cellStyle name="Euro 40 3" xfId="158" xr:uid="{00000000-0005-0000-0000-000067010000}"/>
    <cellStyle name="Euro 40 3 2" xfId="1237" xr:uid="{00000000-0005-0000-0000-000068010000}"/>
    <cellStyle name="Euro 40 3 2 2" xfId="1238" xr:uid="{00000000-0005-0000-0000-000069010000}"/>
    <cellStyle name="Euro 40 4" xfId="1239" xr:uid="{00000000-0005-0000-0000-00006A010000}"/>
    <cellStyle name="Euro 40 4 2" xfId="1240" xr:uid="{00000000-0005-0000-0000-00006B010000}"/>
    <cellStyle name="Euro 40 5" xfId="1241" xr:uid="{00000000-0005-0000-0000-00006C010000}"/>
    <cellStyle name="Euro 41" xfId="159" xr:uid="{00000000-0005-0000-0000-00006D010000}"/>
    <cellStyle name="Euro 41 2" xfId="160" xr:uid="{00000000-0005-0000-0000-00006E010000}"/>
    <cellStyle name="Euro 41 3" xfId="161" xr:uid="{00000000-0005-0000-0000-00006F010000}"/>
    <cellStyle name="Euro 41 3 2" xfId="1242" xr:uid="{00000000-0005-0000-0000-000070010000}"/>
    <cellStyle name="Euro 41 3 2 2" xfId="1243" xr:uid="{00000000-0005-0000-0000-000071010000}"/>
    <cellStyle name="Euro 41 4" xfId="1244" xr:uid="{00000000-0005-0000-0000-000072010000}"/>
    <cellStyle name="Euro 41 4 2" xfId="1245" xr:uid="{00000000-0005-0000-0000-000073010000}"/>
    <cellStyle name="Euro 41 5" xfId="1246" xr:uid="{00000000-0005-0000-0000-000074010000}"/>
    <cellStyle name="Euro 42" xfId="162" xr:uid="{00000000-0005-0000-0000-000075010000}"/>
    <cellStyle name="Euro 42 2" xfId="163" xr:uid="{00000000-0005-0000-0000-000076010000}"/>
    <cellStyle name="Euro 42 3" xfId="164" xr:uid="{00000000-0005-0000-0000-000077010000}"/>
    <cellStyle name="Euro 42 3 2" xfId="1247" xr:uid="{00000000-0005-0000-0000-000078010000}"/>
    <cellStyle name="Euro 42 3 2 2" xfId="1248" xr:uid="{00000000-0005-0000-0000-000079010000}"/>
    <cellStyle name="Euro 42 4" xfId="1249" xr:uid="{00000000-0005-0000-0000-00007A010000}"/>
    <cellStyle name="Euro 42 4 2" xfId="1250" xr:uid="{00000000-0005-0000-0000-00007B010000}"/>
    <cellStyle name="Euro 42 5" xfId="1251" xr:uid="{00000000-0005-0000-0000-00007C010000}"/>
    <cellStyle name="Euro 43" xfId="165" xr:uid="{00000000-0005-0000-0000-00007D010000}"/>
    <cellStyle name="Euro 43 2" xfId="166" xr:uid="{00000000-0005-0000-0000-00007E010000}"/>
    <cellStyle name="Euro 43 3" xfId="167" xr:uid="{00000000-0005-0000-0000-00007F010000}"/>
    <cellStyle name="Euro 43 3 2" xfId="1252" xr:uid="{00000000-0005-0000-0000-000080010000}"/>
    <cellStyle name="Euro 43 3 2 2" xfId="1253" xr:uid="{00000000-0005-0000-0000-000081010000}"/>
    <cellStyle name="Euro 43 4" xfId="1254" xr:uid="{00000000-0005-0000-0000-000082010000}"/>
    <cellStyle name="Euro 43 4 2" xfId="1255" xr:uid="{00000000-0005-0000-0000-000083010000}"/>
    <cellStyle name="Euro 43 5" xfId="1256" xr:uid="{00000000-0005-0000-0000-000084010000}"/>
    <cellStyle name="Euro 44" xfId="168" xr:uid="{00000000-0005-0000-0000-000085010000}"/>
    <cellStyle name="Euro 44 2" xfId="169" xr:uid="{00000000-0005-0000-0000-000086010000}"/>
    <cellStyle name="Euro 44 3" xfId="170" xr:uid="{00000000-0005-0000-0000-000087010000}"/>
    <cellStyle name="Euro 44 3 2" xfId="1257" xr:uid="{00000000-0005-0000-0000-000088010000}"/>
    <cellStyle name="Euro 44 3 2 2" xfId="1258" xr:uid="{00000000-0005-0000-0000-000089010000}"/>
    <cellStyle name="Euro 44 4" xfId="1259" xr:uid="{00000000-0005-0000-0000-00008A010000}"/>
    <cellStyle name="Euro 44 4 2" xfId="1260" xr:uid="{00000000-0005-0000-0000-00008B010000}"/>
    <cellStyle name="Euro 44 5" xfId="1261" xr:uid="{00000000-0005-0000-0000-00008C010000}"/>
    <cellStyle name="Euro 45" xfId="171" xr:uid="{00000000-0005-0000-0000-00008D010000}"/>
    <cellStyle name="Euro 45 2" xfId="172" xr:uid="{00000000-0005-0000-0000-00008E010000}"/>
    <cellStyle name="Euro 46" xfId="173" xr:uid="{00000000-0005-0000-0000-00008F010000}"/>
    <cellStyle name="Euro 46 2" xfId="174" xr:uid="{00000000-0005-0000-0000-000090010000}"/>
    <cellStyle name="Euro 47" xfId="175" xr:uid="{00000000-0005-0000-0000-000091010000}"/>
    <cellStyle name="Euro 47 2" xfId="1262" xr:uid="{00000000-0005-0000-0000-000092010000}"/>
    <cellStyle name="Euro 47 2 2" xfId="1263" xr:uid="{00000000-0005-0000-0000-000093010000}"/>
    <cellStyle name="Euro 48" xfId="176" xr:uid="{00000000-0005-0000-0000-000094010000}"/>
    <cellStyle name="Euro 49" xfId="1264" xr:uid="{00000000-0005-0000-0000-000095010000}"/>
    <cellStyle name="Euro 49 2" xfId="1265" xr:uid="{00000000-0005-0000-0000-000096010000}"/>
    <cellStyle name="Euro 5" xfId="177" xr:uid="{00000000-0005-0000-0000-000097010000}"/>
    <cellStyle name="Euro 5 2" xfId="178" xr:uid="{00000000-0005-0000-0000-000098010000}"/>
    <cellStyle name="Euro 5 3" xfId="179" xr:uid="{00000000-0005-0000-0000-000099010000}"/>
    <cellStyle name="Euro 5 3 2" xfId="1266" xr:uid="{00000000-0005-0000-0000-00009A010000}"/>
    <cellStyle name="Euro 5 3 2 2" xfId="1267" xr:uid="{00000000-0005-0000-0000-00009B010000}"/>
    <cellStyle name="Euro 5 4" xfId="1268" xr:uid="{00000000-0005-0000-0000-00009C010000}"/>
    <cellStyle name="Euro 5 4 2" xfId="1269" xr:uid="{00000000-0005-0000-0000-00009D010000}"/>
    <cellStyle name="Euro 5 5" xfId="1270" xr:uid="{00000000-0005-0000-0000-00009E010000}"/>
    <cellStyle name="Euro 50" xfId="1271" xr:uid="{00000000-0005-0000-0000-00009F010000}"/>
    <cellStyle name="Euro 6" xfId="180" xr:uid="{00000000-0005-0000-0000-0000A0010000}"/>
    <cellStyle name="Euro 6 2" xfId="181" xr:uid="{00000000-0005-0000-0000-0000A1010000}"/>
    <cellStyle name="Euro 6 3" xfId="182" xr:uid="{00000000-0005-0000-0000-0000A2010000}"/>
    <cellStyle name="Euro 6 3 2" xfId="1272" xr:uid="{00000000-0005-0000-0000-0000A3010000}"/>
    <cellStyle name="Euro 6 3 2 2" xfId="1273" xr:uid="{00000000-0005-0000-0000-0000A4010000}"/>
    <cellStyle name="Euro 6 4" xfId="1274" xr:uid="{00000000-0005-0000-0000-0000A5010000}"/>
    <cellStyle name="Euro 6 4 2" xfId="1275" xr:uid="{00000000-0005-0000-0000-0000A6010000}"/>
    <cellStyle name="Euro 6 5" xfId="1276" xr:uid="{00000000-0005-0000-0000-0000A7010000}"/>
    <cellStyle name="Euro 7" xfId="183" xr:uid="{00000000-0005-0000-0000-0000A8010000}"/>
    <cellStyle name="Euro 7 2" xfId="184" xr:uid="{00000000-0005-0000-0000-0000A9010000}"/>
    <cellStyle name="Euro 7 3" xfId="185" xr:uid="{00000000-0005-0000-0000-0000AA010000}"/>
    <cellStyle name="Euro 7 3 2" xfId="1277" xr:uid="{00000000-0005-0000-0000-0000AB010000}"/>
    <cellStyle name="Euro 7 3 2 2" xfId="1278" xr:uid="{00000000-0005-0000-0000-0000AC010000}"/>
    <cellStyle name="Euro 7 4" xfId="1279" xr:uid="{00000000-0005-0000-0000-0000AD010000}"/>
    <cellStyle name="Euro 7 4 2" xfId="1280" xr:uid="{00000000-0005-0000-0000-0000AE010000}"/>
    <cellStyle name="Euro 7 5" xfId="1281" xr:uid="{00000000-0005-0000-0000-0000AF010000}"/>
    <cellStyle name="Euro 8" xfId="186" xr:uid="{00000000-0005-0000-0000-0000B0010000}"/>
    <cellStyle name="Euro 8 2" xfId="187" xr:uid="{00000000-0005-0000-0000-0000B1010000}"/>
    <cellStyle name="Euro 8 3" xfId="188" xr:uid="{00000000-0005-0000-0000-0000B2010000}"/>
    <cellStyle name="Euro 8 3 2" xfId="1282" xr:uid="{00000000-0005-0000-0000-0000B3010000}"/>
    <cellStyle name="Euro 8 3 2 2" xfId="1283" xr:uid="{00000000-0005-0000-0000-0000B4010000}"/>
    <cellStyle name="Euro 8 4" xfId="1284" xr:uid="{00000000-0005-0000-0000-0000B5010000}"/>
    <cellStyle name="Euro 8 4 2" xfId="1285" xr:uid="{00000000-0005-0000-0000-0000B6010000}"/>
    <cellStyle name="Euro 8 5" xfId="1286" xr:uid="{00000000-0005-0000-0000-0000B7010000}"/>
    <cellStyle name="Euro 9" xfId="189" xr:uid="{00000000-0005-0000-0000-0000B8010000}"/>
    <cellStyle name="Euro 9 2" xfId="190" xr:uid="{00000000-0005-0000-0000-0000B9010000}"/>
    <cellStyle name="Euro 9 3" xfId="191" xr:uid="{00000000-0005-0000-0000-0000BA010000}"/>
    <cellStyle name="Euro 9 3 2" xfId="1287" xr:uid="{00000000-0005-0000-0000-0000BB010000}"/>
    <cellStyle name="Euro 9 3 2 2" xfId="1288" xr:uid="{00000000-0005-0000-0000-0000BC010000}"/>
    <cellStyle name="Euro 9 4" xfId="1289" xr:uid="{00000000-0005-0000-0000-0000BD010000}"/>
    <cellStyle name="Euro 9 4 2" xfId="1290" xr:uid="{00000000-0005-0000-0000-0000BE010000}"/>
    <cellStyle name="Euro 9 5" xfId="1291" xr:uid="{00000000-0005-0000-0000-0000BF010000}"/>
    <cellStyle name="Fixed2 - Type2" xfId="192" xr:uid="{00000000-0005-0000-0000-0000C0010000}"/>
    <cellStyle name="Good 2" xfId="1292" xr:uid="{00000000-0005-0000-0000-0000C1010000}"/>
    <cellStyle name="Hyperlink" xfId="2578" builtinId="8"/>
    <cellStyle name="Hyperlink 2" xfId="1293" xr:uid="{00000000-0005-0000-0000-0000C2010000}"/>
    <cellStyle name="Input 2" xfId="193" xr:uid="{00000000-0005-0000-0000-0000C3010000}"/>
    <cellStyle name="Input 2 2" xfId="194" xr:uid="{00000000-0005-0000-0000-0000C4010000}"/>
    <cellStyle name="Input 2 2 2" xfId="1294" xr:uid="{00000000-0005-0000-0000-0000C5010000}"/>
    <cellStyle name="Input 2 3" xfId="1295" xr:uid="{00000000-0005-0000-0000-0000C6010000}"/>
    <cellStyle name="Input 3" xfId="195" xr:uid="{00000000-0005-0000-0000-0000C7010000}"/>
    <cellStyle name="Input 3 2" xfId="1296" xr:uid="{00000000-0005-0000-0000-0000C8010000}"/>
    <cellStyle name="InputCells" xfId="196" xr:uid="{00000000-0005-0000-0000-0000C9010000}"/>
    <cellStyle name="Komma 2" xfId="1297" xr:uid="{00000000-0005-0000-0000-0000CA010000}"/>
    <cellStyle name="Kontroller celle" xfId="1298" xr:uid="{00000000-0005-0000-0000-0000CB010000}"/>
    <cellStyle name="Markeringsfarve1" xfId="1299" xr:uid="{00000000-0005-0000-0000-0000CC010000}"/>
    <cellStyle name="Markeringsfarve2" xfId="1300" xr:uid="{00000000-0005-0000-0000-0000CD010000}"/>
    <cellStyle name="Markeringsfarve3" xfId="1301" xr:uid="{00000000-0005-0000-0000-0000CE010000}"/>
    <cellStyle name="Markeringsfarve4" xfId="1302" xr:uid="{00000000-0005-0000-0000-0000CF010000}"/>
    <cellStyle name="Markeringsfarve5" xfId="1303" xr:uid="{00000000-0005-0000-0000-0000D0010000}"/>
    <cellStyle name="Markeringsfarve6" xfId="1304" xr:uid="{00000000-0005-0000-0000-0000D1010000}"/>
    <cellStyle name="Migliaia [0] 10" xfId="197" xr:uid="{00000000-0005-0000-0000-0000D2010000}"/>
    <cellStyle name="Migliaia [0] 10 2" xfId="1305" xr:uid="{00000000-0005-0000-0000-0000D3010000}"/>
    <cellStyle name="Migliaia [0] 10 2 2" xfId="1306" xr:uid="{00000000-0005-0000-0000-0000D4010000}"/>
    <cellStyle name="Migliaia [0] 10 3" xfId="1307" xr:uid="{00000000-0005-0000-0000-0000D5010000}"/>
    <cellStyle name="Migliaia [0] 11" xfId="198" xr:uid="{00000000-0005-0000-0000-0000D6010000}"/>
    <cellStyle name="Migliaia [0] 11 2" xfId="1308" xr:uid="{00000000-0005-0000-0000-0000D7010000}"/>
    <cellStyle name="Migliaia [0] 11 2 2" xfId="1309" xr:uid="{00000000-0005-0000-0000-0000D8010000}"/>
    <cellStyle name="Migliaia [0] 11 3" xfId="1310" xr:uid="{00000000-0005-0000-0000-0000D9010000}"/>
    <cellStyle name="Migliaia [0] 12" xfId="199" xr:uid="{00000000-0005-0000-0000-0000DA010000}"/>
    <cellStyle name="Migliaia [0] 12 2" xfId="1311" xr:uid="{00000000-0005-0000-0000-0000DB010000}"/>
    <cellStyle name="Migliaia [0] 12 2 2" xfId="1312" xr:uid="{00000000-0005-0000-0000-0000DC010000}"/>
    <cellStyle name="Migliaia [0] 12 3" xfId="1313" xr:uid="{00000000-0005-0000-0000-0000DD010000}"/>
    <cellStyle name="Migliaia [0] 13" xfId="200" xr:uid="{00000000-0005-0000-0000-0000DE010000}"/>
    <cellStyle name="Migliaia [0] 13 2" xfId="1314" xr:uid="{00000000-0005-0000-0000-0000DF010000}"/>
    <cellStyle name="Migliaia [0] 13 2 2" xfId="1315" xr:uid="{00000000-0005-0000-0000-0000E0010000}"/>
    <cellStyle name="Migliaia [0] 13 3" xfId="1316" xr:uid="{00000000-0005-0000-0000-0000E1010000}"/>
    <cellStyle name="Migliaia [0] 14" xfId="201" xr:uid="{00000000-0005-0000-0000-0000E2010000}"/>
    <cellStyle name="Migliaia [0] 14 2" xfId="1317" xr:uid="{00000000-0005-0000-0000-0000E3010000}"/>
    <cellStyle name="Migliaia [0] 14 2 2" xfId="1318" xr:uid="{00000000-0005-0000-0000-0000E4010000}"/>
    <cellStyle name="Migliaia [0] 14 3" xfId="1319" xr:uid="{00000000-0005-0000-0000-0000E5010000}"/>
    <cellStyle name="Migliaia [0] 15" xfId="202" xr:uid="{00000000-0005-0000-0000-0000E6010000}"/>
    <cellStyle name="Migliaia [0] 15 2" xfId="1320" xr:uid="{00000000-0005-0000-0000-0000E7010000}"/>
    <cellStyle name="Migliaia [0] 15 2 2" xfId="1321" xr:uid="{00000000-0005-0000-0000-0000E8010000}"/>
    <cellStyle name="Migliaia [0] 15 3" xfId="1322" xr:uid="{00000000-0005-0000-0000-0000E9010000}"/>
    <cellStyle name="Migliaia [0] 16" xfId="203" xr:uid="{00000000-0005-0000-0000-0000EA010000}"/>
    <cellStyle name="Migliaia [0] 16 2" xfId="1323" xr:uid="{00000000-0005-0000-0000-0000EB010000}"/>
    <cellStyle name="Migliaia [0] 16 2 2" xfId="1324" xr:uid="{00000000-0005-0000-0000-0000EC010000}"/>
    <cellStyle name="Migliaia [0] 16 3" xfId="1325" xr:uid="{00000000-0005-0000-0000-0000ED010000}"/>
    <cellStyle name="Migliaia [0] 17" xfId="204" xr:uid="{00000000-0005-0000-0000-0000EE010000}"/>
    <cellStyle name="Migliaia [0] 17 2" xfId="1326" xr:uid="{00000000-0005-0000-0000-0000EF010000}"/>
    <cellStyle name="Migliaia [0] 17 2 2" xfId="1327" xr:uid="{00000000-0005-0000-0000-0000F0010000}"/>
    <cellStyle name="Migliaia [0] 17 3" xfId="1328" xr:uid="{00000000-0005-0000-0000-0000F1010000}"/>
    <cellStyle name="Migliaia [0] 18" xfId="205" xr:uid="{00000000-0005-0000-0000-0000F2010000}"/>
    <cellStyle name="Migliaia [0] 18 2" xfId="1329" xr:uid="{00000000-0005-0000-0000-0000F3010000}"/>
    <cellStyle name="Migliaia [0] 18 2 2" xfId="1330" xr:uid="{00000000-0005-0000-0000-0000F4010000}"/>
    <cellStyle name="Migliaia [0] 18 3" xfId="1331" xr:uid="{00000000-0005-0000-0000-0000F5010000}"/>
    <cellStyle name="Migliaia [0] 19" xfId="206" xr:uid="{00000000-0005-0000-0000-0000F6010000}"/>
    <cellStyle name="Migliaia [0] 19 2" xfId="1332" xr:uid="{00000000-0005-0000-0000-0000F7010000}"/>
    <cellStyle name="Migliaia [0] 19 2 2" xfId="1333" xr:uid="{00000000-0005-0000-0000-0000F8010000}"/>
    <cellStyle name="Migliaia [0] 19 3" xfId="1334" xr:uid="{00000000-0005-0000-0000-0000F9010000}"/>
    <cellStyle name="Migliaia [0] 2" xfId="207" xr:uid="{00000000-0005-0000-0000-0000FA010000}"/>
    <cellStyle name="Migliaia [0] 2 2" xfId="1335" xr:uid="{00000000-0005-0000-0000-0000FB010000}"/>
    <cellStyle name="Migliaia [0] 2 2 2" xfId="1336" xr:uid="{00000000-0005-0000-0000-0000FC010000}"/>
    <cellStyle name="Migliaia [0] 2 3" xfId="1337" xr:uid="{00000000-0005-0000-0000-0000FD010000}"/>
    <cellStyle name="Migliaia [0] 20" xfId="208" xr:uid="{00000000-0005-0000-0000-0000FE010000}"/>
    <cellStyle name="Migliaia [0] 20 2" xfId="1338" xr:uid="{00000000-0005-0000-0000-0000FF010000}"/>
    <cellStyle name="Migliaia [0] 20 2 2" xfId="1339" xr:uid="{00000000-0005-0000-0000-000000020000}"/>
    <cellStyle name="Migliaia [0] 20 3" xfId="1340" xr:uid="{00000000-0005-0000-0000-000001020000}"/>
    <cellStyle name="Migliaia [0] 21" xfId="209" xr:uid="{00000000-0005-0000-0000-000002020000}"/>
    <cellStyle name="Migliaia [0] 21 2" xfId="1341" xr:uid="{00000000-0005-0000-0000-000003020000}"/>
    <cellStyle name="Migliaia [0] 21 2 2" xfId="1342" xr:uid="{00000000-0005-0000-0000-000004020000}"/>
    <cellStyle name="Migliaia [0] 21 3" xfId="1343" xr:uid="{00000000-0005-0000-0000-000005020000}"/>
    <cellStyle name="Migliaia [0] 22" xfId="210" xr:uid="{00000000-0005-0000-0000-000006020000}"/>
    <cellStyle name="Migliaia [0] 22 2" xfId="1344" xr:uid="{00000000-0005-0000-0000-000007020000}"/>
    <cellStyle name="Migliaia [0] 22 2 2" xfId="1345" xr:uid="{00000000-0005-0000-0000-000008020000}"/>
    <cellStyle name="Migliaia [0] 22 3" xfId="1346" xr:uid="{00000000-0005-0000-0000-000009020000}"/>
    <cellStyle name="Migliaia [0] 23" xfId="211" xr:uid="{00000000-0005-0000-0000-00000A020000}"/>
    <cellStyle name="Migliaia [0] 23 2" xfId="1347" xr:uid="{00000000-0005-0000-0000-00000B020000}"/>
    <cellStyle name="Migliaia [0] 23 2 2" xfId="1348" xr:uid="{00000000-0005-0000-0000-00000C020000}"/>
    <cellStyle name="Migliaia [0] 23 3" xfId="1349" xr:uid="{00000000-0005-0000-0000-00000D020000}"/>
    <cellStyle name="Migliaia [0] 24" xfId="212" xr:uid="{00000000-0005-0000-0000-00000E020000}"/>
    <cellStyle name="Migliaia [0] 24 2" xfId="1350" xr:uid="{00000000-0005-0000-0000-00000F020000}"/>
    <cellStyle name="Migliaia [0] 24 2 2" xfId="1351" xr:uid="{00000000-0005-0000-0000-000010020000}"/>
    <cellStyle name="Migliaia [0] 24 3" xfId="1352" xr:uid="{00000000-0005-0000-0000-000011020000}"/>
    <cellStyle name="Migliaia [0] 25" xfId="213" xr:uid="{00000000-0005-0000-0000-000012020000}"/>
    <cellStyle name="Migliaia [0] 25 2" xfId="1353" xr:uid="{00000000-0005-0000-0000-000013020000}"/>
    <cellStyle name="Migliaia [0] 25 2 2" xfId="1354" xr:uid="{00000000-0005-0000-0000-000014020000}"/>
    <cellStyle name="Migliaia [0] 25 3" xfId="1355" xr:uid="{00000000-0005-0000-0000-000015020000}"/>
    <cellStyle name="Migliaia [0] 26" xfId="214" xr:uid="{00000000-0005-0000-0000-000016020000}"/>
    <cellStyle name="Migliaia [0] 26 2" xfId="1356" xr:uid="{00000000-0005-0000-0000-000017020000}"/>
    <cellStyle name="Migliaia [0] 26 2 2" xfId="1357" xr:uid="{00000000-0005-0000-0000-000018020000}"/>
    <cellStyle name="Migliaia [0] 26 3" xfId="1358" xr:uid="{00000000-0005-0000-0000-000019020000}"/>
    <cellStyle name="Migliaia [0] 27" xfId="215" xr:uid="{00000000-0005-0000-0000-00001A020000}"/>
    <cellStyle name="Migliaia [0] 27 2" xfId="1359" xr:uid="{00000000-0005-0000-0000-00001B020000}"/>
    <cellStyle name="Migliaia [0] 27 2 2" xfId="1360" xr:uid="{00000000-0005-0000-0000-00001C020000}"/>
    <cellStyle name="Migliaia [0] 27 3" xfId="1361" xr:uid="{00000000-0005-0000-0000-00001D020000}"/>
    <cellStyle name="Migliaia [0] 28" xfId="216" xr:uid="{00000000-0005-0000-0000-00001E020000}"/>
    <cellStyle name="Migliaia [0] 28 2" xfId="1362" xr:uid="{00000000-0005-0000-0000-00001F020000}"/>
    <cellStyle name="Migliaia [0] 28 2 2" xfId="1363" xr:uid="{00000000-0005-0000-0000-000020020000}"/>
    <cellStyle name="Migliaia [0] 28 3" xfId="1364" xr:uid="{00000000-0005-0000-0000-000021020000}"/>
    <cellStyle name="Migliaia [0] 29" xfId="217" xr:uid="{00000000-0005-0000-0000-000022020000}"/>
    <cellStyle name="Migliaia [0] 29 2" xfId="1365" xr:uid="{00000000-0005-0000-0000-000023020000}"/>
    <cellStyle name="Migliaia [0] 29 2 2" xfId="1366" xr:uid="{00000000-0005-0000-0000-000024020000}"/>
    <cellStyle name="Migliaia [0] 29 3" xfId="1367" xr:uid="{00000000-0005-0000-0000-000025020000}"/>
    <cellStyle name="Migliaia [0] 3" xfId="218" xr:uid="{00000000-0005-0000-0000-000026020000}"/>
    <cellStyle name="Migliaia [0] 3 2" xfId="1368" xr:uid="{00000000-0005-0000-0000-000027020000}"/>
    <cellStyle name="Migliaia [0] 3 2 2" xfId="1369" xr:uid="{00000000-0005-0000-0000-000028020000}"/>
    <cellStyle name="Migliaia [0] 3 3" xfId="1370" xr:uid="{00000000-0005-0000-0000-000029020000}"/>
    <cellStyle name="Migliaia [0] 30" xfId="219" xr:uid="{00000000-0005-0000-0000-00002A020000}"/>
    <cellStyle name="Migliaia [0] 30 2" xfId="1371" xr:uid="{00000000-0005-0000-0000-00002B020000}"/>
    <cellStyle name="Migliaia [0] 30 2 2" xfId="1372" xr:uid="{00000000-0005-0000-0000-00002C020000}"/>
    <cellStyle name="Migliaia [0] 30 3" xfId="1373" xr:uid="{00000000-0005-0000-0000-00002D020000}"/>
    <cellStyle name="Migliaia [0] 31" xfId="220" xr:uid="{00000000-0005-0000-0000-00002E020000}"/>
    <cellStyle name="Migliaia [0] 31 2" xfId="1374" xr:uid="{00000000-0005-0000-0000-00002F020000}"/>
    <cellStyle name="Migliaia [0] 31 2 2" xfId="1375" xr:uid="{00000000-0005-0000-0000-000030020000}"/>
    <cellStyle name="Migliaia [0] 31 3" xfId="1376" xr:uid="{00000000-0005-0000-0000-000031020000}"/>
    <cellStyle name="Migliaia [0] 32" xfId="221" xr:uid="{00000000-0005-0000-0000-000032020000}"/>
    <cellStyle name="Migliaia [0] 32 2" xfId="1377" xr:uid="{00000000-0005-0000-0000-000033020000}"/>
    <cellStyle name="Migliaia [0] 32 2 2" xfId="1378" xr:uid="{00000000-0005-0000-0000-000034020000}"/>
    <cellStyle name="Migliaia [0] 32 3" xfId="1379" xr:uid="{00000000-0005-0000-0000-000035020000}"/>
    <cellStyle name="Migliaia [0] 33" xfId="222" xr:uid="{00000000-0005-0000-0000-000036020000}"/>
    <cellStyle name="Migliaia [0] 33 2" xfId="1380" xr:uid="{00000000-0005-0000-0000-000037020000}"/>
    <cellStyle name="Migliaia [0] 33 2 2" xfId="1381" xr:uid="{00000000-0005-0000-0000-000038020000}"/>
    <cellStyle name="Migliaia [0] 33 3" xfId="1382" xr:uid="{00000000-0005-0000-0000-000039020000}"/>
    <cellStyle name="Migliaia [0] 34" xfId="223" xr:uid="{00000000-0005-0000-0000-00003A020000}"/>
    <cellStyle name="Migliaia [0] 34 2" xfId="1383" xr:uid="{00000000-0005-0000-0000-00003B020000}"/>
    <cellStyle name="Migliaia [0] 34 2 2" xfId="1384" xr:uid="{00000000-0005-0000-0000-00003C020000}"/>
    <cellStyle name="Migliaia [0] 34 3" xfId="1385" xr:uid="{00000000-0005-0000-0000-00003D020000}"/>
    <cellStyle name="Migliaia [0] 35" xfId="224" xr:uid="{00000000-0005-0000-0000-00003E020000}"/>
    <cellStyle name="Migliaia [0] 35 2" xfId="1386" xr:uid="{00000000-0005-0000-0000-00003F020000}"/>
    <cellStyle name="Migliaia [0] 35 2 2" xfId="1387" xr:uid="{00000000-0005-0000-0000-000040020000}"/>
    <cellStyle name="Migliaia [0] 35 3" xfId="1388" xr:uid="{00000000-0005-0000-0000-000041020000}"/>
    <cellStyle name="Migliaia [0] 36" xfId="225" xr:uid="{00000000-0005-0000-0000-000042020000}"/>
    <cellStyle name="Migliaia [0] 36 2" xfId="1389" xr:uid="{00000000-0005-0000-0000-000043020000}"/>
    <cellStyle name="Migliaia [0] 36 2 2" xfId="1390" xr:uid="{00000000-0005-0000-0000-000044020000}"/>
    <cellStyle name="Migliaia [0] 36 3" xfId="1391" xr:uid="{00000000-0005-0000-0000-000045020000}"/>
    <cellStyle name="Migliaia [0] 37" xfId="226" xr:uid="{00000000-0005-0000-0000-000046020000}"/>
    <cellStyle name="Migliaia [0] 37 2" xfId="1392" xr:uid="{00000000-0005-0000-0000-000047020000}"/>
    <cellStyle name="Migliaia [0] 37 2 2" xfId="1393" xr:uid="{00000000-0005-0000-0000-000048020000}"/>
    <cellStyle name="Migliaia [0] 37 3" xfId="1394" xr:uid="{00000000-0005-0000-0000-000049020000}"/>
    <cellStyle name="Migliaia [0] 38" xfId="227" xr:uid="{00000000-0005-0000-0000-00004A020000}"/>
    <cellStyle name="Migliaia [0] 38 2" xfId="1395" xr:uid="{00000000-0005-0000-0000-00004B020000}"/>
    <cellStyle name="Migliaia [0] 38 2 2" xfId="1396" xr:uid="{00000000-0005-0000-0000-00004C020000}"/>
    <cellStyle name="Migliaia [0] 38 3" xfId="1397" xr:uid="{00000000-0005-0000-0000-00004D020000}"/>
    <cellStyle name="Migliaia [0] 39" xfId="228" xr:uid="{00000000-0005-0000-0000-00004E020000}"/>
    <cellStyle name="Migliaia [0] 39 2" xfId="1398" xr:uid="{00000000-0005-0000-0000-00004F020000}"/>
    <cellStyle name="Migliaia [0] 39 2 2" xfId="1399" xr:uid="{00000000-0005-0000-0000-000050020000}"/>
    <cellStyle name="Migliaia [0] 39 3" xfId="1400" xr:uid="{00000000-0005-0000-0000-000051020000}"/>
    <cellStyle name="Migliaia [0] 4" xfId="229" xr:uid="{00000000-0005-0000-0000-000052020000}"/>
    <cellStyle name="Migliaia [0] 4 2" xfId="1401" xr:uid="{00000000-0005-0000-0000-000053020000}"/>
    <cellStyle name="Migliaia [0] 4 2 2" xfId="1402" xr:uid="{00000000-0005-0000-0000-000054020000}"/>
    <cellStyle name="Migliaia [0] 4 3" xfId="1403" xr:uid="{00000000-0005-0000-0000-000055020000}"/>
    <cellStyle name="Migliaia [0] 40" xfId="230" xr:uid="{00000000-0005-0000-0000-000056020000}"/>
    <cellStyle name="Migliaia [0] 40 2" xfId="1404" xr:uid="{00000000-0005-0000-0000-000057020000}"/>
    <cellStyle name="Migliaia [0] 40 2 2" xfId="1405" xr:uid="{00000000-0005-0000-0000-000058020000}"/>
    <cellStyle name="Migliaia [0] 40 3" xfId="1406" xr:uid="{00000000-0005-0000-0000-000059020000}"/>
    <cellStyle name="Migliaia [0] 41" xfId="231" xr:uid="{00000000-0005-0000-0000-00005A020000}"/>
    <cellStyle name="Migliaia [0] 41 2" xfId="1407" xr:uid="{00000000-0005-0000-0000-00005B020000}"/>
    <cellStyle name="Migliaia [0] 41 2 2" xfId="1408" xr:uid="{00000000-0005-0000-0000-00005C020000}"/>
    <cellStyle name="Migliaia [0] 41 3" xfId="1409" xr:uid="{00000000-0005-0000-0000-00005D020000}"/>
    <cellStyle name="Migliaia [0] 42" xfId="232" xr:uid="{00000000-0005-0000-0000-00005E020000}"/>
    <cellStyle name="Migliaia [0] 42 2" xfId="1410" xr:uid="{00000000-0005-0000-0000-00005F020000}"/>
    <cellStyle name="Migliaia [0] 42 2 2" xfId="1411" xr:uid="{00000000-0005-0000-0000-000060020000}"/>
    <cellStyle name="Migliaia [0] 42 3" xfId="1412" xr:uid="{00000000-0005-0000-0000-000061020000}"/>
    <cellStyle name="Migliaia [0] 43" xfId="233" xr:uid="{00000000-0005-0000-0000-000062020000}"/>
    <cellStyle name="Migliaia [0] 43 2" xfId="1413" xr:uid="{00000000-0005-0000-0000-000063020000}"/>
    <cellStyle name="Migliaia [0] 43 2 2" xfId="1414" xr:uid="{00000000-0005-0000-0000-000064020000}"/>
    <cellStyle name="Migliaia [0] 43 3" xfId="1415" xr:uid="{00000000-0005-0000-0000-000065020000}"/>
    <cellStyle name="Migliaia [0] 44" xfId="234" xr:uid="{00000000-0005-0000-0000-000066020000}"/>
    <cellStyle name="Migliaia [0] 44 2" xfId="1416" xr:uid="{00000000-0005-0000-0000-000067020000}"/>
    <cellStyle name="Migliaia [0] 44 2 2" xfId="1417" xr:uid="{00000000-0005-0000-0000-000068020000}"/>
    <cellStyle name="Migliaia [0] 44 3" xfId="1418" xr:uid="{00000000-0005-0000-0000-000069020000}"/>
    <cellStyle name="Migliaia [0] 45" xfId="235" xr:uid="{00000000-0005-0000-0000-00006A020000}"/>
    <cellStyle name="Migliaia [0] 45 2" xfId="1419" xr:uid="{00000000-0005-0000-0000-00006B020000}"/>
    <cellStyle name="Migliaia [0] 45 2 2" xfId="1420" xr:uid="{00000000-0005-0000-0000-00006C020000}"/>
    <cellStyle name="Migliaia [0] 45 3" xfId="1421" xr:uid="{00000000-0005-0000-0000-00006D020000}"/>
    <cellStyle name="Migliaia [0] 46" xfId="236" xr:uid="{00000000-0005-0000-0000-00006E020000}"/>
    <cellStyle name="Migliaia [0] 46 2" xfId="1422" xr:uid="{00000000-0005-0000-0000-00006F020000}"/>
    <cellStyle name="Migliaia [0] 46 2 2" xfId="1423" xr:uid="{00000000-0005-0000-0000-000070020000}"/>
    <cellStyle name="Migliaia [0] 46 3" xfId="1424" xr:uid="{00000000-0005-0000-0000-000071020000}"/>
    <cellStyle name="Migliaia [0] 47" xfId="237" xr:uid="{00000000-0005-0000-0000-000072020000}"/>
    <cellStyle name="Migliaia [0] 47 2" xfId="1425" xr:uid="{00000000-0005-0000-0000-000073020000}"/>
    <cellStyle name="Migliaia [0] 47 2 2" xfId="1426" xr:uid="{00000000-0005-0000-0000-000074020000}"/>
    <cellStyle name="Migliaia [0] 47 3" xfId="1427" xr:uid="{00000000-0005-0000-0000-000075020000}"/>
    <cellStyle name="Migliaia [0] 48" xfId="238" xr:uid="{00000000-0005-0000-0000-000076020000}"/>
    <cellStyle name="Migliaia [0] 48 2" xfId="1428" xr:uid="{00000000-0005-0000-0000-000077020000}"/>
    <cellStyle name="Migliaia [0] 48 2 2" xfId="1429" xr:uid="{00000000-0005-0000-0000-000078020000}"/>
    <cellStyle name="Migliaia [0] 48 3" xfId="1430" xr:uid="{00000000-0005-0000-0000-000079020000}"/>
    <cellStyle name="Migliaia [0] 49" xfId="239" xr:uid="{00000000-0005-0000-0000-00007A020000}"/>
    <cellStyle name="Migliaia [0] 49 2" xfId="1431" xr:uid="{00000000-0005-0000-0000-00007B020000}"/>
    <cellStyle name="Migliaia [0] 49 2 2" xfId="1432" xr:uid="{00000000-0005-0000-0000-00007C020000}"/>
    <cellStyle name="Migliaia [0] 49 3" xfId="1433" xr:uid="{00000000-0005-0000-0000-00007D020000}"/>
    <cellStyle name="Migliaia [0] 5" xfId="240" xr:uid="{00000000-0005-0000-0000-00007E020000}"/>
    <cellStyle name="Migliaia [0] 5 2" xfId="1434" xr:uid="{00000000-0005-0000-0000-00007F020000}"/>
    <cellStyle name="Migliaia [0] 5 2 2" xfId="1435" xr:uid="{00000000-0005-0000-0000-000080020000}"/>
    <cellStyle name="Migliaia [0] 5 3" xfId="1436" xr:uid="{00000000-0005-0000-0000-000081020000}"/>
    <cellStyle name="Migliaia [0] 50" xfId="241" xr:uid="{00000000-0005-0000-0000-000082020000}"/>
    <cellStyle name="Migliaia [0] 50 2" xfId="1437" xr:uid="{00000000-0005-0000-0000-000083020000}"/>
    <cellStyle name="Migliaia [0] 50 2 2" xfId="1438" xr:uid="{00000000-0005-0000-0000-000084020000}"/>
    <cellStyle name="Migliaia [0] 50 3" xfId="1439" xr:uid="{00000000-0005-0000-0000-000085020000}"/>
    <cellStyle name="Migliaia [0] 51" xfId="242" xr:uid="{00000000-0005-0000-0000-000086020000}"/>
    <cellStyle name="Migliaia [0] 51 2" xfId="1440" xr:uid="{00000000-0005-0000-0000-000087020000}"/>
    <cellStyle name="Migliaia [0] 51 2 2" xfId="1441" xr:uid="{00000000-0005-0000-0000-000088020000}"/>
    <cellStyle name="Migliaia [0] 51 3" xfId="1442" xr:uid="{00000000-0005-0000-0000-000089020000}"/>
    <cellStyle name="Migliaia [0] 52" xfId="243" xr:uid="{00000000-0005-0000-0000-00008A020000}"/>
    <cellStyle name="Migliaia [0] 52 2" xfId="1443" xr:uid="{00000000-0005-0000-0000-00008B020000}"/>
    <cellStyle name="Migliaia [0] 52 2 2" xfId="1444" xr:uid="{00000000-0005-0000-0000-00008C020000}"/>
    <cellStyle name="Migliaia [0] 52 3" xfId="1445" xr:uid="{00000000-0005-0000-0000-00008D020000}"/>
    <cellStyle name="Migliaia [0] 53" xfId="244" xr:uid="{00000000-0005-0000-0000-00008E020000}"/>
    <cellStyle name="Migliaia [0] 53 2" xfId="1446" xr:uid="{00000000-0005-0000-0000-00008F020000}"/>
    <cellStyle name="Migliaia [0] 53 2 2" xfId="1447" xr:uid="{00000000-0005-0000-0000-000090020000}"/>
    <cellStyle name="Migliaia [0] 53 3" xfId="1448" xr:uid="{00000000-0005-0000-0000-000091020000}"/>
    <cellStyle name="Migliaia [0] 54" xfId="245" xr:uid="{00000000-0005-0000-0000-000092020000}"/>
    <cellStyle name="Migliaia [0] 54 2" xfId="1449" xr:uid="{00000000-0005-0000-0000-000093020000}"/>
    <cellStyle name="Migliaia [0] 54 2 2" xfId="1450" xr:uid="{00000000-0005-0000-0000-000094020000}"/>
    <cellStyle name="Migliaia [0] 54 3" xfId="1451" xr:uid="{00000000-0005-0000-0000-000095020000}"/>
    <cellStyle name="Migliaia [0] 55" xfId="246" xr:uid="{00000000-0005-0000-0000-000096020000}"/>
    <cellStyle name="Migliaia [0] 55 2" xfId="1452" xr:uid="{00000000-0005-0000-0000-000097020000}"/>
    <cellStyle name="Migliaia [0] 55 2 2" xfId="1453" xr:uid="{00000000-0005-0000-0000-000098020000}"/>
    <cellStyle name="Migliaia [0] 55 3" xfId="1454" xr:uid="{00000000-0005-0000-0000-000099020000}"/>
    <cellStyle name="Migliaia [0] 56" xfId="247" xr:uid="{00000000-0005-0000-0000-00009A020000}"/>
    <cellStyle name="Migliaia [0] 56 2" xfId="1455" xr:uid="{00000000-0005-0000-0000-00009B020000}"/>
    <cellStyle name="Migliaia [0] 56 2 2" xfId="1456" xr:uid="{00000000-0005-0000-0000-00009C020000}"/>
    <cellStyle name="Migliaia [0] 56 3" xfId="1457" xr:uid="{00000000-0005-0000-0000-00009D020000}"/>
    <cellStyle name="Migliaia [0] 57" xfId="248" xr:uid="{00000000-0005-0000-0000-00009E020000}"/>
    <cellStyle name="Migliaia [0] 57 2" xfId="1458" xr:uid="{00000000-0005-0000-0000-00009F020000}"/>
    <cellStyle name="Migliaia [0] 57 2 2" xfId="1459" xr:uid="{00000000-0005-0000-0000-0000A0020000}"/>
    <cellStyle name="Migliaia [0] 57 3" xfId="1460" xr:uid="{00000000-0005-0000-0000-0000A1020000}"/>
    <cellStyle name="Migliaia [0] 58" xfId="249" xr:uid="{00000000-0005-0000-0000-0000A2020000}"/>
    <cellStyle name="Migliaia [0] 58 2" xfId="1461" xr:uid="{00000000-0005-0000-0000-0000A3020000}"/>
    <cellStyle name="Migliaia [0] 58 2 2" xfId="1462" xr:uid="{00000000-0005-0000-0000-0000A4020000}"/>
    <cellStyle name="Migliaia [0] 58 3" xfId="1463" xr:uid="{00000000-0005-0000-0000-0000A5020000}"/>
    <cellStyle name="Migliaia [0] 59" xfId="250" xr:uid="{00000000-0005-0000-0000-0000A6020000}"/>
    <cellStyle name="Migliaia [0] 59 2" xfId="1464" xr:uid="{00000000-0005-0000-0000-0000A7020000}"/>
    <cellStyle name="Migliaia [0] 59 2 2" xfId="1465" xr:uid="{00000000-0005-0000-0000-0000A8020000}"/>
    <cellStyle name="Migliaia [0] 59 3" xfId="1466" xr:uid="{00000000-0005-0000-0000-0000A9020000}"/>
    <cellStyle name="Migliaia [0] 6" xfId="251" xr:uid="{00000000-0005-0000-0000-0000AA020000}"/>
    <cellStyle name="Migliaia [0] 6 2" xfId="1467" xr:uid="{00000000-0005-0000-0000-0000AB020000}"/>
    <cellStyle name="Migliaia [0] 6 2 2" xfId="1468" xr:uid="{00000000-0005-0000-0000-0000AC020000}"/>
    <cellStyle name="Migliaia [0] 6 3" xfId="1469" xr:uid="{00000000-0005-0000-0000-0000AD020000}"/>
    <cellStyle name="Migliaia [0] 7" xfId="252" xr:uid="{00000000-0005-0000-0000-0000AE020000}"/>
    <cellStyle name="Migliaia [0] 7 2" xfId="1470" xr:uid="{00000000-0005-0000-0000-0000AF020000}"/>
    <cellStyle name="Migliaia [0] 7 2 2" xfId="1471" xr:uid="{00000000-0005-0000-0000-0000B0020000}"/>
    <cellStyle name="Migliaia [0] 7 3" xfId="1472" xr:uid="{00000000-0005-0000-0000-0000B1020000}"/>
    <cellStyle name="Migliaia [0] 8" xfId="253" xr:uid="{00000000-0005-0000-0000-0000B2020000}"/>
    <cellStyle name="Migliaia [0] 8 2" xfId="1473" xr:uid="{00000000-0005-0000-0000-0000B3020000}"/>
    <cellStyle name="Migliaia [0] 8 2 2" xfId="1474" xr:uid="{00000000-0005-0000-0000-0000B4020000}"/>
    <cellStyle name="Migliaia [0] 8 3" xfId="1475" xr:uid="{00000000-0005-0000-0000-0000B5020000}"/>
    <cellStyle name="Migliaia [0] 9" xfId="254" xr:uid="{00000000-0005-0000-0000-0000B6020000}"/>
    <cellStyle name="Migliaia [0] 9 2" xfId="1476" xr:uid="{00000000-0005-0000-0000-0000B7020000}"/>
    <cellStyle name="Migliaia [0] 9 2 2" xfId="1477" xr:uid="{00000000-0005-0000-0000-0000B8020000}"/>
    <cellStyle name="Migliaia [0] 9 3" xfId="1478" xr:uid="{00000000-0005-0000-0000-0000B9020000}"/>
    <cellStyle name="Migliaia 10" xfId="255" xr:uid="{00000000-0005-0000-0000-0000BA020000}"/>
    <cellStyle name="Migliaia 10 2" xfId="256" xr:uid="{00000000-0005-0000-0000-0000BB020000}"/>
    <cellStyle name="Migliaia 10 2 2" xfId="1479" xr:uid="{00000000-0005-0000-0000-0000BC020000}"/>
    <cellStyle name="Migliaia 10 3" xfId="257" xr:uid="{00000000-0005-0000-0000-0000BD020000}"/>
    <cellStyle name="Migliaia 10 3 2" xfId="1480" xr:uid="{00000000-0005-0000-0000-0000BE020000}"/>
    <cellStyle name="Migliaia 10 3 2 2" xfId="1481" xr:uid="{00000000-0005-0000-0000-0000BF020000}"/>
    <cellStyle name="Migliaia 10 4" xfId="1482" xr:uid="{00000000-0005-0000-0000-0000C0020000}"/>
    <cellStyle name="Migliaia 10 4 2" xfId="1483" xr:uid="{00000000-0005-0000-0000-0000C1020000}"/>
    <cellStyle name="Migliaia 10 5" xfId="1484" xr:uid="{00000000-0005-0000-0000-0000C2020000}"/>
    <cellStyle name="Migliaia 11" xfId="258" xr:uid="{00000000-0005-0000-0000-0000C3020000}"/>
    <cellStyle name="Migliaia 11 2" xfId="259" xr:uid="{00000000-0005-0000-0000-0000C4020000}"/>
    <cellStyle name="Migliaia 11 2 2" xfId="1485" xr:uid="{00000000-0005-0000-0000-0000C5020000}"/>
    <cellStyle name="Migliaia 11 3" xfId="260" xr:uid="{00000000-0005-0000-0000-0000C6020000}"/>
    <cellStyle name="Migliaia 11 3 2" xfId="1486" xr:uid="{00000000-0005-0000-0000-0000C7020000}"/>
    <cellStyle name="Migliaia 11 3 2 2" xfId="1487" xr:uid="{00000000-0005-0000-0000-0000C8020000}"/>
    <cellStyle name="Migliaia 11 4" xfId="1488" xr:uid="{00000000-0005-0000-0000-0000C9020000}"/>
    <cellStyle name="Migliaia 11 4 2" xfId="1489" xr:uid="{00000000-0005-0000-0000-0000CA020000}"/>
    <cellStyle name="Migliaia 11 5" xfId="1490" xr:uid="{00000000-0005-0000-0000-0000CB020000}"/>
    <cellStyle name="Migliaia 12" xfId="261" xr:uid="{00000000-0005-0000-0000-0000CC020000}"/>
    <cellStyle name="Migliaia 12 2" xfId="262" xr:uid="{00000000-0005-0000-0000-0000CD020000}"/>
    <cellStyle name="Migliaia 12 2 2" xfId="1491" xr:uid="{00000000-0005-0000-0000-0000CE020000}"/>
    <cellStyle name="Migliaia 12 3" xfId="263" xr:uid="{00000000-0005-0000-0000-0000CF020000}"/>
    <cellStyle name="Migliaia 12 3 2" xfId="1492" xr:uid="{00000000-0005-0000-0000-0000D0020000}"/>
    <cellStyle name="Migliaia 12 3 2 2" xfId="1493" xr:uid="{00000000-0005-0000-0000-0000D1020000}"/>
    <cellStyle name="Migliaia 12 4" xfId="1494" xr:uid="{00000000-0005-0000-0000-0000D2020000}"/>
    <cellStyle name="Migliaia 12 4 2" xfId="1495" xr:uid="{00000000-0005-0000-0000-0000D3020000}"/>
    <cellStyle name="Migliaia 12 5" xfId="1496" xr:uid="{00000000-0005-0000-0000-0000D4020000}"/>
    <cellStyle name="Migliaia 13" xfId="264" xr:uid="{00000000-0005-0000-0000-0000D5020000}"/>
    <cellStyle name="Migliaia 13 2" xfId="265" xr:uid="{00000000-0005-0000-0000-0000D6020000}"/>
    <cellStyle name="Migliaia 13 2 2" xfId="1497" xr:uid="{00000000-0005-0000-0000-0000D7020000}"/>
    <cellStyle name="Migliaia 13 3" xfId="266" xr:uid="{00000000-0005-0000-0000-0000D8020000}"/>
    <cellStyle name="Migliaia 13 3 2" xfId="1498" xr:uid="{00000000-0005-0000-0000-0000D9020000}"/>
    <cellStyle name="Migliaia 13 3 2 2" xfId="1499" xr:uid="{00000000-0005-0000-0000-0000DA020000}"/>
    <cellStyle name="Migliaia 13 4" xfId="1500" xr:uid="{00000000-0005-0000-0000-0000DB020000}"/>
    <cellStyle name="Migliaia 13 4 2" xfId="1501" xr:uid="{00000000-0005-0000-0000-0000DC020000}"/>
    <cellStyle name="Migliaia 13 5" xfId="1502" xr:uid="{00000000-0005-0000-0000-0000DD020000}"/>
    <cellStyle name="Migliaia 14" xfId="267" xr:uid="{00000000-0005-0000-0000-0000DE020000}"/>
    <cellStyle name="Migliaia 14 2" xfId="268" xr:uid="{00000000-0005-0000-0000-0000DF020000}"/>
    <cellStyle name="Migliaia 14 2 2" xfId="1503" xr:uid="{00000000-0005-0000-0000-0000E0020000}"/>
    <cellStyle name="Migliaia 14 3" xfId="269" xr:uid="{00000000-0005-0000-0000-0000E1020000}"/>
    <cellStyle name="Migliaia 14 3 2" xfId="1504" xr:uid="{00000000-0005-0000-0000-0000E2020000}"/>
    <cellStyle name="Migliaia 14 3 2 2" xfId="1505" xr:uid="{00000000-0005-0000-0000-0000E3020000}"/>
    <cellStyle name="Migliaia 14 4" xfId="1506" xr:uid="{00000000-0005-0000-0000-0000E4020000}"/>
    <cellStyle name="Migliaia 14 4 2" xfId="1507" xr:uid="{00000000-0005-0000-0000-0000E5020000}"/>
    <cellStyle name="Migliaia 14 5" xfId="1508" xr:uid="{00000000-0005-0000-0000-0000E6020000}"/>
    <cellStyle name="Migliaia 15" xfId="270" xr:uid="{00000000-0005-0000-0000-0000E7020000}"/>
    <cellStyle name="Migliaia 15 2" xfId="271" xr:uid="{00000000-0005-0000-0000-0000E8020000}"/>
    <cellStyle name="Migliaia 15 2 2" xfId="1509" xr:uid="{00000000-0005-0000-0000-0000E9020000}"/>
    <cellStyle name="Migliaia 15 3" xfId="272" xr:uid="{00000000-0005-0000-0000-0000EA020000}"/>
    <cellStyle name="Migliaia 15 3 2" xfId="1510" xr:uid="{00000000-0005-0000-0000-0000EB020000}"/>
    <cellStyle name="Migliaia 15 3 2 2" xfId="1511" xr:uid="{00000000-0005-0000-0000-0000EC020000}"/>
    <cellStyle name="Migliaia 15 4" xfId="1512" xr:uid="{00000000-0005-0000-0000-0000ED020000}"/>
    <cellStyle name="Migliaia 15 4 2" xfId="1513" xr:uid="{00000000-0005-0000-0000-0000EE020000}"/>
    <cellStyle name="Migliaia 15 5" xfId="1514" xr:uid="{00000000-0005-0000-0000-0000EF020000}"/>
    <cellStyle name="Migliaia 16" xfId="273" xr:uid="{00000000-0005-0000-0000-0000F0020000}"/>
    <cellStyle name="Migliaia 16 2" xfId="274" xr:uid="{00000000-0005-0000-0000-0000F1020000}"/>
    <cellStyle name="Migliaia 16 2 2" xfId="1515" xr:uid="{00000000-0005-0000-0000-0000F2020000}"/>
    <cellStyle name="Migliaia 16 3" xfId="275" xr:uid="{00000000-0005-0000-0000-0000F3020000}"/>
    <cellStyle name="Migliaia 16 3 2" xfId="1516" xr:uid="{00000000-0005-0000-0000-0000F4020000}"/>
    <cellStyle name="Migliaia 16 3 2 2" xfId="1517" xr:uid="{00000000-0005-0000-0000-0000F5020000}"/>
    <cellStyle name="Migliaia 16 4" xfId="1518" xr:uid="{00000000-0005-0000-0000-0000F6020000}"/>
    <cellStyle name="Migliaia 16 4 2" xfId="1519" xr:uid="{00000000-0005-0000-0000-0000F7020000}"/>
    <cellStyle name="Migliaia 16 5" xfId="1520" xr:uid="{00000000-0005-0000-0000-0000F8020000}"/>
    <cellStyle name="Migliaia 17" xfId="276" xr:uid="{00000000-0005-0000-0000-0000F9020000}"/>
    <cellStyle name="Migliaia 17 2" xfId="277" xr:uid="{00000000-0005-0000-0000-0000FA020000}"/>
    <cellStyle name="Migliaia 17 2 2" xfId="1521" xr:uid="{00000000-0005-0000-0000-0000FB020000}"/>
    <cellStyle name="Migliaia 17 3" xfId="278" xr:uid="{00000000-0005-0000-0000-0000FC020000}"/>
    <cellStyle name="Migliaia 17 3 2" xfId="1522" xr:uid="{00000000-0005-0000-0000-0000FD020000}"/>
    <cellStyle name="Migliaia 17 3 2 2" xfId="1523" xr:uid="{00000000-0005-0000-0000-0000FE020000}"/>
    <cellStyle name="Migliaia 17 4" xfId="1524" xr:uid="{00000000-0005-0000-0000-0000FF020000}"/>
    <cellStyle name="Migliaia 17 4 2" xfId="1525" xr:uid="{00000000-0005-0000-0000-000000030000}"/>
    <cellStyle name="Migliaia 17 5" xfId="1526" xr:uid="{00000000-0005-0000-0000-000001030000}"/>
    <cellStyle name="Migliaia 18" xfId="279" xr:uid="{00000000-0005-0000-0000-000002030000}"/>
    <cellStyle name="Migliaia 18 2" xfId="280" xr:uid="{00000000-0005-0000-0000-000003030000}"/>
    <cellStyle name="Migliaia 18 2 2" xfId="1527" xr:uid="{00000000-0005-0000-0000-000004030000}"/>
    <cellStyle name="Migliaia 18 3" xfId="281" xr:uid="{00000000-0005-0000-0000-000005030000}"/>
    <cellStyle name="Migliaia 18 3 2" xfId="1528" xr:uid="{00000000-0005-0000-0000-000006030000}"/>
    <cellStyle name="Migliaia 18 3 2 2" xfId="1529" xr:uid="{00000000-0005-0000-0000-000007030000}"/>
    <cellStyle name="Migliaia 18 4" xfId="1530" xr:uid="{00000000-0005-0000-0000-000008030000}"/>
    <cellStyle name="Migliaia 18 4 2" xfId="1531" xr:uid="{00000000-0005-0000-0000-000009030000}"/>
    <cellStyle name="Migliaia 18 5" xfId="1532" xr:uid="{00000000-0005-0000-0000-00000A030000}"/>
    <cellStyle name="Migliaia 19" xfId="282" xr:uid="{00000000-0005-0000-0000-00000B030000}"/>
    <cellStyle name="Migliaia 19 2" xfId="283" xr:uid="{00000000-0005-0000-0000-00000C030000}"/>
    <cellStyle name="Migliaia 19 2 2" xfId="1533" xr:uid="{00000000-0005-0000-0000-00000D030000}"/>
    <cellStyle name="Migliaia 19 3" xfId="284" xr:uid="{00000000-0005-0000-0000-00000E030000}"/>
    <cellStyle name="Migliaia 19 3 2" xfId="1534" xr:uid="{00000000-0005-0000-0000-00000F030000}"/>
    <cellStyle name="Migliaia 19 3 2 2" xfId="1535" xr:uid="{00000000-0005-0000-0000-000010030000}"/>
    <cellStyle name="Migliaia 19 4" xfId="1536" xr:uid="{00000000-0005-0000-0000-000011030000}"/>
    <cellStyle name="Migliaia 19 4 2" xfId="1537" xr:uid="{00000000-0005-0000-0000-000012030000}"/>
    <cellStyle name="Migliaia 19 5" xfId="1538" xr:uid="{00000000-0005-0000-0000-000013030000}"/>
    <cellStyle name="Migliaia 2" xfId="285" xr:uid="{00000000-0005-0000-0000-000014030000}"/>
    <cellStyle name="Migliaia 2 2" xfId="286" xr:uid="{00000000-0005-0000-0000-000015030000}"/>
    <cellStyle name="Migliaia 2 2 2" xfId="287" xr:uid="{00000000-0005-0000-0000-000016030000}"/>
    <cellStyle name="Migliaia 2 2 2 2" xfId="1539" xr:uid="{00000000-0005-0000-0000-000017030000}"/>
    <cellStyle name="Migliaia 2 2 3" xfId="1540" xr:uid="{00000000-0005-0000-0000-000018030000}"/>
    <cellStyle name="Migliaia 2 3" xfId="288" xr:uid="{00000000-0005-0000-0000-000019030000}"/>
    <cellStyle name="Migliaia 2 3 2" xfId="289" xr:uid="{00000000-0005-0000-0000-00001A030000}"/>
    <cellStyle name="Migliaia 2 3 2 2" xfId="1541" xr:uid="{00000000-0005-0000-0000-00001B030000}"/>
    <cellStyle name="Migliaia 2 3 3" xfId="1542" xr:uid="{00000000-0005-0000-0000-00001C030000}"/>
    <cellStyle name="Migliaia 2 4" xfId="290" xr:uid="{00000000-0005-0000-0000-00001D030000}"/>
    <cellStyle name="Migliaia 2 4 2" xfId="1543" xr:uid="{00000000-0005-0000-0000-00001E030000}"/>
    <cellStyle name="Migliaia 2 4 2 2" xfId="1544" xr:uid="{00000000-0005-0000-0000-00001F030000}"/>
    <cellStyle name="Migliaia 2 5" xfId="1545" xr:uid="{00000000-0005-0000-0000-000020030000}"/>
    <cellStyle name="Migliaia 2 5 2" xfId="1546" xr:uid="{00000000-0005-0000-0000-000021030000}"/>
    <cellStyle name="Migliaia 2 6" xfId="1547" xr:uid="{00000000-0005-0000-0000-000022030000}"/>
    <cellStyle name="Migliaia 2_Domestico_reg&amp;naz" xfId="291" xr:uid="{00000000-0005-0000-0000-000023030000}"/>
    <cellStyle name="Migliaia 20" xfId="292" xr:uid="{00000000-0005-0000-0000-000024030000}"/>
    <cellStyle name="Migliaia 20 2" xfId="293" xr:uid="{00000000-0005-0000-0000-000025030000}"/>
    <cellStyle name="Migliaia 20 2 2" xfId="1548" xr:uid="{00000000-0005-0000-0000-000026030000}"/>
    <cellStyle name="Migliaia 20 3" xfId="294" xr:uid="{00000000-0005-0000-0000-000027030000}"/>
    <cellStyle name="Migliaia 20 3 2" xfId="1549" xr:uid="{00000000-0005-0000-0000-000028030000}"/>
    <cellStyle name="Migliaia 20 3 2 2" xfId="1550" xr:uid="{00000000-0005-0000-0000-000029030000}"/>
    <cellStyle name="Migliaia 20 4" xfId="1551" xr:uid="{00000000-0005-0000-0000-00002A030000}"/>
    <cellStyle name="Migliaia 20 4 2" xfId="1552" xr:uid="{00000000-0005-0000-0000-00002B030000}"/>
    <cellStyle name="Migliaia 20 5" xfId="1553" xr:uid="{00000000-0005-0000-0000-00002C030000}"/>
    <cellStyle name="Migliaia 21" xfId="295" xr:uid="{00000000-0005-0000-0000-00002D030000}"/>
    <cellStyle name="Migliaia 21 2" xfId="296" xr:uid="{00000000-0005-0000-0000-00002E030000}"/>
    <cellStyle name="Migliaia 21 2 2" xfId="1554" xr:uid="{00000000-0005-0000-0000-00002F030000}"/>
    <cellStyle name="Migliaia 21 3" xfId="297" xr:uid="{00000000-0005-0000-0000-000030030000}"/>
    <cellStyle name="Migliaia 21 3 2" xfId="1555" xr:uid="{00000000-0005-0000-0000-000031030000}"/>
    <cellStyle name="Migliaia 21 3 2 2" xfId="1556" xr:uid="{00000000-0005-0000-0000-000032030000}"/>
    <cellStyle name="Migliaia 21 4" xfId="1557" xr:uid="{00000000-0005-0000-0000-000033030000}"/>
    <cellStyle name="Migliaia 21 4 2" xfId="1558" xr:uid="{00000000-0005-0000-0000-000034030000}"/>
    <cellStyle name="Migliaia 21 5" xfId="1559" xr:uid="{00000000-0005-0000-0000-000035030000}"/>
    <cellStyle name="Migliaia 22" xfId="298" xr:uid="{00000000-0005-0000-0000-000036030000}"/>
    <cellStyle name="Migliaia 22 2" xfId="299" xr:uid="{00000000-0005-0000-0000-000037030000}"/>
    <cellStyle name="Migliaia 22 2 2" xfId="1560" xr:uid="{00000000-0005-0000-0000-000038030000}"/>
    <cellStyle name="Migliaia 22 3" xfId="300" xr:uid="{00000000-0005-0000-0000-000039030000}"/>
    <cellStyle name="Migliaia 22 3 2" xfId="1561" xr:uid="{00000000-0005-0000-0000-00003A030000}"/>
    <cellStyle name="Migliaia 22 3 2 2" xfId="1562" xr:uid="{00000000-0005-0000-0000-00003B030000}"/>
    <cellStyle name="Migliaia 22 4" xfId="1563" xr:uid="{00000000-0005-0000-0000-00003C030000}"/>
    <cellStyle name="Migliaia 22 4 2" xfId="1564" xr:uid="{00000000-0005-0000-0000-00003D030000}"/>
    <cellStyle name="Migliaia 22 5" xfId="1565" xr:uid="{00000000-0005-0000-0000-00003E030000}"/>
    <cellStyle name="Migliaia 23" xfId="301" xr:uid="{00000000-0005-0000-0000-00003F030000}"/>
    <cellStyle name="Migliaia 23 2" xfId="302" xr:uid="{00000000-0005-0000-0000-000040030000}"/>
    <cellStyle name="Migliaia 23 2 2" xfId="1566" xr:uid="{00000000-0005-0000-0000-000041030000}"/>
    <cellStyle name="Migliaia 23 3" xfId="303" xr:uid="{00000000-0005-0000-0000-000042030000}"/>
    <cellStyle name="Migliaia 23 3 2" xfId="1567" xr:uid="{00000000-0005-0000-0000-000043030000}"/>
    <cellStyle name="Migliaia 23 3 2 2" xfId="1568" xr:uid="{00000000-0005-0000-0000-000044030000}"/>
    <cellStyle name="Migliaia 23 4" xfId="1569" xr:uid="{00000000-0005-0000-0000-000045030000}"/>
    <cellStyle name="Migliaia 23 4 2" xfId="1570" xr:uid="{00000000-0005-0000-0000-000046030000}"/>
    <cellStyle name="Migliaia 23 5" xfId="1571" xr:uid="{00000000-0005-0000-0000-000047030000}"/>
    <cellStyle name="Migliaia 24" xfId="304" xr:uid="{00000000-0005-0000-0000-000048030000}"/>
    <cellStyle name="Migliaia 24 2" xfId="305" xr:uid="{00000000-0005-0000-0000-000049030000}"/>
    <cellStyle name="Migliaia 24 2 2" xfId="1572" xr:uid="{00000000-0005-0000-0000-00004A030000}"/>
    <cellStyle name="Migliaia 24 3" xfId="306" xr:uid="{00000000-0005-0000-0000-00004B030000}"/>
    <cellStyle name="Migliaia 24 3 2" xfId="1573" xr:uid="{00000000-0005-0000-0000-00004C030000}"/>
    <cellStyle name="Migliaia 24 3 2 2" xfId="1574" xr:uid="{00000000-0005-0000-0000-00004D030000}"/>
    <cellStyle name="Migliaia 24 4" xfId="1575" xr:uid="{00000000-0005-0000-0000-00004E030000}"/>
    <cellStyle name="Migliaia 24 4 2" xfId="1576" xr:uid="{00000000-0005-0000-0000-00004F030000}"/>
    <cellStyle name="Migliaia 24 5" xfId="1577" xr:uid="{00000000-0005-0000-0000-000050030000}"/>
    <cellStyle name="Migliaia 25" xfId="307" xr:uid="{00000000-0005-0000-0000-000051030000}"/>
    <cellStyle name="Migliaia 25 2" xfId="308" xr:uid="{00000000-0005-0000-0000-000052030000}"/>
    <cellStyle name="Migliaia 25 2 2" xfId="1578" xr:uid="{00000000-0005-0000-0000-000053030000}"/>
    <cellStyle name="Migliaia 25 3" xfId="309" xr:uid="{00000000-0005-0000-0000-000054030000}"/>
    <cellStyle name="Migliaia 25 3 2" xfId="1579" xr:uid="{00000000-0005-0000-0000-000055030000}"/>
    <cellStyle name="Migliaia 25 3 2 2" xfId="1580" xr:uid="{00000000-0005-0000-0000-000056030000}"/>
    <cellStyle name="Migliaia 25 4" xfId="1581" xr:uid="{00000000-0005-0000-0000-000057030000}"/>
    <cellStyle name="Migliaia 25 4 2" xfId="1582" xr:uid="{00000000-0005-0000-0000-000058030000}"/>
    <cellStyle name="Migliaia 25 5" xfId="1583" xr:uid="{00000000-0005-0000-0000-000059030000}"/>
    <cellStyle name="Migliaia 26" xfId="310" xr:uid="{00000000-0005-0000-0000-00005A030000}"/>
    <cellStyle name="Migliaia 26 2" xfId="311" xr:uid="{00000000-0005-0000-0000-00005B030000}"/>
    <cellStyle name="Migliaia 26 2 2" xfId="1584" xr:uid="{00000000-0005-0000-0000-00005C030000}"/>
    <cellStyle name="Migliaia 26 3" xfId="312" xr:uid="{00000000-0005-0000-0000-00005D030000}"/>
    <cellStyle name="Migliaia 26 3 2" xfId="1585" xr:uid="{00000000-0005-0000-0000-00005E030000}"/>
    <cellStyle name="Migliaia 26 3 2 2" xfId="1586" xr:uid="{00000000-0005-0000-0000-00005F030000}"/>
    <cellStyle name="Migliaia 26 4" xfId="1587" xr:uid="{00000000-0005-0000-0000-000060030000}"/>
    <cellStyle name="Migliaia 26 4 2" xfId="1588" xr:uid="{00000000-0005-0000-0000-000061030000}"/>
    <cellStyle name="Migliaia 26 5" xfId="1589" xr:uid="{00000000-0005-0000-0000-000062030000}"/>
    <cellStyle name="Migliaia 27" xfId="313" xr:uid="{00000000-0005-0000-0000-000063030000}"/>
    <cellStyle name="Migliaia 27 2" xfId="314" xr:uid="{00000000-0005-0000-0000-000064030000}"/>
    <cellStyle name="Migliaia 27 2 2" xfId="1590" xr:uid="{00000000-0005-0000-0000-000065030000}"/>
    <cellStyle name="Migliaia 27 3" xfId="315" xr:uid="{00000000-0005-0000-0000-000066030000}"/>
    <cellStyle name="Migliaia 27 3 2" xfId="1591" xr:uid="{00000000-0005-0000-0000-000067030000}"/>
    <cellStyle name="Migliaia 27 3 2 2" xfId="1592" xr:uid="{00000000-0005-0000-0000-000068030000}"/>
    <cellStyle name="Migliaia 27 4" xfId="1593" xr:uid="{00000000-0005-0000-0000-000069030000}"/>
    <cellStyle name="Migliaia 27 4 2" xfId="1594" xr:uid="{00000000-0005-0000-0000-00006A030000}"/>
    <cellStyle name="Migliaia 27 5" xfId="1595" xr:uid="{00000000-0005-0000-0000-00006B030000}"/>
    <cellStyle name="Migliaia 28" xfId="316" xr:uid="{00000000-0005-0000-0000-00006C030000}"/>
    <cellStyle name="Migliaia 28 2" xfId="317" xr:uid="{00000000-0005-0000-0000-00006D030000}"/>
    <cellStyle name="Migliaia 28 2 2" xfId="1596" xr:uid="{00000000-0005-0000-0000-00006E030000}"/>
    <cellStyle name="Migliaia 28 3" xfId="318" xr:uid="{00000000-0005-0000-0000-00006F030000}"/>
    <cellStyle name="Migliaia 28 3 2" xfId="1597" xr:uid="{00000000-0005-0000-0000-000070030000}"/>
    <cellStyle name="Migliaia 28 3 2 2" xfId="1598" xr:uid="{00000000-0005-0000-0000-000071030000}"/>
    <cellStyle name="Migliaia 28 4" xfId="1599" xr:uid="{00000000-0005-0000-0000-000072030000}"/>
    <cellStyle name="Migliaia 28 4 2" xfId="1600" xr:uid="{00000000-0005-0000-0000-000073030000}"/>
    <cellStyle name="Migliaia 28 5" xfId="1601" xr:uid="{00000000-0005-0000-0000-000074030000}"/>
    <cellStyle name="Migliaia 29" xfId="319" xr:uid="{00000000-0005-0000-0000-000075030000}"/>
    <cellStyle name="Migliaia 29 2" xfId="320" xr:uid="{00000000-0005-0000-0000-000076030000}"/>
    <cellStyle name="Migliaia 29 2 2" xfId="1602" xr:uid="{00000000-0005-0000-0000-000077030000}"/>
    <cellStyle name="Migliaia 29 3" xfId="321" xr:uid="{00000000-0005-0000-0000-000078030000}"/>
    <cellStyle name="Migliaia 29 3 2" xfId="1603" xr:uid="{00000000-0005-0000-0000-000079030000}"/>
    <cellStyle name="Migliaia 29 3 2 2" xfId="1604" xr:uid="{00000000-0005-0000-0000-00007A030000}"/>
    <cellStyle name="Migliaia 29 4" xfId="1605" xr:uid="{00000000-0005-0000-0000-00007B030000}"/>
    <cellStyle name="Migliaia 29 4 2" xfId="1606" xr:uid="{00000000-0005-0000-0000-00007C030000}"/>
    <cellStyle name="Migliaia 29 5" xfId="1607" xr:uid="{00000000-0005-0000-0000-00007D030000}"/>
    <cellStyle name="Migliaia 3" xfId="322" xr:uid="{00000000-0005-0000-0000-00007E030000}"/>
    <cellStyle name="Migliaia 3 2" xfId="323" xr:uid="{00000000-0005-0000-0000-00007F030000}"/>
    <cellStyle name="Migliaia 3 2 2" xfId="1608" xr:uid="{00000000-0005-0000-0000-000080030000}"/>
    <cellStyle name="Migliaia 3 3" xfId="324" xr:uid="{00000000-0005-0000-0000-000081030000}"/>
    <cellStyle name="Migliaia 3 3 2" xfId="1609" xr:uid="{00000000-0005-0000-0000-000082030000}"/>
    <cellStyle name="Migliaia 3 3 2 2" xfId="1610" xr:uid="{00000000-0005-0000-0000-000083030000}"/>
    <cellStyle name="Migliaia 3 4" xfId="1611" xr:uid="{00000000-0005-0000-0000-000084030000}"/>
    <cellStyle name="Migliaia 3 4 2" xfId="1612" xr:uid="{00000000-0005-0000-0000-000085030000}"/>
    <cellStyle name="Migliaia 3 5" xfId="1613" xr:uid="{00000000-0005-0000-0000-000086030000}"/>
    <cellStyle name="Migliaia 30" xfId="325" xr:uid="{00000000-0005-0000-0000-000087030000}"/>
    <cellStyle name="Migliaia 30 2" xfId="326" xr:uid="{00000000-0005-0000-0000-000088030000}"/>
    <cellStyle name="Migliaia 30 2 2" xfId="1614" xr:uid="{00000000-0005-0000-0000-000089030000}"/>
    <cellStyle name="Migliaia 30 3" xfId="327" xr:uid="{00000000-0005-0000-0000-00008A030000}"/>
    <cellStyle name="Migliaia 30 3 2" xfId="1615" xr:uid="{00000000-0005-0000-0000-00008B030000}"/>
    <cellStyle name="Migliaia 30 3 2 2" xfId="1616" xr:uid="{00000000-0005-0000-0000-00008C030000}"/>
    <cellStyle name="Migliaia 30 4" xfId="1617" xr:uid="{00000000-0005-0000-0000-00008D030000}"/>
    <cellStyle name="Migliaia 30 4 2" xfId="1618" xr:uid="{00000000-0005-0000-0000-00008E030000}"/>
    <cellStyle name="Migliaia 30 5" xfId="1619" xr:uid="{00000000-0005-0000-0000-00008F030000}"/>
    <cellStyle name="Migliaia 31" xfId="328" xr:uid="{00000000-0005-0000-0000-000090030000}"/>
    <cellStyle name="Migliaia 31 2" xfId="329" xr:uid="{00000000-0005-0000-0000-000091030000}"/>
    <cellStyle name="Migliaia 31 2 2" xfId="1620" xr:uid="{00000000-0005-0000-0000-000092030000}"/>
    <cellStyle name="Migliaia 31 3" xfId="330" xr:uid="{00000000-0005-0000-0000-000093030000}"/>
    <cellStyle name="Migliaia 31 3 2" xfId="1621" xr:uid="{00000000-0005-0000-0000-000094030000}"/>
    <cellStyle name="Migliaia 31 3 2 2" xfId="1622" xr:uid="{00000000-0005-0000-0000-000095030000}"/>
    <cellStyle name="Migliaia 31 4" xfId="1623" xr:uid="{00000000-0005-0000-0000-000096030000}"/>
    <cellStyle name="Migliaia 31 4 2" xfId="1624" xr:uid="{00000000-0005-0000-0000-000097030000}"/>
    <cellStyle name="Migliaia 31 5" xfId="1625" xr:uid="{00000000-0005-0000-0000-000098030000}"/>
    <cellStyle name="Migliaia 32" xfId="331" xr:uid="{00000000-0005-0000-0000-000099030000}"/>
    <cellStyle name="Migliaia 32 2" xfId="332" xr:uid="{00000000-0005-0000-0000-00009A030000}"/>
    <cellStyle name="Migliaia 32 2 2" xfId="1626" xr:uid="{00000000-0005-0000-0000-00009B030000}"/>
    <cellStyle name="Migliaia 32 3" xfId="333" xr:uid="{00000000-0005-0000-0000-00009C030000}"/>
    <cellStyle name="Migliaia 32 3 2" xfId="1627" xr:uid="{00000000-0005-0000-0000-00009D030000}"/>
    <cellStyle name="Migliaia 32 3 2 2" xfId="1628" xr:uid="{00000000-0005-0000-0000-00009E030000}"/>
    <cellStyle name="Migliaia 32 4" xfId="1629" xr:uid="{00000000-0005-0000-0000-00009F030000}"/>
    <cellStyle name="Migliaia 32 4 2" xfId="1630" xr:uid="{00000000-0005-0000-0000-0000A0030000}"/>
    <cellStyle name="Migliaia 32 5" xfId="1631" xr:uid="{00000000-0005-0000-0000-0000A1030000}"/>
    <cellStyle name="Migliaia 33" xfId="334" xr:uid="{00000000-0005-0000-0000-0000A2030000}"/>
    <cellStyle name="Migliaia 33 2" xfId="335" xr:uid="{00000000-0005-0000-0000-0000A3030000}"/>
    <cellStyle name="Migliaia 33 2 2" xfId="1632" xr:uid="{00000000-0005-0000-0000-0000A4030000}"/>
    <cellStyle name="Migliaia 33 3" xfId="336" xr:uid="{00000000-0005-0000-0000-0000A5030000}"/>
    <cellStyle name="Migliaia 33 3 2" xfId="1633" xr:uid="{00000000-0005-0000-0000-0000A6030000}"/>
    <cellStyle name="Migliaia 33 3 2 2" xfId="1634" xr:uid="{00000000-0005-0000-0000-0000A7030000}"/>
    <cellStyle name="Migliaia 33 4" xfId="1635" xr:uid="{00000000-0005-0000-0000-0000A8030000}"/>
    <cellStyle name="Migliaia 33 4 2" xfId="1636" xr:uid="{00000000-0005-0000-0000-0000A9030000}"/>
    <cellStyle name="Migliaia 33 5" xfId="1637" xr:uid="{00000000-0005-0000-0000-0000AA030000}"/>
    <cellStyle name="Migliaia 34" xfId="337" xr:uid="{00000000-0005-0000-0000-0000AB030000}"/>
    <cellStyle name="Migliaia 34 2" xfId="338" xr:uid="{00000000-0005-0000-0000-0000AC030000}"/>
    <cellStyle name="Migliaia 34 2 2" xfId="1638" xr:uid="{00000000-0005-0000-0000-0000AD030000}"/>
    <cellStyle name="Migliaia 34 3" xfId="339" xr:uid="{00000000-0005-0000-0000-0000AE030000}"/>
    <cellStyle name="Migliaia 34 3 2" xfId="1639" xr:uid="{00000000-0005-0000-0000-0000AF030000}"/>
    <cellStyle name="Migliaia 34 3 2 2" xfId="1640" xr:uid="{00000000-0005-0000-0000-0000B0030000}"/>
    <cellStyle name="Migliaia 34 4" xfId="1641" xr:uid="{00000000-0005-0000-0000-0000B1030000}"/>
    <cellStyle name="Migliaia 34 4 2" xfId="1642" xr:uid="{00000000-0005-0000-0000-0000B2030000}"/>
    <cellStyle name="Migliaia 34 5" xfId="1643" xr:uid="{00000000-0005-0000-0000-0000B3030000}"/>
    <cellStyle name="Migliaia 35" xfId="340" xr:uid="{00000000-0005-0000-0000-0000B4030000}"/>
    <cellStyle name="Migliaia 35 2" xfId="341" xr:uid="{00000000-0005-0000-0000-0000B5030000}"/>
    <cellStyle name="Migliaia 35 2 2" xfId="1644" xr:uid="{00000000-0005-0000-0000-0000B6030000}"/>
    <cellStyle name="Migliaia 35 3" xfId="342" xr:uid="{00000000-0005-0000-0000-0000B7030000}"/>
    <cellStyle name="Migliaia 35 3 2" xfId="1645" xr:uid="{00000000-0005-0000-0000-0000B8030000}"/>
    <cellStyle name="Migliaia 35 3 2 2" xfId="1646" xr:uid="{00000000-0005-0000-0000-0000B9030000}"/>
    <cellStyle name="Migliaia 35 4" xfId="1647" xr:uid="{00000000-0005-0000-0000-0000BA030000}"/>
    <cellStyle name="Migliaia 35 4 2" xfId="1648" xr:uid="{00000000-0005-0000-0000-0000BB030000}"/>
    <cellStyle name="Migliaia 35 5" xfId="1649" xr:uid="{00000000-0005-0000-0000-0000BC030000}"/>
    <cellStyle name="Migliaia 36" xfId="343" xr:uid="{00000000-0005-0000-0000-0000BD030000}"/>
    <cellStyle name="Migliaia 36 2" xfId="344" xr:uid="{00000000-0005-0000-0000-0000BE030000}"/>
    <cellStyle name="Migliaia 36 2 2" xfId="1650" xr:uid="{00000000-0005-0000-0000-0000BF030000}"/>
    <cellStyle name="Migliaia 36 3" xfId="345" xr:uid="{00000000-0005-0000-0000-0000C0030000}"/>
    <cellStyle name="Migliaia 36 3 2" xfId="1651" xr:uid="{00000000-0005-0000-0000-0000C1030000}"/>
    <cellStyle name="Migliaia 36 3 2 2" xfId="1652" xr:uid="{00000000-0005-0000-0000-0000C2030000}"/>
    <cellStyle name="Migliaia 36 4" xfId="1653" xr:uid="{00000000-0005-0000-0000-0000C3030000}"/>
    <cellStyle name="Migliaia 36 4 2" xfId="1654" xr:uid="{00000000-0005-0000-0000-0000C4030000}"/>
    <cellStyle name="Migliaia 36 5" xfId="1655" xr:uid="{00000000-0005-0000-0000-0000C5030000}"/>
    <cellStyle name="Migliaia 37" xfId="346" xr:uid="{00000000-0005-0000-0000-0000C6030000}"/>
    <cellStyle name="Migliaia 37 2" xfId="347" xr:uid="{00000000-0005-0000-0000-0000C7030000}"/>
    <cellStyle name="Migliaia 37 2 2" xfId="1656" xr:uid="{00000000-0005-0000-0000-0000C8030000}"/>
    <cellStyle name="Migliaia 37 3" xfId="348" xr:uid="{00000000-0005-0000-0000-0000C9030000}"/>
    <cellStyle name="Migliaia 37 3 2" xfId="1657" xr:uid="{00000000-0005-0000-0000-0000CA030000}"/>
    <cellStyle name="Migliaia 37 3 2 2" xfId="1658" xr:uid="{00000000-0005-0000-0000-0000CB030000}"/>
    <cellStyle name="Migliaia 37 4" xfId="1659" xr:uid="{00000000-0005-0000-0000-0000CC030000}"/>
    <cellStyle name="Migliaia 37 4 2" xfId="1660" xr:uid="{00000000-0005-0000-0000-0000CD030000}"/>
    <cellStyle name="Migliaia 37 5" xfId="1661" xr:uid="{00000000-0005-0000-0000-0000CE030000}"/>
    <cellStyle name="Migliaia 38" xfId="349" xr:uid="{00000000-0005-0000-0000-0000CF030000}"/>
    <cellStyle name="Migliaia 38 2" xfId="350" xr:uid="{00000000-0005-0000-0000-0000D0030000}"/>
    <cellStyle name="Migliaia 38 2 2" xfId="1662" xr:uid="{00000000-0005-0000-0000-0000D1030000}"/>
    <cellStyle name="Migliaia 38 3" xfId="351" xr:uid="{00000000-0005-0000-0000-0000D2030000}"/>
    <cellStyle name="Migliaia 38 3 2" xfId="1663" xr:uid="{00000000-0005-0000-0000-0000D3030000}"/>
    <cellStyle name="Migliaia 38 3 2 2" xfId="1664" xr:uid="{00000000-0005-0000-0000-0000D4030000}"/>
    <cellStyle name="Migliaia 38 4" xfId="1665" xr:uid="{00000000-0005-0000-0000-0000D5030000}"/>
    <cellStyle name="Migliaia 38 4 2" xfId="1666" xr:uid="{00000000-0005-0000-0000-0000D6030000}"/>
    <cellStyle name="Migliaia 38 5" xfId="1667" xr:uid="{00000000-0005-0000-0000-0000D7030000}"/>
    <cellStyle name="Migliaia 39" xfId="352" xr:uid="{00000000-0005-0000-0000-0000D8030000}"/>
    <cellStyle name="Migliaia 39 2" xfId="353" xr:uid="{00000000-0005-0000-0000-0000D9030000}"/>
    <cellStyle name="Migliaia 39 2 2" xfId="1668" xr:uid="{00000000-0005-0000-0000-0000DA030000}"/>
    <cellStyle name="Migliaia 39 3" xfId="354" xr:uid="{00000000-0005-0000-0000-0000DB030000}"/>
    <cellStyle name="Migliaia 39 3 2" xfId="1669" xr:uid="{00000000-0005-0000-0000-0000DC030000}"/>
    <cellStyle name="Migliaia 39 3 2 2" xfId="1670" xr:uid="{00000000-0005-0000-0000-0000DD030000}"/>
    <cellStyle name="Migliaia 39 4" xfId="1671" xr:uid="{00000000-0005-0000-0000-0000DE030000}"/>
    <cellStyle name="Migliaia 39 4 2" xfId="1672" xr:uid="{00000000-0005-0000-0000-0000DF030000}"/>
    <cellStyle name="Migliaia 39 5" xfId="1673" xr:uid="{00000000-0005-0000-0000-0000E0030000}"/>
    <cellStyle name="Migliaia 4" xfId="355" xr:uid="{00000000-0005-0000-0000-0000E1030000}"/>
    <cellStyle name="Migliaia 4 2" xfId="356" xr:uid="{00000000-0005-0000-0000-0000E2030000}"/>
    <cellStyle name="Migliaia 4 2 2" xfId="1674" xr:uid="{00000000-0005-0000-0000-0000E3030000}"/>
    <cellStyle name="Migliaia 4 3" xfId="357" xr:uid="{00000000-0005-0000-0000-0000E4030000}"/>
    <cellStyle name="Migliaia 4 3 2" xfId="1675" xr:uid="{00000000-0005-0000-0000-0000E5030000}"/>
    <cellStyle name="Migliaia 4 3 2 2" xfId="1676" xr:uid="{00000000-0005-0000-0000-0000E6030000}"/>
    <cellStyle name="Migliaia 4 4" xfId="1677" xr:uid="{00000000-0005-0000-0000-0000E7030000}"/>
    <cellStyle name="Migliaia 4 4 2" xfId="1678" xr:uid="{00000000-0005-0000-0000-0000E8030000}"/>
    <cellStyle name="Migliaia 4 5" xfId="1679" xr:uid="{00000000-0005-0000-0000-0000E9030000}"/>
    <cellStyle name="Migliaia 40" xfId="358" xr:uid="{00000000-0005-0000-0000-0000EA030000}"/>
    <cellStyle name="Migliaia 40 2" xfId="359" xr:uid="{00000000-0005-0000-0000-0000EB030000}"/>
    <cellStyle name="Migliaia 40 2 2" xfId="1680" xr:uid="{00000000-0005-0000-0000-0000EC030000}"/>
    <cellStyle name="Migliaia 40 3" xfId="360" xr:uid="{00000000-0005-0000-0000-0000ED030000}"/>
    <cellStyle name="Migliaia 40 3 2" xfId="1681" xr:uid="{00000000-0005-0000-0000-0000EE030000}"/>
    <cellStyle name="Migliaia 40 3 2 2" xfId="1682" xr:uid="{00000000-0005-0000-0000-0000EF030000}"/>
    <cellStyle name="Migliaia 40 4" xfId="1683" xr:uid="{00000000-0005-0000-0000-0000F0030000}"/>
    <cellStyle name="Migliaia 40 4 2" xfId="1684" xr:uid="{00000000-0005-0000-0000-0000F1030000}"/>
    <cellStyle name="Migliaia 40 5" xfId="1685" xr:uid="{00000000-0005-0000-0000-0000F2030000}"/>
    <cellStyle name="Migliaia 41" xfId="361" xr:uid="{00000000-0005-0000-0000-0000F3030000}"/>
    <cellStyle name="Migliaia 41 2" xfId="362" xr:uid="{00000000-0005-0000-0000-0000F4030000}"/>
    <cellStyle name="Migliaia 41 2 2" xfId="1686" xr:uid="{00000000-0005-0000-0000-0000F5030000}"/>
    <cellStyle name="Migliaia 41 3" xfId="363" xr:uid="{00000000-0005-0000-0000-0000F6030000}"/>
    <cellStyle name="Migliaia 41 3 2" xfId="1687" xr:uid="{00000000-0005-0000-0000-0000F7030000}"/>
    <cellStyle name="Migliaia 41 3 2 2" xfId="1688" xr:uid="{00000000-0005-0000-0000-0000F8030000}"/>
    <cellStyle name="Migliaia 41 4" xfId="1689" xr:uid="{00000000-0005-0000-0000-0000F9030000}"/>
    <cellStyle name="Migliaia 41 4 2" xfId="1690" xr:uid="{00000000-0005-0000-0000-0000FA030000}"/>
    <cellStyle name="Migliaia 41 5" xfId="1691" xr:uid="{00000000-0005-0000-0000-0000FB030000}"/>
    <cellStyle name="Migliaia 42" xfId="364" xr:uid="{00000000-0005-0000-0000-0000FC030000}"/>
    <cellStyle name="Migliaia 42 2" xfId="365" xr:uid="{00000000-0005-0000-0000-0000FD030000}"/>
    <cellStyle name="Migliaia 42 2 2" xfId="1692" xr:uid="{00000000-0005-0000-0000-0000FE030000}"/>
    <cellStyle name="Migliaia 42 3" xfId="366" xr:uid="{00000000-0005-0000-0000-0000FF030000}"/>
    <cellStyle name="Migliaia 42 3 2" xfId="1693" xr:uid="{00000000-0005-0000-0000-000000040000}"/>
    <cellStyle name="Migliaia 42 3 2 2" xfId="1694" xr:uid="{00000000-0005-0000-0000-000001040000}"/>
    <cellStyle name="Migliaia 42 4" xfId="1695" xr:uid="{00000000-0005-0000-0000-000002040000}"/>
    <cellStyle name="Migliaia 42 4 2" xfId="1696" xr:uid="{00000000-0005-0000-0000-000003040000}"/>
    <cellStyle name="Migliaia 42 5" xfId="1697" xr:uid="{00000000-0005-0000-0000-000004040000}"/>
    <cellStyle name="Migliaia 43" xfId="367" xr:uid="{00000000-0005-0000-0000-000005040000}"/>
    <cellStyle name="Migliaia 43 2" xfId="368" xr:uid="{00000000-0005-0000-0000-000006040000}"/>
    <cellStyle name="Migliaia 43 2 2" xfId="1698" xr:uid="{00000000-0005-0000-0000-000007040000}"/>
    <cellStyle name="Migliaia 43 3" xfId="369" xr:uid="{00000000-0005-0000-0000-000008040000}"/>
    <cellStyle name="Migliaia 43 3 2" xfId="1699" xr:uid="{00000000-0005-0000-0000-000009040000}"/>
    <cellStyle name="Migliaia 43 3 2 2" xfId="1700" xr:uid="{00000000-0005-0000-0000-00000A040000}"/>
    <cellStyle name="Migliaia 43 4" xfId="1701" xr:uid="{00000000-0005-0000-0000-00000B040000}"/>
    <cellStyle name="Migliaia 43 4 2" xfId="1702" xr:uid="{00000000-0005-0000-0000-00000C040000}"/>
    <cellStyle name="Migliaia 43 5" xfId="1703" xr:uid="{00000000-0005-0000-0000-00000D040000}"/>
    <cellStyle name="Migliaia 44" xfId="370" xr:uid="{00000000-0005-0000-0000-00000E040000}"/>
    <cellStyle name="Migliaia 44 2" xfId="371" xr:uid="{00000000-0005-0000-0000-00000F040000}"/>
    <cellStyle name="Migliaia 44 2 2" xfId="1704" xr:uid="{00000000-0005-0000-0000-000010040000}"/>
    <cellStyle name="Migliaia 44 3" xfId="372" xr:uid="{00000000-0005-0000-0000-000011040000}"/>
    <cellStyle name="Migliaia 44 3 2" xfId="1705" xr:uid="{00000000-0005-0000-0000-000012040000}"/>
    <cellStyle name="Migliaia 44 3 2 2" xfId="1706" xr:uid="{00000000-0005-0000-0000-000013040000}"/>
    <cellStyle name="Migliaia 44 4" xfId="1707" xr:uid="{00000000-0005-0000-0000-000014040000}"/>
    <cellStyle name="Migliaia 44 4 2" xfId="1708" xr:uid="{00000000-0005-0000-0000-000015040000}"/>
    <cellStyle name="Migliaia 44 5" xfId="1709" xr:uid="{00000000-0005-0000-0000-000016040000}"/>
    <cellStyle name="Migliaia 45" xfId="373" xr:uid="{00000000-0005-0000-0000-000017040000}"/>
    <cellStyle name="Migliaia 45 2" xfId="374" xr:uid="{00000000-0005-0000-0000-000018040000}"/>
    <cellStyle name="Migliaia 45 2 2" xfId="1710" xr:uid="{00000000-0005-0000-0000-000019040000}"/>
    <cellStyle name="Migliaia 45 3" xfId="375" xr:uid="{00000000-0005-0000-0000-00001A040000}"/>
    <cellStyle name="Migliaia 45 3 2" xfId="1711" xr:uid="{00000000-0005-0000-0000-00001B040000}"/>
    <cellStyle name="Migliaia 45 3 2 2" xfId="1712" xr:uid="{00000000-0005-0000-0000-00001C040000}"/>
    <cellStyle name="Migliaia 45 4" xfId="1713" xr:uid="{00000000-0005-0000-0000-00001D040000}"/>
    <cellStyle name="Migliaia 45 4 2" xfId="1714" xr:uid="{00000000-0005-0000-0000-00001E040000}"/>
    <cellStyle name="Migliaia 45 5" xfId="1715" xr:uid="{00000000-0005-0000-0000-00001F040000}"/>
    <cellStyle name="Migliaia 46" xfId="376" xr:uid="{00000000-0005-0000-0000-000020040000}"/>
    <cellStyle name="Migliaia 46 2" xfId="377" xr:uid="{00000000-0005-0000-0000-000021040000}"/>
    <cellStyle name="Migliaia 46 2 2" xfId="1716" xr:uid="{00000000-0005-0000-0000-000022040000}"/>
    <cellStyle name="Migliaia 46 3" xfId="378" xr:uid="{00000000-0005-0000-0000-000023040000}"/>
    <cellStyle name="Migliaia 46 3 2" xfId="1717" xr:uid="{00000000-0005-0000-0000-000024040000}"/>
    <cellStyle name="Migliaia 46 3 2 2" xfId="1718" xr:uid="{00000000-0005-0000-0000-000025040000}"/>
    <cellStyle name="Migliaia 46 4" xfId="1719" xr:uid="{00000000-0005-0000-0000-000026040000}"/>
    <cellStyle name="Migliaia 46 4 2" xfId="1720" xr:uid="{00000000-0005-0000-0000-000027040000}"/>
    <cellStyle name="Migliaia 46 5" xfId="1721" xr:uid="{00000000-0005-0000-0000-000028040000}"/>
    <cellStyle name="Migliaia 47" xfId="379" xr:uid="{00000000-0005-0000-0000-000029040000}"/>
    <cellStyle name="Migliaia 47 2" xfId="380" xr:uid="{00000000-0005-0000-0000-00002A040000}"/>
    <cellStyle name="Migliaia 47 2 2" xfId="1722" xr:uid="{00000000-0005-0000-0000-00002B040000}"/>
    <cellStyle name="Migliaia 47 3" xfId="381" xr:uid="{00000000-0005-0000-0000-00002C040000}"/>
    <cellStyle name="Migliaia 47 3 2" xfId="1723" xr:uid="{00000000-0005-0000-0000-00002D040000}"/>
    <cellStyle name="Migliaia 47 3 2 2" xfId="1724" xr:uid="{00000000-0005-0000-0000-00002E040000}"/>
    <cellStyle name="Migliaia 47 4" xfId="1725" xr:uid="{00000000-0005-0000-0000-00002F040000}"/>
    <cellStyle name="Migliaia 47 4 2" xfId="1726" xr:uid="{00000000-0005-0000-0000-000030040000}"/>
    <cellStyle name="Migliaia 47 5" xfId="1727" xr:uid="{00000000-0005-0000-0000-000031040000}"/>
    <cellStyle name="Migliaia 48" xfId="382" xr:uid="{00000000-0005-0000-0000-000032040000}"/>
    <cellStyle name="Migliaia 48 2" xfId="383" xr:uid="{00000000-0005-0000-0000-000033040000}"/>
    <cellStyle name="Migliaia 48 2 2" xfId="1728" xr:uid="{00000000-0005-0000-0000-000034040000}"/>
    <cellStyle name="Migliaia 48 3" xfId="384" xr:uid="{00000000-0005-0000-0000-000035040000}"/>
    <cellStyle name="Migliaia 48 3 2" xfId="1729" xr:uid="{00000000-0005-0000-0000-000036040000}"/>
    <cellStyle name="Migliaia 48 3 2 2" xfId="1730" xr:uid="{00000000-0005-0000-0000-000037040000}"/>
    <cellStyle name="Migliaia 48 4" xfId="1731" xr:uid="{00000000-0005-0000-0000-000038040000}"/>
    <cellStyle name="Migliaia 48 4 2" xfId="1732" xr:uid="{00000000-0005-0000-0000-000039040000}"/>
    <cellStyle name="Migliaia 48 5" xfId="1733" xr:uid="{00000000-0005-0000-0000-00003A040000}"/>
    <cellStyle name="Migliaia 49" xfId="385" xr:uid="{00000000-0005-0000-0000-00003B040000}"/>
    <cellStyle name="Migliaia 49 2" xfId="386" xr:uid="{00000000-0005-0000-0000-00003C040000}"/>
    <cellStyle name="Migliaia 49 2 2" xfId="1734" xr:uid="{00000000-0005-0000-0000-00003D040000}"/>
    <cellStyle name="Migliaia 49 3" xfId="387" xr:uid="{00000000-0005-0000-0000-00003E040000}"/>
    <cellStyle name="Migliaia 49 3 2" xfId="1735" xr:uid="{00000000-0005-0000-0000-00003F040000}"/>
    <cellStyle name="Migliaia 49 3 2 2" xfId="1736" xr:uid="{00000000-0005-0000-0000-000040040000}"/>
    <cellStyle name="Migliaia 49 4" xfId="1737" xr:uid="{00000000-0005-0000-0000-000041040000}"/>
    <cellStyle name="Migliaia 49 4 2" xfId="1738" xr:uid="{00000000-0005-0000-0000-000042040000}"/>
    <cellStyle name="Migliaia 49 5" xfId="1739" xr:uid="{00000000-0005-0000-0000-000043040000}"/>
    <cellStyle name="Migliaia 5" xfId="388" xr:uid="{00000000-0005-0000-0000-000044040000}"/>
    <cellStyle name="Migliaia 5 2" xfId="389" xr:uid="{00000000-0005-0000-0000-000045040000}"/>
    <cellStyle name="Migliaia 5 2 2" xfId="1740" xr:uid="{00000000-0005-0000-0000-000046040000}"/>
    <cellStyle name="Migliaia 5 3" xfId="390" xr:uid="{00000000-0005-0000-0000-000047040000}"/>
    <cellStyle name="Migliaia 5 3 2" xfId="1741" xr:uid="{00000000-0005-0000-0000-000048040000}"/>
    <cellStyle name="Migliaia 5 3 2 2" xfId="1742" xr:uid="{00000000-0005-0000-0000-000049040000}"/>
    <cellStyle name="Migliaia 5 4" xfId="1743" xr:uid="{00000000-0005-0000-0000-00004A040000}"/>
    <cellStyle name="Migliaia 5 4 2" xfId="1744" xr:uid="{00000000-0005-0000-0000-00004B040000}"/>
    <cellStyle name="Migliaia 5 5" xfId="1745" xr:uid="{00000000-0005-0000-0000-00004C040000}"/>
    <cellStyle name="Migliaia 50" xfId="391" xr:uid="{00000000-0005-0000-0000-00004D040000}"/>
    <cellStyle name="Migliaia 50 2" xfId="392" xr:uid="{00000000-0005-0000-0000-00004E040000}"/>
    <cellStyle name="Migliaia 50 2 2" xfId="1746" xr:uid="{00000000-0005-0000-0000-00004F040000}"/>
    <cellStyle name="Migliaia 50 3" xfId="393" xr:uid="{00000000-0005-0000-0000-000050040000}"/>
    <cellStyle name="Migliaia 50 3 2" xfId="1747" xr:uid="{00000000-0005-0000-0000-000051040000}"/>
    <cellStyle name="Migliaia 50 3 2 2" xfId="1748" xr:uid="{00000000-0005-0000-0000-000052040000}"/>
    <cellStyle name="Migliaia 50 4" xfId="1749" xr:uid="{00000000-0005-0000-0000-000053040000}"/>
    <cellStyle name="Migliaia 50 4 2" xfId="1750" xr:uid="{00000000-0005-0000-0000-000054040000}"/>
    <cellStyle name="Migliaia 50 5" xfId="1751" xr:uid="{00000000-0005-0000-0000-000055040000}"/>
    <cellStyle name="Migliaia 51" xfId="394" xr:uid="{00000000-0005-0000-0000-000056040000}"/>
    <cellStyle name="Migliaia 51 2" xfId="395" xr:uid="{00000000-0005-0000-0000-000057040000}"/>
    <cellStyle name="Migliaia 51 2 2" xfId="1752" xr:uid="{00000000-0005-0000-0000-000058040000}"/>
    <cellStyle name="Migliaia 51 3" xfId="396" xr:uid="{00000000-0005-0000-0000-000059040000}"/>
    <cellStyle name="Migliaia 51 3 2" xfId="1753" xr:uid="{00000000-0005-0000-0000-00005A040000}"/>
    <cellStyle name="Migliaia 51 3 2 2" xfId="1754" xr:uid="{00000000-0005-0000-0000-00005B040000}"/>
    <cellStyle name="Migliaia 51 4" xfId="1755" xr:uid="{00000000-0005-0000-0000-00005C040000}"/>
    <cellStyle name="Migliaia 51 4 2" xfId="1756" xr:uid="{00000000-0005-0000-0000-00005D040000}"/>
    <cellStyle name="Migliaia 51 5" xfId="1757" xr:uid="{00000000-0005-0000-0000-00005E040000}"/>
    <cellStyle name="Migliaia 52" xfId="397" xr:uid="{00000000-0005-0000-0000-00005F040000}"/>
    <cellStyle name="Migliaia 52 2" xfId="398" xr:uid="{00000000-0005-0000-0000-000060040000}"/>
    <cellStyle name="Migliaia 52 2 2" xfId="1758" xr:uid="{00000000-0005-0000-0000-000061040000}"/>
    <cellStyle name="Migliaia 52 3" xfId="399" xr:uid="{00000000-0005-0000-0000-000062040000}"/>
    <cellStyle name="Migliaia 52 3 2" xfId="1759" xr:uid="{00000000-0005-0000-0000-000063040000}"/>
    <cellStyle name="Migliaia 52 3 2 2" xfId="1760" xr:uid="{00000000-0005-0000-0000-000064040000}"/>
    <cellStyle name="Migliaia 52 4" xfId="1761" xr:uid="{00000000-0005-0000-0000-000065040000}"/>
    <cellStyle name="Migliaia 52 4 2" xfId="1762" xr:uid="{00000000-0005-0000-0000-000066040000}"/>
    <cellStyle name="Migliaia 52 5" xfId="1763" xr:uid="{00000000-0005-0000-0000-000067040000}"/>
    <cellStyle name="Migliaia 53" xfId="400" xr:uid="{00000000-0005-0000-0000-000068040000}"/>
    <cellStyle name="Migliaia 53 2" xfId="401" xr:uid="{00000000-0005-0000-0000-000069040000}"/>
    <cellStyle name="Migliaia 53 2 2" xfId="1764" xr:uid="{00000000-0005-0000-0000-00006A040000}"/>
    <cellStyle name="Migliaia 53 3" xfId="402" xr:uid="{00000000-0005-0000-0000-00006B040000}"/>
    <cellStyle name="Migliaia 53 3 2" xfId="1765" xr:uid="{00000000-0005-0000-0000-00006C040000}"/>
    <cellStyle name="Migliaia 53 3 2 2" xfId="1766" xr:uid="{00000000-0005-0000-0000-00006D040000}"/>
    <cellStyle name="Migliaia 53 4" xfId="1767" xr:uid="{00000000-0005-0000-0000-00006E040000}"/>
    <cellStyle name="Migliaia 53 4 2" xfId="1768" xr:uid="{00000000-0005-0000-0000-00006F040000}"/>
    <cellStyle name="Migliaia 53 5" xfId="1769" xr:uid="{00000000-0005-0000-0000-000070040000}"/>
    <cellStyle name="Migliaia 54" xfId="403" xr:uid="{00000000-0005-0000-0000-000071040000}"/>
    <cellStyle name="Migliaia 54 2" xfId="404" xr:uid="{00000000-0005-0000-0000-000072040000}"/>
    <cellStyle name="Migliaia 54 2 2" xfId="1770" xr:uid="{00000000-0005-0000-0000-000073040000}"/>
    <cellStyle name="Migliaia 54 3" xfId="405" xr:uid="{00000000-0005-0000-0000-000074040000}"/>
    <cellStyle name="Migliaia 54 3 2" xfId="1771" xr:uid="{00000000-0005-0000-0000-000075040000}"/>
    <cellStyle name="Migliaia 54 3 2 2" xfId="1772" xr:uid="{00000000-0005-0000-0000-000076040000}"/>
    <cellStyle name="Migliaia 54 4" xfId="1773" xr:uid="{00000000-0005-0000-0000-000077040000}"/>
    <cellStyle name="Migliaia 54 4 2" xfId="1774" xr:uid="{00000000-0005-0000-0000-000078040000}"/>
    <cellStyle name="Migliaia 54 5" xfId="1775" xr:uid="{00000000-0005-0000-0000-000079040000}"/>
    <cellStyle name="Migliaia 55" xfId="406" xr:uid="{00000000-0005-0000-0000-00007A040000}"/>
    <cellStyle name="Migliaia 55 2" xfId="407" xr:uid="{00000000-0005-0000-0000-00007B040000}"/>
    <cellStyle name="Migliaia 55 2 2" xfId="1776" xr:uid="{00000000-0005-0000-0000-00007C040000}"/>
    <cellStyle name="Migliaia 55 3" xfId="408" xr:uid="{00000000-0005-0000-0000-00007D040000}"/>
    <cellStyle name="Migliaia 55 3 2" xfId="1777" xr:uid="{00000000-0005-0000-0000-00007E040000}"/>
    <cellStyle name="Migliaia 55 3 2 2" xfId="1778" xr:uid="{00000000-0005-0000-0000-00007F040000}"/>
    <cellStyle name="Migliaia 55 4" xfId="1779" xr:uid="{00000000-0005-0000-0000-000080040000}"/>
    <cellStyle name="Migliaia 55 4 2" xfId="1780" xr:uid="{00000000-0005-0000-0000-000081040000}"/>
    <cellStyle name="Migliaia 55 5" xfId="1781" xr:uid="{00000000-0005-0000-0000-000082040000}"/>
    <cellStyle name="Migliaia 56" xfId="409" xr:uid="{00000000-0005-0000-0000-000083040000}"/>
    <cellStyle name="Migliaia 56 2" xfId="410" xr:uid="{00000000-0005-0000-0000-000084040000}"/>
    <cellStyle name="Migliaia 56 2 2" xfId="1782" xr:uid="{00000000-0005-0000-0000-000085040000}"/>
    <cellStyle name="Migliaia 56 3" xfId="411" xr:uid="{00000000-0005-0000-0000-000086040000}"/>
    <cellStyle name="Migliaia 56 3 2" xfId="1783" xr:uid="{00000000-0005-0000-0000-000087040000}"/>
    <cellStyle name="Migliaia 56 3 2 2" xfId="1784" xr:uid="{00000000-0005-0000-0000-000088040000}"/>
    <cellStyle name="Migliaia 56 4" xfId="1785" xr:uid="{00000000-0005-0000-0000-000089040000}"/>
    <cellStyle name="Migliaia 56 4 2" xfId="1786" xr:uid="{00000000-0005-0000-0000-00008A040000}"/>
    <cellStyle name="Migliaia 56 5" xfId="1787" xr:uid="{00000000-0005-0000-0000-00008B040000}"/>
    <cellStyle name="Migliaia 57" xfId="412" xr:uid="{00000000-0005-0000-0000-00008C040000}"/>
    <cellStyle name="Migliaia 57 2" xfId="413" xr:uid="{00000000-0005-0000-0000-00008D040000}"/>
    <cellStyle name="Migliaia 57 2 2" xfId="1788" xr:uid="{00000000-0005-0000-0000-00008E040000}"/>
    <cellStyle name="Migliaia 57 3" xfId="414" xr:uid="{00000000-0005-0000-0000-00008F040000}"/>
    <cellStyle name="Migliaia 57 3 2" xfId="1789" xr:uid="{00000000-0005-0000-0000-000090040000}"/>
    <cellStyle name="Migliaia 57 3 2 2" xfId="1790" xr:uid="{00000000-0005-0000-0000-000091040000}"/>
    <cellStyle name="Migliaia 57 4" xfId="1791" xr:uid="{00000000-0005-0000-0000-000092040000}"/>
    <cellStyle name="Migliaia 57 4 2" xfId="1792" xr:uid="{00000000-0005-0000-0000-000093040000}"/>
    <cellStyle name="Migliaia 57 5" xfId="1793" xr:uid="{00000000-0005-0000-0000-000094040000}"/>
    <cellStyle name="Migliaia 58" xfId="415" xr:uid="{00000000-0005-0000-0000-000095040000}"/>
    <cellStyle name="Migliaia 58 2" xfId="416" xr:uid="{00000000-0005-0000-0000-000096040000}"/>
    <cellStyle name="Migliaia 58 2 2" xfId="1794" xr:uid="{00000000-0005-0000-0000-000097040000}"/>
    <cellStyle name="Migliaia 58 3" xfId="417" xr:uid="{00000000-0005-0000-0000-000098040000}"/>
    <cellStyle name="Migliaia 58 3 2" xfId="1795" xr:uid="{00000000-0005-0000-0000-000099040000}"/>
    <cellStyle name="Migliaia 58 3 2 2" xfId="1796" xr:uid="{00000000-0005-0000-0000-00009A040000}"/>
    <cellStyle name="Migliaia 58 4" xfId="1797" xr:uid="{00000000-0005-0000-0000-00009B040000}"/>
    <cellStyle name="Migliaia 58 4 2" xfId="1798" xr:uid="{00000000-0005-0000-0000-00009C040000}"/>
    <cellStyle name="Migliaia 58 5" xfId="1799" xr:uid="{00000000-0005-0000-0000-00009D040000}"/>
    <cellStyle name="Migliaia 59" xfId="418" xr:uid="{00000000-0005-0000-0000-00009E040000}"/>
    <cellStyle name="Migliaia 59 2" xfId="419" xr:uid="{00000000-0005-0000-0000-00009F040000}"/>
    <cellStyle name="Migliaia 59 2 2" xfId="1800" xr:uid="{00000000-0005-0000-0000-0000A0040000}"/>
    <cellStyle name="Migliaia 59 3" xfId="420" xr:uid="{00000000-0005-0000-0000-0000A1040000}"/>
    <cellStyle name="Migliaia 59 3 2" xfId="1801" xr:uid="{00000000-0005-0000-0000-0000A2040000}"/>
    <cellStyle name="Migliaia 59 3 2 2" xfId="1802" xr:uid="{00000000-0005-0000-0000-0000A3040000}"/>
    <cellStyle name="Migliaia 59 4" xfId="1803" xr:uid="{00000000-0005-0000-0000-0000A4040000}"/>
    <cellStyle name="Migliaia 59 4 2" xfId="1804" xr:uid="{00000000-0005-0000-0000-0000A5040000}"/>
    <cellStyle name="Migliaia 59 5" xfId="1805" xr:uid="{00000000-0005-0000-0000-0000A6040000}"/>
    <cellStyle name="Migliaia 6" xfId="421" xr:uid="{00000000-0005-0000-0000-0000A7040000}"/>
    <cellStyle name="Migliaia 6 2" xfId="422" xr:uid="{00000000-0005-0000-0000-0000A8040000}"/>
    <cellStyle name="Migliaia 6 2 2" xfId="1806" xr:uid="{00000000-0005-0000-0000-0000A9040000}"/>
    <cellStyle name="Migliaia 6 3" xfId="423" xr:uid="{00000000-0005-0000-0000-0000AA040000}"/>
    <cellStyle name="Migliaia 6 3 2" xfId="1807" xr:uid="{00000000-0005-0000-0000-0000AB040000}"/>
    <cellStyle name="Migliaia 6 3 2 2" xfId="1808" xr:uid="{00000000-0005-0000-0000-0000AC040000}"/>
    <cellStyle name="Migliaia 6 4" xfId="1809" xr:uid="{00000000-0005-0000-0000-0000AD040000}"/>
    <cellStyle name="Migliaia 6 4 2" xfId="1810" xr:uid="{00000000-0005-0000-0000-0000AE040000}"/>
    <cellStyle name="Migliaia 6 5" xfId="1811" xr:uid="{00000000-0005-0000-0000-0000AF040000}"/>
    <cellStyle name="Migliaia 60" xfId="424" xr:uid="{00000000-0005-0000-0000-0000B0040000}"/>
    <cellStyle name="Migliaia 60 2" xfId="425" xr:uid="{00000000-0005-0000-0000-0000B1040000}"/>
    <cellStyle name="Migliaia 60 2 2" xfId="1812" xr:uid="{00000000-0005-0000-0000-0000B2040000}"/>
    <cellStyle name="Migliaia 60 3" xfId="426" xr:uid="{00000000-0005-0000-0000-0000B3040000}"/>
    <cellStyle name="Migliaia 60 3 2" xfId="1813" xr:uid="{00000000-0005-0000-0000-0000B4040000}"/>
    <cellStyle name="Migliaia 60 3 2 2" xfId="1814" xr:uid="{00000000-0005-0000-0000-0000B5040000}"/>
    <cellStyle name="Migliaia 60 4" xfId="1815" xr:uid="{00000000-0005-0000-0000-0000B6040000}"/>
    <cellStyle name="Migliaia 60 4 2" xfId="1816" xr:uid="{00000000-0005-0000-0000-0000B7040000}"/>
    <cellStyle name="Migliaia 60 5" xfId="1817" xr:uid="{00000000-0005-0000-0000-0000B8040000}"/>
    <cellStyle name="Migliaia 61" xfId="427" xr:uid="{00000000-0005-0000-0000-0000B9040000}"/>
    <cellStyle name="Migliaia 61 2" xfId="428" xr:uid="{00000000-0005-0000-0000-0000BA040000}"/>
    <cellStyle name="Migliaia 61 2 2" xfId="1818" xr:uid="{00000000-0005-0000-0000-0000BB040000}"/>
    <cellStyle name="Migliaia 61 3" xfId="429" xr:uid="{00000000-0005-0000-0000-0000BC040000}"/>
    <cellStyle name="Migliaia 61 3 2" xfId="1819" xr:uid="{00000000-0005-0000-0000-0000BD040000}"/>
    <cellStyle name="Migliaia 61 3 2 2" xfId="1820" xr:uid="{00000000-0005-0000-0000-0000BE040000}"/>
    <cellStyle name="Migliaia 61 4" xfId="1821" xr:uid="{00000000-0005-0000-0000-0000BF040000}"/>
    <cellStyle name="Migliaia 61 4 2" xfId="1822" xr:uid="{00000000-0005-0000-0000-0000C0040000}"/>
    <cellStyle name="Migliaia 61 5" xfId="1823" xr:uid="{00000000-0005-0000-0000-0000C1040000}"/>
    <cellStyle name="Migliaia 7" xfId="430" xr:uid="{00000000-0005-0000-0000-0000C2040000}"/>
    <cellStyle name="Migliaia 7 2" xfId="431" xr:uid="{00000000-0005-0000-0000-0000C3040000}"/>
    <cellStyle name="Migliaia 7 2 2" xfId="1824" xr:uid="{00000000-0005-0000-0000-0000C4040000}"/>
    <cellStyle name="Migliaia 7 3" xfId="432" xr:uid="{00000000-0005-0000-0000-0000C5040000}"/>
    <cellStyle name="Migliaia 7 3 2" xfId="1825" xr:uid="{00000000-0005-0000-0000-0000C6040000}"/>
    <cellStyle name="Migliaia 7 3 2 2" xfId="1826" xr:uid="{00000000-0005-0000-0000-0000C7040000}"/>
    <cellStyle name="Migliaia 7 4" xfId="1827" xr:uid="{00000000-0005-0000-0000-0000C8040000}"/>
    <cellStyle name="Migliaia 7 4 2" xfId="1828" xr:uid="{00000000-0005-0000-0000-0000C9040000}"/>
    <cellStyle name="Migliaia 7 5" xfId="1829" xr:uid="{00000000-0005-0000-0000-0000CA040000}"/>
    <cellStyle name="Migliaia 8" xfId="433" xr:uid="{00000000-0005-0000-0000-0000CB040000}"/>
    <cellStyle name="Migliaia 8 2" xfId="434" xr:uid="{00000000-0005-0000-0000-0000CC040000}"/>
    <cellStyle name="Migliaia 8 2 2" xfId="1830" xr:uid="{00000000-0005-0000-0000-0000CD040000}"/>
    <cellStyle name="Migliaia 8 3" xfId="435" xr:uid="{00000000-0005-0000-0000-0000CE040000}"/>
    <cellStyle name="Migliaia 8 3 2" xfId="1831" xr:uid="{00000000-0005-0000-0000-0000CF040000}"/>
    <cellStyle name="Migliaia 8 3 2 2" xfId="1832" xr:uid="{00000000-0005-0000-0000-0000D0040000}"/>
    <cellStyle name="Migliaia 8 4" xfId="1833" xr:uid="{00000000-0005-0000-0000-0000D1040000}"/>
    <cellStyle name="Migliaia 8 4 2" xfId="1834" xr:uid="{00000000-0005-0000-0000-0000D2040000}"/>
    <cellStyle name="Migliaia 8 5" xfId="1835" xr:uid="{00000000-0005-0000-0000-0000D3040000}"/>
    <cellStyle name="Migliaia 9" xfId="436" xr:uid="{00000000-0005-0000-0000-0000D4040000}"/>
    <cellStyle name="Migliaia 9 2" xfId="437" xr:uid="{00000000-0005-0000-0000-0000D5040000}"/>
    <cellStyle name="Migliaia 9 2 2" xfId="1836" xr:uid="{00000000-0005-0000-0000-0000D6040000}"/>
    <cellStyle name="Migliaia 9 3" xfId="438" xr:uid="{00000000-0005-0000-0000-0000D7040000}"/>
    <cellStyle name="Migliaia 9 3 2" xfId="1837" xr:uid="{00000000-0005-0000-0000-0000D8040000}"/>
    <cellStyle name="Migliaia 9 3 2 2" xfId="1838" xr:uid="{00000000-0005-0000-0000-0000D9040000}"/>
    <cellStyle name="Migliaia 9 4" xfId="1839" xr:uid="{00000000-0005-0000-0000-0000DA040000}"/>
    <cellStyle name="Migliaia 9 4 2" xfId="1840" xr:uid="{00000000-0005-0000-0000-0000DB040000}"/>
    <cellStyle name="Migliaia 9 5" xfId="1841" xr:uid="{00000000-0005-0000-0000-0000DC040000}"/>
    <cellStyle name="Neutral 2" xfId="1842" xr:uid="{00000000-0005-0000-0000-0000DD040000}"/>
    <cellStyle name="Neutrale" xfId="439" xr:uid="{00000000-0005-0000-0000-0000DE040000}"/>
    <cellStyle name="Normal" xfId="0" builtinId="0"/>
    <cellStyle name="Normal 10" xfId="440" xr:uid="{00000000-0005-0000-0000-0000E0040000}"/>
    <cellStyle name="Normal 10 2" xfId="441" xr:uid="{00000000-0005-0000-0000-0000E1040000}"/>
    <cellStyle name="Normal 11" xfId="442" xr:uid="{00000000-0005-0000-0000-0000E2040000}"/>
    <cellStyle name="Normal 12" xfId="1843" xr:uid="{00000000-0005-0000-0000-0000E3040000}"/>
    <cellStyle name="Normal 12 2" xfId="1844" xr:uid="{00000000-0005-0000-0000-0000E4040000}"/>
    <cellStyle name="Normal 13" xfId="1845" xr:uid="{00000000-0005-0000-0000-0000E5040000}"/>
    <cellStyle name="Normal 14" xfId="1846" xr:uid="{00000000-0005-0000-0000-0000E6040000}"/>
    <cellStyle name="Normal 15" xfId="1847" xr:uid="{00000000-0005-0000-0000-0000E7040000}"/>
    <cellStyle name="Normal 16" xfId="1848" xr:uid="{00000000-0005-0000-0000-0000E8040000}"/>
    <cellStyle name="Normal 16 2" xfId="1849" xr:uid="{00000000-0005-0000-0000-0000E9040000}"/>
    <cellStyle name="Normal 16 3" xfId="1850" xr:uid="{00000000-0005-0000-0000-0000EA040000}"/>
    <cellStyle name="Normal 17" xfId="1851" xr:uid="{00000000-0005-0000-0000-0000EB040000}"/>
    <cellStyle name="Normal 17 2" xfId="1852" xr:uid="{00000000-0005-0000-0000-0000EC040000}"/>
    <cellStyle name="Normal 18" xfId="1853" xr:uid="{00000000-0005-0000-0000-0000ED040000}"/>
    <cellStyle name="Normal 18 2" xfId="1854" xr:uid="{00000000-0005-0000-0000-0000EE040000}"/>
    <cellStyle name="Normal 19" xfId="1855" xr:uid="{00000000-0005-0000-0000-0000EF040000}"/>
    <cellStyle name="Normal 19 2" xfId="1856" xr:uid="{00000000-0005-0000-0000-0000F0040000}"/>
    <cellStyle name="Normal 19 3" xfId="1857" xr:uid="{00000000-0005-0000-0000-0000F1040000}"/>
    <cellStyle name="Normal 2" xfId="443" xr:uid="{00000000-0005-0000-0000-0000F2040000}"/>
    <cellStyle name="Normal 2 2" xfId="444" xr:uid="{00000000-0005-0000-0000-0000F3040000}"/>
    <cellStyle name="Normal 2 2 2" xfId="445" xr:uid="{00000000-0005-0000-0000-0000F4040000}"/>
    <cellStyle name="Normal 2 2 2 2" xfId="1858" xr:uid="{00000000-0005-0000-0000-0000F5040000}"/>
    <cellStyle name="Normal 2 2 2 2 2" xfId="1859" xr:uid="{00000000-0005-0000-0000-0000F6040000}"/>
    <cellStyle name="Normal 2 2 2 2 2 2" xfId="1860" xr:uid="{00000000-0005-0000-0000-0000F7040000}"/>
    <cellStyle name="Normal 2 2 2 2 3" xfId="1861" xr:uid="{00000000-0005-0000-0000-0000F8040000}"/>
    <cellStyle name="Normal 2 2 3" xfId="446" xr:uid="{00000000-0005-0000-0000-0000F9040000}"/>
    <cellStyle name="Normal 2 2 3 2" xfId="1862" xr:uid="{00000000-0005-0000-0000-0000FA040000}"/>
    <cellStyle name="Normal 2 2 3 2 2" xfId="1863" xr:uid="{00000000-0005-0000-0000-0000FB040000}"/>
    <cellStyle name="Normal 2 2 3 3" xfId="1864" xr:uid="{00000000-0005-0000-0000-0000FC040000}"/>
    <cellStyle name="Normal 2 2 4" xfId="1865" xr:uid="{00000000-0005-0000-0000-0000FD040000}"/>
    <cellStyle name="Normal 2 2 4 2" xfId="1866" xr:uid="{00000000-0005-0000-0000-0000FE040000}"/>
    <cellStyle name="Normal 2 2 5" xfId="1867" xr:uid="{00000000-0005-0000-0000-0000FF040000}"/>
    <cellStyle name="Normal 2 3" xfId="447" xr:uid="{00000000-0005-0000-0000-000000050000}"/>
    <cellStyle name="Normal 2 4" xfId="448" xr:uid="{00000000-0005-0000-0000-000001050000}"/>
    <cellStyle name="Normal 2 4 2" xfId="1868" xr:uid="{00000000-0005-0000-0000-000002050000}"/>
    <cellStyle name="Normal 2 4 2 2" xfId="1869" xr:uid="{00000000-0005-0000-0000-000003050000}"/>
    <cellStyle name="Normal 2 4 3" xfId="1870" xr:uid="{00000000-0005-0000-0000-000004050000}"/>
    <cellStyle name="Normal 2 5" xfId="1871" xr:uid="{00000000-0005-0000-0000-000005050000}"/>
    <cellStyle name="Normal 2_Plants" xfId="1872" xr:uid="{00000000-0005-0000-0000-000006050000}"/>
    <cellStyle name="Normal 20" xfId="1873" xr:uid="{00000000-0005-0000-0000-000007050000}"/>
    <cellStyle name="Normal 21" xfId="1874" xr:uid="{00000000-0005-0000-0000-000008050000}"/>
    <cellStyle name="Normal 22" xfId="1875" xr:uid="{00000000-0005-0000-0000-000009050000}"/>
    <cellStyle name="Normal 23" xfId="1876" xr:uid="{00000000-0005-0000-0000-00000A050000}"/>
    <cellStyle name="Normal 24" xfId="1877" xr:uid="{00000000-0005-0000-0000-00000B050000}"/>
    <cellStyle name="Normal 25" xfId="1878" xr:uid="{00000000-0005-0000-0000-00000C050000}"/>
    <cellStyle name="Normal 26" xfId="1879" xr:uid="{00000000-0005-0000-0000-00000D050000}"/>
    <cellStyle name="Normal 27" xfId="1880" xr:uid="{00000000-0005-0000-0000-00000E050000}"/>
    <cellStyle name="Normal 28" xfId="1881" xr:uid="{00000000-0005-0000-0000-00000F050000}"/>
    <cellStyle name="Normal 29" xfId="1882" xr:uid="{00000000-0005-0000-0000-000010050000}"/>
    <cellStyle name="Normal 29 2" xfId="1883" xr:uid="{00000000-0005-0000-0000-000011050000}"/>
    <cellStyle name="Normal 3" xfId="449" xr:uid="{00000000-0005-0000-0000-000012050000}"/>
    <cellStyle name="Normal 3 10" xfId="1884" xr:uid="{00000000-0005-0000-0000-000013050000}"/>
    <cellStyle name="Normal 3 11" xfId="1885" xr:uid="{00000000-0005-0000-0000-000014050000}"/>
    <cellStyle name="Normal 3 12" xfId="1886" xr:uid="{00000000-0005-0000-0000-000015050000}"/>
    <cellStyle name="Normal 3 13" xfId="1887" xr:uid="{00000000-0005-0000-0000-000016050000}"/>
    <cellStyle name="Normal 3 14" xfId="1888" xr:uid="{00000000-0005-0000-0000-000017050000}"/>
    <cellStyle name="Normal 3 15" xfId="1889" xr:uid="{00000000-0005-0000-0000-000018050000}"/>
    <cellStyle name="Normal 3 16" xfId="1890" xr:uid="{00000000-0005-0000-0000-000019050000}"/>
    <cellStyle name="Normal 3 2" xfId="450" xr:uid="{00000000-0005-0000-0000-00001A050000}"/>
    <cellStyle name="Normal 3 2 2" xfId="451" xr:uid="{00000000-0005-0000-0000-00001B050000}"/>
    <cellStyle name="Normal 3 2 2 2" xfId="1891" xr:uid="{00000000-0005-0000-0000-00001C050000}"/>
    <cellStyle name="Normal 3 2 2 3" xfId="1892" xr:uid="{00000000-0005-0000-0000-00001D050000}"/>
    <cellStyle name="Normal 3 2 2 3 2" xfId="1893" xr:uid="{00000000-0005-0000-0000-00001E050000}"/>
    <cellStyle name="Normal 3 2 2 4" xfId="1894" xr:uid="{00000000-0005-0000-0000-00001F050000}"/>
    <cellStyle name="Normal 3 2 3" xfId="452" xr:uid="{00000000-0005-0000-0000-000020050000}"/>
    <cellStyle name="Normal 3 2 3 2" xfId="1895" xr:uid="{00000000-0005-0000-0000-000021050000}"/>
    <cellStyle name="Normal 3 2 3 2 2" xfId="1896" xr:uid="{00000000-0005-0000-0000-000022050000}"/>
    <cellStyle name="Normal 3 2 3 3" xfId="1897" xr:uid="{00000000-0005-0000-0000-000023050000}"/>
    <cellStyle name="Normal 3 2 4" xfId="1898" xr:uid="{00000000-0005-0000-0000-000024050000}"/>
    <cellStyle name="Normal 3 2 4 2" xfId="1899" xr:uid="{00000000-0005-0000-0000-000025050000}"/>
    <cellStyle name="Normal 3 2 5" xfId="1900" xr:uid="{00000000-0005-0000-0000-000026050000}"/>
    <cellStyle name="Normal 3 3" xfId="453" xr:uid="{00000000-0005-0000-0000-000027050000}"/>
    <cellStyle name="Normal 3 3 2" xfId="1901" xr:uid="{00000000-0005-0000-0000-000028050000}"/>
    <cellStyle name="Normal 3 3 2 2" xfId="1902" xr:uid="{00000000-0005-0000-0000-000029050000}"/>
    <cellStyle name="Normal 3 3 2 2 2" xfId="1903" xr:uid="{00000000-0005-0000-0000-00002A050000}"/>
    <cellStyle name="Normal 3 3 2 3" xfId="1904" xr:uid="{00000000-0005-0000-0000-00002B050000}"/>
    <cellStyle name="Normal 3 3 3" xfId="1905" xr:uid="{00000000-0005-0000-0000-00002C050000}"/>
    <cellStyle name="Normal 3 3 3 2" xfId="1906" xr:uid="{00000000-0005-0000-0000-00002D050000}"/>
    <cellStyle name="Normal 3 3 4" xfId="1907" xr:uid="{00000000-0005-0000-0000-00002E050000}"/>
    <cellStyle name="Normal 3 4" xfId="454" xr:uid="{00000000-0005-0000-0000-00002F050000}"/>
    <cellStyle name="Normal 3 4 2" xfId="1908" xr:uid="{00000000-0005-0000-0000-000030050000}"/>
    <cellStyle name="Normal 3 5" xfId="455" xr:uid="{00000000-0005-0000-0000-000031050000}"/>
    <cellStyle name="Normal 3 6" xfId="1909" xr:uid="{00000000-0005-0000-0000-000032050000}"/>
    <cellStyle name="Normal 3 6 2" xfId="1910" xr:uid="{00000000-0005-0000-0000-000033050000}"/>
    <cellStyle name="Normal 3 7" xfId="1911" xr:uid="{00000000-0005-0000-0000-000034050000}"/>
    <cellStyle name="Normal 3 8" xfId="1912" xr:uid="{00000000-0005-0000-0000-000035050000}"/>
    <cellStyle name="Normal 3 9" xfId="1913" xr:uid="{00000000-0005-0000-0000-000036050000}"/>
    <cellStyle name="Normal 30" xfId="2577" xr:uid="{432A4E43-B14F-48AE-8F4E-0EBAE06F43C8}"/>
    <cellStyle name="Normal 31" xfId="1914" xr:uid="{00000000-0005-0000-0000-000037050000}"/>
    <cellStyle name="Normal 32" xfId="1915" xr:uid="{00000000-0005-0000-0000-000038050000}"/>
    <cellStyle name="Normal 33" xfId="1916" xr:uid="{00000000-0005-0000-0000-000039050000}"/>
    <cellStyle name="Normal 34" xfId="1917" xr:uid="{00000000-0005-0000-0000-00003A050000}"/>
    <cellStyle name="Normal 4" xfId="456" xr:uid="{00000000-0005-0000-0000-00003B050000}"/>
    <cellStyle name="Normal 4 10" xfId="1918" xr:uid="{00000000-0005-0000-0000-00003C050000}"/>
    <cellStyle name="Normal 4 11" xfId="1919" xr:uid="{00000000-0005-0000-0000-00003D050000}"/>
    <cellStyle name="Normal 4 12" xfId="1920" xr:uid="{00000000-0005-0000-0000-00003E050000}"/>
    <cellStyle name="Normal 4 13" xfId="1921" xr:uid="{00000000-0005-0000-0000-00003F050000}"/>
    <cellStyle name="Normal 4 14" xfId="1922" xr:uid="{00000000-0005-0000-0000-000040050000}"/>
    <cellStyle name="Normal 4 15" xfId="1923" xr:uid="{00000000-0005-0000-0000-000041050000}"/>
    <cellStyle name="Normal 4 2" xfId="457" xr:uid="{00000000-0005-0000-0000-000042050000}"/>
    <cellStyle name="Normal 4 3" xfId="458" xr:uid="{00000000-0005-0000-0000-000043050000}"/>
    <cellStyle name="Normal 4 4" xfId="1924" xr:uid="{00000000-0005-0000-0000-000044050000}"/>
    <cellStyle name="Normal 4 5" xfId="1925" xr:uid="{00000000-0005-0000-0000-000045050000}"/>
    <cellStyle name="Normal 4 6" xfId="1926" xr:uid="{00000000-0005-0000-0000-000046050000}"/>
    <cellStyle name="Normal 4 7" xfId="1927" xr:uid="{00000000-0005-0000-0000-000047050000}"/>
    <cellStyle name="Normal 4 8" xfId="1928" xr:uid="{00000000-0005-0000-0000-000048050000}"/>
    <cellStyle name="Normal 4 9" xfId="1929" xr:uid="{00000000-0005-0000-0000-000049050000}"/>
    <cellStyle name="Normal 5" xfId="459" xr:uid="{00000000-0005-0000-0000-00004A050000}"/>
    <cellStyle name="Normal 5 2" xfId="460" xr:uid="{00000000-0005-0000-0000-00004B050000}"/>
    <cellStyle name="Normal 5 2 2" xfId="461" xr:uid="{00000000-0005-0000-0000-00004C050000}"/>
    <cellStyle name="Normal 5 2 2 2" xfId="462" xr:uid="{00000000-0005-0000-0000-00004D050000}"/>
    <cellStyle name="Normal 5 2 2 3" xfId="1930" xr:uid="{00000000-0005-0000-0000-00004E050000}"/>
    <cellStyle name="Normal 5 2 3" xfId="1931" xr:uid="{00000000-0005-0000-0000-00004F050000}"/>
    <cellStyle name="Normal 5 2 3 2" xfId="1932" xr:uid="{00000000-0005-0000-0000-000050050000}"/>
    <cellStyle name="Normal 5 3" xfId="1933" xr:uid="{00000000-0005-0000-0000-000051050000}"/>
    <cellStyle name="Normal 6" xfId="463" xr:uid="{00000000-0005-0000-0000-000052050000}"/>
    <cellStyle name="Normal 6 2" xfId="464" xr:uid="{00000000-0005-0000-0000-000053050000}"/>
    <cellStyle name="Normal 6 2 2" xfId="1934" xr:uid="{00000000-0005-0000-0000-000054050000}"/>
    <cellStyle name="Normal 6 2 3" xfId="1935" xr:uid="{00000000-0005-0000-0000-000055050000}"/>
    <cellStyle name="Normal 6 2 3 2" xfId="1936" xr:uid="{00000000-0005-0000-0000-000056050000}"/>
    <cellStyle name="Normal 6 2 4" xfId="1937" xr:uid="{00000000-0005-0000-0000-000057050000}"/>
    <cellStyle name="Normal 6 3" xfId="465" xr:uid="{00000000-0005-0000-0000-000058050000}"/>
    <cellStyle name="Normal 6 3 2" xfId="1938" xr:uid="{00000000-0005-0000-0000-000059050000}"/>
    <cellStyle name="Normal 6 3 2 2" xfId="1939" xr:uid="{00000000-0005-0000-0000-00005A050000}"/>
    <cellStyle name="Normal 6 3 2 2 2" xfId="1940" xr:uid="{00000000-0005-0000-0000-00005B050000}"/>
    <cellStyle name="Normal 6 3 2 3" xfId="1941" xr:uid="{00000000-0005-0000-0000-00005C050000}"/>
    <cellStyle name="Normal 6 4" xfId="1942" xr:uid="{00000000-0005-0000-0000-00005D050000}"/>
    <cellStyle name="Normal 6 4 2" xfId="1943" xr:uid="{00000000-0005-0000-0000-00005E050000}"/>
    <cellStyle name="Normal 6 5" xfId="1944" xr:uid="{00000000-0005-0000-0000-00005F050000}"/>
    <cellStyle name="Normal 7" xfId="466" xr:uid="{00000000-0005-0000-0000-000060050000}"/>
    <cellStyle name="Normal 7 2" xfId="467" xr:uid="{00000000-0005-0000-0000-000061050000}"/>
    <cellStyle name="Normal 7 3" xfId="468" xr:uid="{00000000-0005-0000-0000-000062050000}"/>
    <cellStyle name="Normal 7 3 2" xfId="1945" xr:uid="{00000000-0005-0000-0000-000063050000}"/>
    <cellStyle name="Normal 7 3 2 2" xfId="1946" xr:uid="{00000000-0005-0000-0000-000064050000}"/>
    <cellStyle name="Normal 7 3 3" xfId="1947" xr:uid="{00000000-0005-0000-0000-000065050000}"/>
    <cellStyle name="Normal 8" xfId="469" xr:uid="{00000000-0005-0000-0000-000066050000}"/>
    <cellStyle name="Normal 8 2" xfId="470" xr:uid="{00000000-0005-0000-0000-000067050000}"/>
    <cellStyle name="Normal 8 2 2" xfId="1948" xr:uid="{00000000-0005-0000-0000-000068050000}"/>
    <cellStyle name="Normal 8 2 2 2" xfId="1949" xr:uid="{00000000-0005-0000-0000-000069050000}"/>
    <cellStyle name="Normal 8 2 2 2 2" xfId="1950" xr:uid="{00000000-0005-0000-0000-00006A050000}"/>
    <cellStyle name="Normal 8 2 2 3" xfId="1951" xr:uid="{00000000-0005-0000-0000-00006B050000}"/>
    <cellStyle name="Normal 8 3" xfId="1952" xr:uid="{00000000-0005-0000-0000-00006C050000}"/>
    <cellStyle name="Normal 9" xfId="471" xr:uid="{00000000-0005-0000-0000-00006D050000}"/>
    <cellStyle name="Normal 9 2" xfId="1953" xr:uid="{00000000-0005-0000-0000-00006E050000}"/>
    <cellStyle name="Normal 9 2 2" xfId="1954" xr:uid="{00000000-0005-0000-0000-00006F050000}"/>
    <cellStyle name="Normal GHG Numbers (0.00)" xfId="472" xr:uid="{00000000-0005-0000-0000-000070050000}"/>
    <cellStyle name="Normal GHG Numbers (0.00) 2" xfId="473" xr:uid="{00000000-0005-0000-0000-000071050000}"/>
    <cellStyle name="Normal GHG Numbers (0.00) 3" xfId="474" xr:uid="{00000000-0005-0000-0000-000072050000}"/>
    <cellStyle name="Normal GHG Textfiels Bold" xfId="475" xr:uid="{00000000-0005-0000-0000-000073050000}"/>
    <cellStyle name="Normal GHG-Shade" xfId="476" xr:uid="{00000000-0005-0000-0000-000074050000}"/>
    <cellStyle name="Normale 10" xfId="477" xr:uid="{00000000-0005-0000-0000-000075050000}"/>
    <cellStyle name="Normale 10 2" xfId="478" xr:uid="{00000000-0005-0000-0000-000076050000}"/>
    <cellStyle name="Normale 10 2 2" xfId="479" xr:uid="{00000000-0005-0000-0000-000077050000}"/>
    <cellStyle name="Normale 10 3" xfId="480" xr:uid="{00000000-0005-0000-0000-000078050000}"/>
    <cellStyle name="Normale 10 3 2" xfId="481" xr:uid="{00000000-0005-0000-0000-000079050000}"/>
    <cellStyle name="Normale 10 4" xfId="482" xr:uid="{00000000-0005-0000-0000-00007A050000}"/>
    <cellStyle name="Normale 10_EDEN industria 2008 rev" xfId="483" xr:uid="{00000000-0005-0000-0000-00007B050000}"/>
    <cellStyle name="Normale 11" xfId="484" xr:uid="{00000000-0005-0000-0000-00007C050000}"/>
    <cellStyle name="Normale 11 2" xfId="485" xr:uid="{00000000-0005-0000-0000-00007D050000}"/>
    <cellStyle name="Normale 11 2 2" xfId="486" xr:uid="{00000000-0005-0000-0000-00007E050000}"/>
    <cellStyle name="Normale 11 3" xfId="487" xr:uid="{00000000-0005-0000-0000-00007F050000}"/>
    <cellStyle name="Normale 11 3 2" xfId="488" xr:uid="{00000000-0005-0000-0000-000080050000}"/>
    <cellStyle name="Normale 11 4" xfId="489" xr:uid="{00000000-0005-0000-0000-000081050000}"/>
    <cellStyle name="Normale 11_EDEN industria 2008 rev" xfId="490" xr:uid="{00000000-0005-0000-0000-000082050000}"/>
    <cellStyle name="Normale 12" xfId="491" xr:uid="{00000000-0005-0000-0000-000083050000}"/>
    <cellStyle name="Normale 12 2" xfId="492" xr:uid="{00000000-0005-0000-0000-000084050000}"/>
    <cellStyle name="Normale 12 2 2" xfId="493" xr:uid="{00000000-0005-0000-0000-000085050000}"/>
    <cellStyle name="Normale 12 3" xfId="494" xr:uid="{00000000-0005-0000-0000-000086050000}"/>
    <cellStyle name="Normale 12 3 2" xfId="495" xr:uid="{00000000-0005-0000-0000-000087050000}"/>
    <cellStyle name="Normale 12 4" xfId="496" xr:uid="{00000000-0005-0000-0000-000088050000}"/>
    <cellStyle name="Normale 12_EDEN industria 2008 rev" xfId="497" xr:uid="{00000000-0005-0000-0000-000089050000}"/>
    <cellStyle name="Normale 13" xfId="498" xr:uid="{00000000-0005-0000-0000-00008A050000}"/>
    <cellStyle name="Normale 13 2" xfId="499" xr:uid="{00000000-0005-0000-0000-00008B050000}"/>
    <cellStyle name="Normale 13 2 2" xfId="500" xr:uid="{00000000-0005-0000-0000-00008C050000}"/>
    <cellStyle name="Normale 13 3" xfId="501" xr:uid="{00000000-0005-0000-0000-00008D050000}"/>
    <cellStyle name="Normale 13 3 2" xfId="502" xr:uid="{00000000-0005-0000-0000-00008E050000}"/>
    <cellStyle name="Normale 13 4" xfId="503" xr:uid="{00000000-0005-0000-0000-00008F050000}"/>
    <cellStyle name="Normale 13_EDEN industria 2008 rev" xfId="504" xr:uid="{00000000-0005-0000-0000-000090050000}"/>
    <cellStyle name="Normale 14" xfId="505" xr:uid="{00000000-0005-0000-0000-000091050000}"/>
    <cellStyle name="Normale 14 2" xfId="506" xr:uid="{00000000-0005-0000-0000-000092050000}"/>
    <cellStyle name="Normale 14 2 2" xfId="507" xr:uid="{00000000-0005-0000-0000-000093050000}"/>
    <cellStyle name="Normale 14 3" xfId="508" xr:uid="{00000000-0005-0000-0000-000094050000}"/>
    <cellStyle name="Normale 14 3 2" xfId="509" xr:uid="{00000000-0005-0000-0000-000095050000}"/>
    <cellStyle name="Normale 14 4" xfId="510" xr:uid="{00000000-0005-0000-0000-000096050000}"/>
    <cellStyle name="Normale 14_EDEN industria 2008 rev" xfId="511" xr:uid="{00000000-0005-0000-0000-000097050000}"/>
    <cellStyle name="Normale 15" xfId="512" xr:uid="{00000000-0005-0000-0000-000098050000}"/>
    <cellStyle name="Normale 15 2" xfId="513" xr:uid="{00000000-0005-0000-0000-000099050000}"/>
    <cellStyle name="Normale 15 2 2" xfId="514" xr:uid="{00000000-0005-0000-0000-00009A050000}"/>
    <cellStyle name="Normale 15 3" xfId="515" xr:uid="{00000000-0005-0000-0000-00009B050000}"/>
    <cellStyle name="Normale 15 3 2" xfId="516" xr:uid="{00000000-0005-0000-0000-00009C050000}"/>
    <cellStyle name="Normale 15 4" xfId="517" xr:uid="{00000000-0005-0000-0000-00009D050000}"/>
    <cellStyle name="Normale 15_EDEN industria 2008 rev" xfId="518" xr:uid="{00000000-0005-0000-0000-00009E050000}"/>
    <cellStyle name="Normale 16" xfId="519" xr:uid="{00000000-0005-0000-0000-00009F050000}"/>
    <cellStyle name="Normale 16 2" xfId="520" xr:uid="{00000000-0005-0000-0000-0000A0050000}"/>
    <cellStyle name="Normale 17" xfId="521" xr:uid="{00000000-0005-0000-0000-0000A1050000}"/>
    <cellStyle name="Normale 17 2" xfId="522" xr:uid="{00000000-0005-0000-0000-0000A2050000}"/>
    <cellStyle name="Normale 18" xfId="523" xr:uid="{00000000-0005-0000-0000-0000A3050000}"/>
    <cellStyle name="Normale 18 2" xfId="524" xr:uid="{00000000-0005-0000-0000-0000A4050000}"/>
    <cellStyle name="Normale 19" xfId="525" xr:uid="{00000000-0005-0000-0000-0000A5050000}"/>
    <cellStyle name="Normale 19 2" xfId="526" xr:uid="{00000000-0005-0000-0000-0000A6050000}"/>
    <cellStyle name="Normale 2" xfId="527" xr:uid="{00000000-0005-0000-0000-0000A7050000}"/>
    <cellStyle name="Normale 2 2" xfId="528" xr:uid="{00000000-0005-0000-0000-0000A8050000}"/>
    <cellStyle name="Normale 2 2 2" xfId="529" xr:uid="{00000000-0005-0000-0000-0000A9050000}"/>
    <cellStyle name="Normale 2 3" xfId="530" xr:uid="{00000000-0005-0000-0000-0000AA050000}"/>
    <cellStyle name="Normale 2_EDEN industria 2008 rev" xfId="531" xr:uid="{00000000-0005-0000-0000-0000AB050000}"/>
    <cellStyle name="Normale 20" xfId="532" xr:uid="{00000000-0005-0000-0000-0000AC050000}"/>
    <cellStyle name="Normale 20 2" xfId="533" xr:uid="{00000000-0005-0000-0000-0000AD050000}"/>
    <cellStyle name="Normale 21" xfId="534" xr:uid="{00000000-0005-0000-0000-0000AE050000}"/>
    <cellStyle name="Normale 21 2" xfId="535" xr:uid="{00000000-0005-0000-0000-0000AF050000}"/>
    <cellStyle name="Normale 22" xfId="536" xr:uid="{00000000-0005-0000-0000-0000B0050000}"/>
    <cellStyle name="Normale 22 2" xfId="537" xr:uid="{00000000-0005-0000-0000-0000B1050000}"/>
    <cellStyle name="Normale 23" xfId="538" xr:uid="{00000000-0005-0000-0000-0000B2050000}"/>
    <cellStyle name="Normale 23 2" xfId="539" xr:uid="{00000000-0005-0000-0000-0000B3050000}"/>
    <cellStyle name="Normale 24" xfId="540" xr:uid="{00000000-0005-0000-0000-0000B4050000}"/>
    <cellStyle name="Normale 24 2" xfId="541" xr:uid="{00000000-0005-0000-0000-0000B5050000}"/>
    <cellStyle name="Normale 25" xfId="542" xr:uid="{00000000-0005-0000-0000-0000B6050000}"/>
    <cellStyle name="Normale 25 2" xfId="543" xr:uid="{00000000-0005-0000-0000-0000B7050000}"/>
    <cellStyle name="Normale 26" xfId="544" xr:uid="{00000000-0005-0000-0000-0000B8050000}"/>
    <cellStyle name="Normale 26 2" xfId="545" xr:uid="{00000000-0005-0000-0000-0000B9050000}"/>
    <cellStyle name="Normale 27" xfId="546" xr:uid="{00000000-0005-0000-0000-0000BA050000}"/>
    <cellStyle name="Normale 27 2" xfId="547" xr:uid="{00000000-0005-0000-0000-0000BB050000}"/>
    <cellStyle name="Normale 28" xfId="548" xr:uid="{00000000-0005-0000-0000-0000BC050000}"/>
    <cellStyle name="Normale 28 2" xfId="549" xr:uid="{00000000-0005-0000-0000-0000BD050000}"/>
    <cellStyle name="Normale 29" xfId="550" xr:uid="{00000000-0005-0000-0000-0000BE050000}"/>
    <cellStyle name="Normale 29 2" xfId="551" xr:uid="{00000000-0005-0000-0000-0000BF050000}"/>
    <cellStyle name="Normale 3" xfId="552" xr:uid="{00000000-0005-0000-0000-0000C0050000}"/>
    <cellStyle name="Normale 3 2" xfId="553" xr:uid="{00000000-0005-0000-0000-0000C1050000}"/>
    <cellStyle name="Normale 3 2 2" xfId="554" xr:uid="{00000000-0005-0000-0000-0000C2050000}"/>
    <cellStyle name="Normale 3 3" xfId="555" xr:uid="{00000000-0005-0000-0000-0000C3050000}"/>
    <cellStyle name="Normale 3 3 2" xfId="556" xr:uid="{00000000-0005-0000-0000-0000C4050000}"/>
    <cellStyle name="Normale 3 4" xfId="557" xr:uid="{00000000-0005-0000-0000-0000C5050000}"/>
    <cellStyle name="Normale 3_EDEN industria 2008 rev" xfId="558" xr:uid="{00000000-0005-0000-0000-0000C6050000}"/>
    <cellStyle name="Normale 30" xfId="559" xr:uid="{00000000-0005-0000-0000-0000C7050000}"/>
    <cellStyle name="Normale 30 2" xfId="560" xr:uid="{00000000-0005-0000-0000-0000C8050000}"/>
    <cellStyle name="Normale 31" xfId="561" xr:uid="{00000000-0005-0000-0000-0000C9050000}"/>
    <cellStyle name="Normale 31 2" xfId="562" xr:uid="{00000000-0005-0000-0000-0000CA050000}"/>
    <cellStyle name="Normale 32" xfId="563" xr:uid="{00000000-0005-0000-0000-0000CB050000}"/>
    <cellStyle name="Normale 32 2" xfId="564" xr:uid="{00000000-0005-0000-0000-0000CC050000}"/>
    <cellStyle name="Normale 33" xfId="565" xr:uid="{00000000-0005-0000-0000-0000CD050000}"/>
    <cellStyle name="Normale 33 2" xfId="566" xr:uid="{00000000-0005-0000-0000-0000CE050000}"/>
    <cellStyle name="Normale 34" xfId="567" xr:uid="{00000000-0005-0000-0000-0000CF050000}"/>
    <cellStyle name="Normale 34 2" xfId="568" xr:uid="{00000000-0005-0000-0000-0000D0050000}"/>
    <cellStyle name="Normale 35" xfId="569" xr:uid="{00000000-0005-0000-0000-0000D1050000}"/>
    <cellStyle name="Normale 35 2" xfId="570" xr:uid="{00000000-0005-0000-0000-0000D2050000}"/>
    <cellStyle name="Normale 36" xfId="571" xr:uid="{00000000-0005-0000-0000-0000D3050000}"/>
    <cellStyle name="Normale 36 2" xfId="572" xr:uid="{00000000-0005-0000-0000-0000D4050000}"/>
    <cellStyle name="Normale 37" xfId="573" xr:uid="{00000000-0005-0000-0000-0000D5050000}"/>
    <cellStyle name="Normale 37 2" xfId="574" xr:uid="{00000000-0005-0000-0000-0000D6050000}"/>
    <cellStyle name="Normale 38" xfId="575" xr:uid="{00000000-0005-0000-0000-0000D7050000}"/>
    <cellStyle name="Normale 38 2" xfId="576" xr:uid="{00000000-0005-0000-0000-0000D8050000}"/>
    <cellStyle name="Normale 39" xfId="577" xr:uid="{00000000-0005-0000-0000-0000D9050000}"/>
    <cellStyle name="Normale 39 2" xfId="578" xr:uid="{00000000-0005-0000-0000-0000DA050000}"/>
    <cellStyle name="Normale 4" xfId="579" xr:uid="{00000000-0005-0000-0000-0000DB050000}"/>
    <cellStyle name="Normale 4 2" xfId="580" xr:uid="{00000000-0005-0000-0000-0000DC050000}"/>
    <cellStyle name="Normale 4 2 2" xfId="581" xr:uid="{00000000-0005-0000-0000-0000DD050000}"/>
    <cellStyle name="Normale 4 3" xfId="582" xr:uid="{00000000-0005-0000-0000-0000DE050000}"/>
    <cellStyle name="Normale 4 3 2" xfId="583" xr:uid="{00000000-0005-0000-0000-0000DF050000}"/>
    <cellStyle name="Normale 4 4" xfId="584" xr:uid="{00000000-0005-0000-0000-0000E0050000}"/>
    <cellStyle name="Normale 4_EDEN industria 2008 rev" xfId="585" xr:uid="{00000000-0005-0000-0000-0000E1050000}"/>
    <cellStyle name="Normale 40" xfId="586" xr:uid="{00000000-0005-0000-0000-0000E2050000}"/>
    <cellStyle name="Normale 40 2" xfId="587" xr:uid="{00000000-0005-0000-0000-0000E3050000}"/>
    <cellStyle name="Normale 41" xfId="588" xr:uid="{00000000-0005-0000-0000-0000E4050000}"/>
    <cellStyle name="Normale 41 2" xfId="589" xr:uid="{00000000-0005-0000-0000-0000E5050000}"/>
    <cellStyle name="Normale 42" xfId="590" xr:uid="{00000000-0005-0000-0000-0000E6050000}"/>
    <cellStyle name="Normale 42 2" xfId="591" xr:uid="{00000000-0005-0000-0000-0000E7050000}"/>
    <cellStyle name="Normale 43" xfId="592" xr:uid="{00000000-0005-0000-0000-0000E8050000}"/>
    <cellStyle name="Normale 43 2" xfId="593" xr:uid="{00000000-0005-0000-0000-0000E9050000}"/>
    <cellStyle name="Normale 44" xfId="594" xr:uid="{00000000-0005-0000-0000-0000EA050000}"/>
    <cellStyle name="Normale 44 2" xfId="595" xr:uid="{00000000-0005-0000-0000-0000EB050000}"/>
    <cellStyle name="Normale 45" xfId="596" xr:uid="{00000000-0005-0000-0000-0000EC050000}"/>
    <cellStyle name="Normale 45 2" xfId="597" xr:uid="{00000000-0005-0000-0000-0000ED050000}"/>
    <cellStyle name="Normale 46" xfId="598" xr:uid="{00000000-0005-0000-0000-0000EE050000}"/>
    <cellStyle name="Normale 46 2" xfId="599" xr:uid="{00000000-0005-0000-0000-0000EF050000}"/>
    <cellStyle name="Normale 47" xfId="600" xr:uid="{00000000-0005-0000-0000-0000F0050000}"/>
    <cellStyle name="Normale 47 2" xfId="601" xr:uid="{00000000-0005-0000-0000-0000F1050000}"/>
    <cellStyle name="Normale 48" xfId="602" xr:uid="{00000000-0005-0000-0000-0000F2050000}"/>
    <cellStyle name="Normale 48 2" xfId="603" xr:uid="{00000000-0005-0000-0000-0000F3050000}"/>
    <cellStyle name="Normale 49" xfId="604" xr:uid="{00000000-0005-0000-0000-0000F4050000}"/>
    <cellStyle name="Normale 49 2" xfId="605" xr:uid="{00000000-0005-0000-0000-0000F5050000}"/>
    <cellStyle name="Normale 5" xfId="606" xr:uid="{00000000-0005-0000-0000-0000F6050000}"/>
    <cellStyle name="Normale 5 2" xfId="607" xr:uid="{00000000-0005-0000-0000-0000F7050000}"/>
    <cellStyle name="Normale 5 2 2" xfId="608" xr:uid="{00000000-0005-0000-0000-0000F8050000}"/>
    <cellStyle name="Normale 5 3" xfId="609" xr:uid="{00000000-0005-0000-0000-0000F9050000}"/>
    <cellStyle name="Normale 5 3 2" xfId="610" xr:uid="{00000000-0005-0000-0000-0000FA050000}"/>
    <cellStyle name="Normale 5 4" xfId="611" xr:uid="{00000000-0005-0000-0000-0000FB050000}"/>
    <cellStyle name="Normale 5_EDEN industria 2008 rev" xfId="612" xr:uid="{00000000-0005-0000-0000-0000FC050000}"/>
    <cellStyle name="Normale 50" xfId="613" xr:uid="{00000000-0005-0000-0000-0000FD050000}"/>
    <cellStyle name="Normale 50 2" xfId="614" xr:uid="{00000000-0005-0000-0000-0000FE050000}"/>
    <cellStyle name="Normale 51" xfId="615" xr:uid="{00000000-0005-0000-0000-0000FF050000}"/>
    <cellStyle name="Normale 51 2" xfId="616" xr:uid="{00000000-0005-0000-0000-000000060000}"/>
    <cellStyle name="Normale 52" xfId="617" xr:uid="{00000000-0005-0000-0000-000001060000}"/>
    <cellStyle name="Normale 52 2" xfId="618" xr:uid="{00000000-0005-0000-0000-000002060000}"/>
    <cellStyle name="Normale 53" xfId="619" xr:uid="{00000000-0005-0000-0000-000003060000}"/>
    <cellStyle name="Normale 53 2" xfId="620" xr:uid="{00000000-0005-0000-0000-000004060000}"/>
    <cellStyle name="Normale 54" xfId="621" xr:uid="{00000000-0005-0000-0000-000005060000}"/>
    <cellStyle name="Normale 54 2" xfId="622" xr:uid="{00000000-0005-0000-0000-000006060000}"/>
    <cellStyle name="Normale 55" xfId="623" xr:uid="{00000000-0005-0000-0000-000007060000}"/>
    <cellStyle name="Normale 55 2" xfId="624" xr:uid="{00000000-0005-0000-0000-000008060000}"/>
    <cellStyle name="Normale 56" xfId="625" xr:uid="{00000000-0005-0000-0000-000009060000}"/>
    <cellStyle name="Normale 56 2" xfId="626" xr:uid="{00000000-0005-0000-0000-00000A060000}"/>
    <cellStyle name="Normale 57" xfId="627" xr:uid="{00000000-0005-0000-0000-00000B060000}"/>
    <cellStyle name="Normale 57 2" xfId="628" xr:uid="{00000000-0005-0000-0000-00000C060000}"/>
    <cellStyle name="Normale 58" xfId="629" xr:uid="{00000000-0005-0000-0000-00000D060000}"/>
    <cellStyle name="Normale 58 2" xfId="630" xr:uid="{00000000-0005-0000-0000-00000E060000}"/>
    <cellStyle name="Normale 59" xfId="631" xr:uid="{00000000-0005-0000-0000-00000F060000}"/>
    <cellStyle name="Normale 59 2" xfId="632" xr:uid="{00000000-0005-0000-0000-000010060000}"/>
    <cellStyle name="Normale 6" xfId="633" xr:uid="{00000000-0005-0000-0000-000011060000}"/>
    <cellStyle name="Normale 6 2" xfId="634" xr:uid="{00000000-0005-0000-0000-000012060000}"/>
    <cellStyle name="Normale 6 2 2" xfId="635" xr:uid="{00000000-0005-0000-0000-000013060000}"/>
    <cellStyle name="Normale 6 3" xfId="636" xr:uid="{00000000-0005-0000-0000-000014060000}"/>
    <cellStyle name="Normale 6 3 2" xfId="637" xr:uid="{00000000-0005-0000-0000-000015060000}"/>
    <cellStyle name="Normale 6 4" xfId="638" xr:uid="{00000000-0005-0000-0000-000016060000}"/>
    <cellStyle name="Normale 6_EDEN industria 2008 rev" xfId="639" xr:uid="{00000000-0005-0000-0000-000017060000}"/>
    <cellStyle name="Normale 60" xfId="640" xr:uid="{00000000-0005-0000-0000-000018060000}"/>
    <cellStyle name="Normale 60 2" xfId="641" xr:uid="{00000000-0005-0000-0000-000019060000}"/>
    <cellStyle name="Normale 61" xfId="642" xr:uid="{00000000-0005-0000-0000-00001A060000}"/>
    <cellStyle name="Normale 61 2" xfId="643" xr:uid="{00000000-0005-0000-0000-00001B060000}"/>
    <cellStyle name="Normale 62" xfId="644" xr:uid="{00000000-0005-0000-0000-00001C060000}"/>
    <cellStyle name="Normale 62 2" xfId="645" xr:uid="{00000000-0005-0000-0000-00001D060000}"/>
    <cellStyle name="Normale 63" xfId="646" xr:uid="{00000000-0005-0000-0000-00001E060000}"/>
    <cellStyle name="Normale 63 2" xfId="647" xr:uid="{00000000-0005-0000-0000-00001F060000}"/>
    <cellStyle name="Normale 64" xfId="648" xr:uid="{00000000-0005-0000-0000-000020060000}"/>
    <cellStyle name="Normale 64 2" xfId="649" xr:uid="{00000000-0005-0000-0000-000021060000}"/>
    <cellStyle name="Normale 65" xfId="650" xr:uid="{00000000-0005-0000-0000-000022060000}"/>
    <cellStyle name="Normale 65 2" xfId="651" xr:uid="{00000000-0005-0000-0000-000023060000}"/>
    <cellStyle name="Normale 7" xfId="652" xr:uid="{00000000-0005-0000-0000-000024060000}"/>
    <cellStyle name="Normale 7 2" xfId="653" xr:uid="{00000000-0005-0000-0000-000025060000}"/>
    <cellStyle name="Normale 7 2 2" xfId="654" xr:uid="{00000000-0005-0000-0000-000026060000}"/>
    <cellStyle name="Normale 7 3" xfId="655" xr:uid="{00000000-0005-0000-0000-000027060000}"/>
    <cellStyle name="Normale 7 3 2" xfId="656" xr:uid="{00000000-0005-0000-0000-000028060000}"/>
    <cellStyle name="Normale 7 4" xfId="657" xr:uid="{00000000-0005-0000-0000-000029060000}"/>
    <cellStyle name="Normale 7_EDEN industria 2008 rev" xfId="658" xr:uid="{00000000-0005-0000-0000-00002A060000}"/>
    <cellStyle name="Normale 8" xfId="659" xr:uid="{00000000-0005-0000-0000-00002B060000}"/>
    <cellStyle name="Normale 8 2" xfId="660" xr:uid="{00000000-0005-0000-0000-00002C060000}"/>
    <cellStyle name="Normale 8 2 2" xfId="661" xr:uid="{00000000-0005-0000-0000-00002D060000}"/>
    <cellStyle name="Normale 8 3" xfId="662" xr:uid="{00000000-0005-0000-0000-00002E060000}"/>
    <cellStyle name="Normale 8 3 2" xfId="663" xr:uid="{00000000-0005-0000-0000-00002F060000}"/>
    <cellStyle name="Normale 8 4" xfId="664" xr:uid="{00000000-0005-0000-0000-000030060000}"/>
    <cellStyle name="Normale 8_EDEN industria 2008 rev" xfId="665" xr:uid="{00000000-0005-0000-0000-000031060000}"/>
    <cellStyle name="Normale 9" xfId="666" xr:uid="{00000000-0005-0000-0000-000032060000}"/>
    <cellStyle name="Normale 9 2" xfId="667" xr:uid="{00000000-0005-0000-0000-000033060000}"/>
    <cellStyle name="Normale 9 2 2" xfId="668" xr:uid="{00000000-0005-0000-0000-000034060000}"/>
    <cellStyle name="Normale 9 3" xfId="669" xr:uid="{00000000-0005-0000-0000-000035060000}"/>
    <cellStyle name="Normale 9 3 2" xfId="670" xr:uid="{00000000-0005-0000-0000-000036060000}"/>
    <cellStyle name="Normale 9 4" xfId="671" xr:uid="{00000000-0005-0000-0000-000037060000}"/>
    <cellStyle name="Normale 9_EDEN industria 2008 rev" xfId="672" xr:uid="{00000000-0005-0000-0000-000038060000}"/>
    <cellStyle name="Normale_B2020" xfId="673" xr:uid="{00000000-0005-0000-0000-000039060000}"/>
    <cellStyle name="Nota" xfId="674" xr:uid="{00000000-0005-0000-0000-00003A060000}"/>
    <cellStyle name="Nota 2" xfId="675" xr:uid="{00000000-0005-0000-0000-00003B060000}"/>
    <cellStyle name="Nota 2 2" xfId="1955" xr:uid="{00000000-0005-0000-0000-00003C060000}"/>
    <cellStyle name="Nota 3" xfId="676" xr:uid="{00000000-0005-0000-0000-00003D060000}"/>
    <cellStyle name="Nota 3 2" xfId="1956" xr:uid="{00000000-0005-0000-0000-00003E060000}"/>
    <cellStyle name="Nota 3 2 2" xfId="1957" xr:uid="{00000000-0005-0000-0000-00003F060000}"/>
    <cellStyle name="Nota 3 2 2 2" xfId="1958" xr:uid="{00000000-0005-0000-0000-000040060000}"/>
    <cellStyle name="Nota 3 2 3" xfId="1959" xr:uid="{00000000-0005-0000-0000-000041060000}"/>
    <cellStyle name="Nota 3 3" xfId="1960" xr:uid="{00000000-0005-0000-0000-000042060000}"/>
    <cellStyle name="Nota 4" xfId="677" xr:uid="{00000000-0005-0000-0000-000043060000}"/>
    <cellStyle name="Nota 4 2" xfId="1961" xr:uid="{00000000-0005-0000-0000-000044060000}"/>
    <cellStyle name="Nota 4 2 2" xfId="1962" xr:uid="{00000000-0005-0000-0000-000045060000}"/>
    <cellStyle name="Nota 4 3" xfId="1963" xr:uid="{00000000-0005-0000-0000-000046060000}"/>
    <cellStyle name="Nota 5" xfId="1964" xr:uid="{00000000-0005-0000-0000-000047060000}"/>
    <cellStyle name="Nota 5 2" xfId="1965" xr:uid="{00000000-0005-0000-0000-000048060000}"/>
    <cellStyle name="Nota 6" xfId="1966" xr:uid="{00000000-0005-0000-0000-000049060000}"/>
    <cellStyle name="Note 2" xfId="1967" xr:uid="{00000000-0005-0000-0000-00004A060000}"/>
    <cellStyle name="Note 2 2" xfId="1968" xr:uid="{00000000-0005-0000-0000-00004B060000}"/>
    <cellStyle name="Note 2 2 2" xfId="1969" xr:uid="{00000000-0005-0000-0000-00004C060000}"/>
    <cellStyle name="Note 2 3" xfId="1970" xr:uid="{00000000-0005-0000-0000-00004D060000}"/>
    <cellStyle name="Nuovo" xfId="678" xr:uid="{00000000-0005-0000-0000-00004E060000}"/>
    <cellStyle name="Nuovo 10" xfId="679" xr:uid="{00000000-0005-0000-0000-00004F060000}"/>
    <cellStyle name="Nuovo 10 2" xfId="680" xr:uid="{00000000-0005-0000-0000-000050060000}"/>
    <cellStyle name="Nuovo 10 3" xfId="681" xr:uid="{00000000-0005-0000-0000-000051060000}"/>
    <cellStyle name="Nuovo 10 3 2" xfId="1971" xr:uid="{00000000-0005-0000-0000-000052060000}"/>
    <cellStyle name="Nuovo 10 3 2 2" xfId="1972" xr:uid="{00000000-0005-0000-0000-000053060000}"/>
    <cellStyle name="Nuovo 10 4" xfId="1973" xr:uid="{00000000-0005-0000-0000-000054060000}"/>
    <cellStyle name="Nuovo 10 4 2" xfId="1974" xr:uid="{00000000-0005-0000-0000-000055060000}"/>
    <cellStyle name="Nuovo 10 5" xfId="1975" xr:uid="{00000000-0005-0000-0000-000056060000}"/>
    <cellStyle name="Nuovo 11" xfId="682" xr:uid="{00000000-0005-0000-0000-000057060000}"/>
    <cellStyle name="Nuovo 11 2" xfId="683" xr:uid="{00000000-0005-0000-0000-000058060000}"/>
    <cellStyle name="Nuovo 11 3" xfId="684" xr:uid="{00000000-0005-0000-0000-000059060000}"/>
    <cellStyle name="Nuovo 11 3 2" xfId="1976" xr:uid="{00000000-0005-0000-0000-00005A060000}"/>
    <cellStyle name="Nuovo 11 3 2 2" xfId="1977" xr:uid="{00000000-0005-0000-0000-00005B060000}"/>
    <cellStyle name="Nuovo 11 4" xfId="1978" xr:uid="{00000000-0005-0000-0000-00005C060000}"/>
    <cellStyle name="Nuovo 11 4 2" xfId="1979" xr:uid="{00000000-0005-0000-0000-00005D060000}"/>
    <cellStyle name="Nuovo 11 5" xfId="1980" xr:uid="{00000000-0005-0000-0000-00005E060000}"/>
    <cellStyle name="Nuovo 12" xfId="685" xr:uid="{00000000-0005-0000-0000-00005F060000}"/>
    <cellStyle name="Nuovo 12 2" xfId="686" xr:uid="{00000000-0005-0000-0000-000060060000}"/>
    <cellStyle name="Nuovo 12 3" xfId="687" xr:uid="{00000000-0005-0000-0000-000061060000}"/>
    <cellStyle name="Nuovo 12 3 2" xfId="1981" xr:uid="{00000000-0005-0000-0000-000062060000}"/>
    <cellStyle name="Nuovo 12 3 2 2" xfId="1982" xr:uid="{00000000-0005-0000-0000-000063060000}"/>
    <cellStyle name="Nuovo 12 4" xfId="1983" xr:uid="{00000000-0005-0000-0000-000064060000}"/>
    <cellStyle name="Nuovo 12 4 2" xfId="1984" xr:uid="{00000000-0005-0000-0000-000065060000}"/>
    <cellStyle name="Nuovo 12 5" xfId="1985" xr:uid="{00000000-0005-0000-0000-000066060000}"/>
    <cellStyle name="Nuovo 13" xfId="688" xr:uid="{00000000-0005-0000-0000-000067060000}"/>
    <cellStyle name="Nuovo 13 2" xfId="689" xr:uid="{00000000-0005-0000-0000-000068060000}"/>
    <cellStyle name="Nuovo 13 3" xfId="690" xr:uid="{00000000-0005-0000-0000-000069060000}"/>
    <cellStyle name="Nuovo 13 3 2" xfId="1986" xr:uid="{00000000-0005-0000-0000-00006A060000}"/>
    <cellStyle name="Nuovo 13 3 2 2" xfId="1987" xr:uid="{00000000-0005-0000-0000-00006B060000}"/>
    <cellStyle name="Nuovo 13 4" xfId="1988" xr:uid="{00000000-0005-0000-0000-00006C060000}"/>
    <cellStyle name="Nuovo 13 4 2" xfId="1989" xr:uid="{00000000-0005-0000-0000-00006D060000}"/>
    <cellStyle name="Nuovo 13 5" xfId="1990" xr:uid="{00000000-0005-0000-0000-00006E060000}"/>
    <cellStyle name="Nuovo 14" xfId="691" xr:uid="{00000000-0005-0000-0000-00006F060000}"/>
    <cellStyle name="Nuovo 14 2" xfId="692" xr:uid="{00000000-0005-0000-0000-000070060000}"/>
    <cellStyle name="Nuovo 14 3" xfId="693" xr:uid="{00000000-0005-0000-0000-000071060000}"/>
    <cellStyle name="Nuovo 14 3 2" xfId="1991" xr:uid="{00000000-0005-0000-0000-000072060000}"/>
    <cellStyle name="Nuovo 14 3 2 2" xfId="1992" xr:uid="{00000000-0005-0000-0000-000073060000}"/>
    <cellStyle name="Nuovo 14 4" xfId="1993" xr:uid="{00000000-0005-0000-0000-000074060000}"/>
    <cellStyle name="Nuovo 14 4 2" xfId="1994" xr:uid="{00000000-0005-0000-0000-000075060000}"/>
    <cellStyle name="Nuovo 14 5" xfId="1995" xr:uid="{00000000-0005-0000-0000-000076060000}"/>
    <cellStyle name="Nuovo 15" xfId="694" xr:uid="{00000000-0005-0000-0000-000077060000}"/>
    <cellStyle name="Nuovo 15 2" xfId="695" xr:uid="{00000000-0005-0000-0000-000078060000}"/>
    <cellStyle name="Nuovo 15 3" xfId="696" xr:uid="{00000000-0005-0000-0000-000079060000}"/>
    <cellStyle name="Nuovo 15 3 2" xfId="1996" xr:uid="{00000000-0005-0000-0000-00007A060000}"/>
    <cellStyle name="Nuovo 15 3 2 2" xfId="1997" xr:uid="{00000000-0005-0000-0000-00007B060000}"/>
    <cellStyle name="Nuovo 15 4" xfId="1998" xr:uid="{00000000-0005-0000-0000-00007C060000}"/>
    <cellStyle name="Nuovo 15 4 2" xfId="1999" xr:uid="{00000000-0005-0000-0000-00007D060000}"/>
    <cellStyle name="Nuovo 15 5" xfId="2000" xr:uid="{00000000-0005-0000-0000-00007E060000}"/>
    <cellStyle name="Nuovo 16" xfId="697" xr:uid="{00000000-0005-0000-0000-00007F060000}"/>
    <cellStyle name="Nuovo 16 2" xfId="698" xr:uid="{00000000-0005-0000-0000-000080060000}"/>
    <cellStyle name="Nuovo 16 3" xfId="699" xr:uid="{00000000-0005-0000-0000-000081060000}"/>
    <cellStyle name="Nuovo 16 3 2" xfId="2001" xr:uid="{00000000-0005-0000-0000-000082060000}"/>
    <cellStyle name="Nuovo 16 3 2 2" xfId="2002" xr:uid="{00000000-0005-0000-0000-000083060000}"/>
    <cellStyle name="Nuovo 16 4" xfId="2003" xr:uid="{00000000-0005-0000-0000-000084060000}"/>
    <cellStyle name="Nuovo 16 4 2" xfId="2004" xr:uid="{00000000-0005-0000-0000-000085060000}"/>
    <cellStyle name="Nuovo 16 5" xfId="2005" xr:uid="{00000000-0005-0000-0000-000086060000}"/>
    <cellStyle name="Nuovo 17" xfId="700" xr:uid="{00000000-0005-0000-0000-000087060000}"/>
    <cellStyle name="Nuovo 17 2" xfId="701" xr:uid="{00000000-0005-0000-0000-000088060000}"/>
    <cellStyle name="Nuovo 17 3" xfId="702" xr:uid="{00000000-0005-0000-0000-000089060000}"/>
    <cellStyle name="Nuovo 17 3 2" xfId="2006" xr:uid="{00000000-0005-0000-0000-00008A060000}"/>
    <cellStyle name="Nuovo 17 3 2 2" xfId="2007" xr:uid="{00000000-0005-0000-0000-00008B060000}"/>
    <cellStyle name="Nuovo 17 4" xfId="2008" xr:uid="{00000000-0005-0000-0000-00008C060000}"/>
    <cellStyle name="Nuovo 17 4 2" xfId="2009" xr:uid="{00000000-0005-0000-0000-00008D060000}"/>
    <cellStyle name="Nuovo 17 5" xfId="2010" xr:uid="{00000000-0005-0000-0000-00008E060000}"/>
    <cellStyle name="Nuovo 18" xfId="703" xr:uid="{00000000-0005-0000-0000-00008F060000}"/>
    <cellStyle name="Nuovo 18 2" xfId="704" xr:uid="{00000000-0005-0000-0000-000090060000}"/>
    <cellStyle name="Nuovo 18 3" xfId="705" xr:uid="{00000000-0005-0000-0000-000091060000}"/>
    <cellStyle name="Nuovo 18 3 2" xfId="2011" xr:uid="{00000000-0005-0000-0000-000092060000}"/>
    <cellStyle name="Nuovo 18 3 2 2" xfId="2012" xr:uid="{00000000-0005-0000-0000-000093060000}"/>
    <cellStyle name="Nuovo 18 4" xfId="2013" xr:uid="{00000000-0005-0000-0000-000094060000}"/>
    <cellStyle name="Nuovo 18 4 2" xfId="2014" xr:uid="{00000000-0005-0000-0000-000095060000}"/>
    <cellStyle name="Nuovo 18 5" xfId="2015" xr:uid="{00000000-0005-0000-0000-000096060000}"/>
    <cellStyle name="Nuovo 19" xfId="706" xr:uid="{00000000-0005-0000-0000-000097060000}"/>
    <cellStyle name="Nuovo 19 2" xfId="707" xr:uid="{00000000-0005-0000-0000-000098060000}"/>
    <cellStyle name="Nuovo 19 3" xfId="708" xr:uid="{00000000-0005-0000-0000-000099060000}"/>
    <cellStyle name="Nuovo 19 3 2" xfId="2016" xr:uid="{00000000-0005-0000-0000-00009A060000}"/>
    <cellStyle name="Nuovo 19 3 2 2" xfId="2017" xr:uid="{00000000-0005-0000-0000-00009B060000}"/>
    <cellStyle name="Nuovo 19 4" xfId="2018" xr:uid="{00000000-0005-0000-0000-00009C060000}"/>
    <cellStyle name="Nuovo 19 4 2" xfId="2019" xr:uid="{00000000-0005-0000-0000-00009D060000}"/>
    <cellStyle name="Nuovo 19 5" xfId="2020" xr:uid="{00000000-0005-0000-0000-00009E060000}"/>
    <cellStyle name="Nuovo 2" xfId="709" xr:uid="{00000000-0005-0000-0000-00009F060000}"/>
    <cellStyle name="Nuovo 2 2" xfId="710" xr:uid="{00000000-0005-0000-0000-0000A0060000}"/>
    <cellStyle name="Nuovo 2 3" xfId="711" xr:uid="{00000000-0005-0000-0000-0000A1060000}"/>
    <cellStyle name="Nuovo 2 3 2" xfId="2021" xr:uid="{00000000-0005-0000-0000-0000A2060000}"/>
    <cellStyle name="Nuovo 2 3 2 2" xfId="2022" xr:uid="{00000000-0005-0000-0000-0000A3060000}"/>
    <cellStyle name="Nuovo 2 4" xfId="2023" xr:uid="{00000000-0005-0000-0000-0000A4060000}"/>
    <cellStyle name="Nuovo 2 4 2" xfId="2024" xr:uid="{00000000-0005-0000-0000-0000A5060000}"/>
    <cellStyle name="Nuovo 2 5" xfId="2025" xr:uid="{00000000-0005-0000-0000-0000A6060000}"/>
    <cellStyle name="Nuovo 20" xfId="712" xr:uid="{00000000-0005-0000-0000-0000A7060000}"/>
    <cellStyle name="Nuovo 20 2" xfId="713" xr:uid="{00000000-0005-0000-0000-0000A8060000}"/>
    <cellStyle name="Nuovo 20 3" xfId="714" xr:uid="{00000000-0005-0000-0000-0000A9060000}"/>
    <cellStyle name="Nuovo 20 3 2" xfId="2026" xr:uid="{00000000-0005-0000-0000-0000AA060000}"/>
    <cellStyle name="Nuovo 20 3 2 2" xfId="2027" xr:uid="{00000000-0005-0000-0000-0000AB060000}"/>
    <cellStyle name="Nuovo 20 4" xfId="2028" xr:uid="{00000000-0005-0000-0000-0000AC060000}"/>
    <cellStyle name="Nuovo 20 4 2" xfId="2029" xr:uid="{00000000-0005-0000-0000-0000AD060000}"/>
    <cellStyle name="Nuovo 20 5" xfId="2030" xr:uid="{00000000-0005-0000-0000-0000AE060000}"/>
    <cellStyle name="Nuovo 21" xfId="715" xr:uid="{00000000-0005-0000-0000-0000AF060000}"/>
    <cellStyle name="Nuovo 21 2" xfId="716" xr:uid="{00000000-0005-0000-0000-0000B0060000}"/>
    <cellStyle name="Nuovo 21 3" xfId="717" xr:uid="{00000000-0005-0000-0000-0000B1060000}"/>
    <cellStyle name="Nuovo 21 3 2" xfId="2031" xr:uid="{00000000-0005-0000-0000-0000B2060000}"/>
    <cellStyle name="Nuovo 21 3 2 2" xfId="2032" xr:uid="{00000000-0005-0000-0000-0000B3060000}"/>
    <cellStyle name="Nuovo 21 4" xfId="2033" xr:uid="{00000000-0005-0000-0000-0000B4060000}"/>
    <cellStyle name="Nuovo 21 4 2" xfId="2034" xr:uid="{00000000-0005-0000-0000-0000B5060000}"/>
    <cellStyle name="Nuovo 21 5" xfId="2035" xr:uid="{00000000-0005-0000-0000-0000B6060000}"/>
    <cellStyle name="Nuovo 22" xfId="718" xr:uid="{00000000-0005-0000-0000-0000B7060000}"/>
    <cellStyle name="Nuovo 22 2" xfId="719" xr:uid="{00000000-0005-0000-0000-0000B8060000}"/>
    <cellStyle name="Nuovo 22 3" xfId="720" xr:uid="{00000000-0005-0000-0000-0000B9060000}"/>
    <cellStyle name="Nuovo 22 3 2" xfId="2036" xr:uid="{00000000-0005-0000-0000-0000BA060000}"/>
    <cellStyle name="Nuovo 22 3 2 2" xfId="2037" xr:uid="{00000000-0005-0000-0000-0000BB060000}"/>
    <cellStyle name="Nuovo 22 4" xfId="2038" xr:uid="{00000000-0005-0000-0000-0000BC060000}"/>
    <cellStyle name="Nuovo 22 4 2" xfId="2039" xr:uid="{00000000-0005-0000-0000-0000BD060000}"/>
    <cellStyle name="Nuovo 22 5" xfId="2040" xr:uid="{00000000-0005-0000-0000-0000BE060000}"/>
    <cellStyle name="Nuovo 23" xfId="721" xr:uid="{00000000-0005-0000-0000-0000BF060000}"/>
    <cellStyle name="Nuovo 23 2" xfId="722" xr:uid="{00000000-0005-0000-0000-0000C0060000}"/>
    <cellStyle name="Nuovo 23 3" xfId="723" xr:uid="{00000000-0005-0000-0000-0000C1060000}"/>
    <cellStyle name="Nuovo 23 3 2" xfId="2041" xr:uid="{00000000-0005-0000-0000-0000C2060000}"/>
    <cellStyle name="Nuovo 23 3 2 2" xfId="2042" xr:uid="{00000000-0005-0000-0000-0000C3060000}"/>
    <cellStyle name="Nuovo 23 4" xfId="2043" xr:uid="{00000000-0005-0000-0000-0000C4060000}"/>
    <cellStyle name="Nuovo 23 4 2" xfId="2044" xr:uid="{00000000-0005-0000-0000-0000C5060000}"/>
    <cellStyle name="Nuovo 23 5" xfId="2045" xr:uid="{00000000-0005-0000-0000-0000C6060000}"/>
    <cellStyle name="Nuovo 24" xfId="724" xr:uid="{00000000-0005-0000-0000-0000C7060000}"/>
    <cellStyle name="Nuovo 24 2" xfId="725" xr:uid="{00000000-0005-0000-0000-0000C8060000}"/>
    <cellStyle name="Nuovo 24 3" xfId="726" xr:uid="{00000000-0005-0000-0000-0000C9060000}"/>
    <cellStyle name="Nuovo 24 3 2" xfId="2046" xr:uid="{00000000-0005-0000-0000-0000CA060000}"/>
    <cellStyle name="Nuovo 24 3 2 2" xfId="2047" xr:uid="{00000000-0005-0000-0000-0000CB060000}"/>
    <cellStyle name="Nuovo 24 4" xfId="2048" xr:uid="{00000000-0005-0000-0000-0000CC060000}"/>
    <cellStyle name="Nuovo 24 4 2" xfId="2049" xr:uid="{00000000-0005-0000-0000-0000CD060000}"/>
    <cellStyle name="Nuovo 24 5" xfId="2050" xr:uid="{00000000-0005-0000-0000-0000CE060000}"/>
    <cellStyle name="Nuovo 25" xfId="727" xr:uid="{00000000-0005-0000-0000-0000CF060000}"/>
    <cellStyle name="Nuovo 25 2" xfId="728" xr:uid="{00000000-0005-0000-0000-0000D0060000}"/>
    <cellStyle name="Nuovo 25 3" xfId="729" xr:uid="{00000000-0005-0000-0000-0000D1060000}"/>
    <cellStyle name="Nuovo 25 3 2" xfId="2051" xr:uid="{00000000-0005-0000-0000-0000D2060000}"/>
    <cellStyle name="Nuovo 25 3 2 2" xfId="2052" xr:uid="{00000000-0005-0000-0000-0000D3060000}"/>
    <cellStyle name="Nuovo 25 4" xfId="2053" xr:uid="{00000000-0005-0000-0000-0000D4060000}"/>
    <cellStyle name="Nuovo 25 4 2" xfId="2054" xr:uid="{00000000-0005-0000-0000-0000D5060000}"/>
    <cellStyle name="Nuovo 25 5" xfId="2055" xr:uid="{00000000-0005-0000-0000-0000D6060000}"/>
    <cellStyle name="Nuovo 26" xfId="730" xr:uid="{00000000-0005-0000-0000-0000D7060000}"/>
    <cellStyle name="Nuovo 26 2" xfId="731" xr:uid="{00000000-0005-0000-0000-0000D8060000}"/>
    <cellStyle name="Nuovo 26 3" xfId="732" xr:uid="{00000000-0005-0000-0000-0000D9060000}"/>
    <cellStyle name="Nuovo 26 3 2" xfId="2056" xr:uid="{00000000-0005-0000-0000-0000DA060000}"/>
    <cellStyle name="Nuovo 26 3 2 2" xfId="2057" xr:uid="{00000000-0005-0000-0000-0000DB060000}"/>
    <cellStyle name="Nuovo 26 4" xfId="2058" xr:uid="{00000000-0005-0000-0000-0000DC060000}"/>
    <cellStyle name="Nuovo 26 4 2" xfId="2059" xr:uid="{00000000-0005-0000-0000-0000DD060000}"/>
    <cellStyle name="Nuovo 26 5" xfId="2060" xr:uid="{00000000-0005-0000-0000-0000DE060000}"/>
    <cellStyle name="Nuovo 27" xfId="733" xr:uid="{00000000-0005-0000-0000-0000DF060000}"/>
    <cellStyle name="Nuovo 27 2" xfId="734" xr:uid="{00000000-0005-0000-0000-0000E0060000}"/>
    <cellStyle name="Nuovo 27 3" xfId="735" xr:uid="{00000000-0005-0000-0000-0000E1060000}"/>
    <cellStyle name="Nuovo 27 3 2" xfId="2061" xr:uid="{00000000-0005-0000-0000-0000E2060000}"/>
    <cellStyle name="Nuovo 27 3 2 2" xfId="2062" xr:uid="{00000000-0005-0000-0000-0000E3060000}"/>
    <cellStyle name="Nuovo 27 4" xfId="2063" xr:uid="{00000000-0005-0000-0000-0000E4060000}"/>
    <cellStyle name="Nuovo 27 4 2" xfId="2064" xr:uid="{00000000-0005-0000-0000-0000E5060000}"/>
    <cellStyle name="Nuovo 27 5" xfId="2065" xr:uid="{00000000-0005-0000-0000-0000E6060000}"/>
    <cellStyle name="Nuovo 28" xfId="736" xr:uid="{00000000-0005-0000-0000-0000E7060000}"/>
    <cellStyle name="Nuovo 28 2" xfId="737" xr:uid="{00000000-0005-0000-0000-0000E8060000}"/>
    <cellStyle name="Nuovo 28 3" xfId="738" xr:uid="{00000000-0005-0000-0000-0000E9060000}"/>
    <cellStyle name="Nuovo 28 3 2" xfId="2066" xr:uid="{00000000-0005-0000-0000-0000EA060000}"/>
    <cellStyle name="Nuovo 28 3 2 2" xfId="2067" xr:uid="{00000000-0005-0000-0000-0000EB060000}"/>
    <cellStyle name="Nuovo 28 4" xfId="2068" xr:uid="{00000000-0005-0000-0000-0000EC060000}"/>
    <cellStyle name="Nuovo 28 4 2" xfId="2069" xr:uid="{00000000-0005-0000-0000-0000ED060000}"/>
    <cellStyle name="Nuovo 28 5" xfId="2070" xr:uid="{00000000-0005-0000-0000-0000EE060000}"/>
    <cellStyle name="Nuovo 29" xfId="739" xr:uid="{00000000-0005-0000-0000-0000EF060000}"/>
    <cellStyle name="Nuovo 29 2" xfId="740" xr:uid="{00000000-0005-0000-0000-0000F0060000}"/>
    <cellStyle name="Nuovo 29 3" xfId="741" xr:uid="{00000000-0005-0000-0000-0000F1060000}"/>
    <cellStyle name="Nuovo 29 3 2" xfId="2071" xr:uid="{00000000-0005-0000-0000-0000F2060000}"/>
    <cellStyle name="Nuovo 29 3 2 2" xfId="2072" xr:uid="{00000000-0005-0000-0000-0000F3060000}"/>
    <cellStyle name="Nuovo 29 4" xfId="2073" xr:uid="{00000000-0005-0000-0000-0000F4060000}"/>
    <cellStyle name="Nuovo 29 4 2" xfId="2074" xr:uid="{00000000-0005-0000-0000-0000F5060000}"/>
    <cellStyle name="Nuovo 29 5" xfId="2075" xr:uid="{00000000-0005-0000-0000-0000F6060000}"/>
    <cellStyle name="Nuovo 3" xfId="742" xr:uid="{00000000-0005-0000-0000-0000F7060000}"/>
    <cellStyle name="Nuovo 3 2" xfId="743" xr:uid="{00000000-0005-0000-0000-0000F8060000}"/>
    <cellStyle name="Nuovo 3 3" xfId="744" xr:uid="{00000000-0005-0000-0000-0000F9060000}"/>
    <cellStyle name="Nuovo 3 3 2" xfId="2076" xr:uid="{00000000-0005-0000-0000-0000FA060000}"/>
    <cellStyle name="Nuovo 3 3 2 2" xfId="2077" xr:uid="{00000000-0005-0000-0000-0000FB060000}"/>
    <cellStyle name="Nuovo 3 4" xfId="2078" xr:uid="{00000000-0005-0000-0000-0000FC060000}"/>
    <cellStyle name="Nuovo 3 4 2" xfId="2079" xr:uid="{00000000-0005-0000-0000-0000FD060000}"/>
    <cellStyle name="Nuovo 3 5" xfId="2080" xr:uid="{00000000-0005-0000-0000-0000FE060000}"/>
    <cellStyle name="Nuovo 30" xfId="745" xr:uid="{00000000-0005-0000-0000-0000FF060000}"/>
    <cellStyle name="Nuovo 30 2" xfId="746" xr:uid="{00000000-0005-0000-0000-000000070000}"/>
    <cellStyle name="Nuovo 30 3" xfId="747" xr:uid="{00000000-0005-0000-0000-000001070000}"/>
    <cellStyle name="Nuovo 30 3 2" xfId="2081" xr:uid="{00000000-0005-0000-0000-000002070000}"/>
    <cellStyle name="Nuovo 30 3 2 2" xfId="2082" xr:uid="{00000000-0005-0000-0000-000003070000}"/>
    <cellStyle name="Nuovo 30 4" xfId="2083" xr:uid="{00000000-0005-0000-0000-000004070000}"/>
    <cellStyle name="Nuovo 30 4 2" xfId="2084" xr:uid="{00000000-0005-0000-0000-000005070000}"/>
    <cellStyle name="Nuovo 30 5" xfId="2085" xr:uid="{00000000-0005-0000-0000-000006070000}"/>
    <cellStyle name="Nuovo 31" xfId="748" xr:uid="{00000000-0005-0000-0000-000007070000}"/>
    <cellStyle name="Nuovo 31 2" xfId="749" xr:uid="{00000000-0005-0000-0000-000008070000}"/>
    <cellStyle name="Nuovo 31 3" xfId="750" xr:uid="{00000000-0005-0000-0000-000009070000}"/>
    <cellStyle name="Nuovo 31 3 2" xfId="2086" xr:uid="{00000000-0005-0000-0000-00000A070000}"/>
    <cellStyle name="Nuovo 31 3 2 2" xfId="2087" xr:uid="{00000000-0005-0000-0000-00000B070000}"/>
    <cellStyle name="Nuovo 31 4" xfId="2088" xr:uid="{00000000-0005-0000-0000-00000C070000}"/>
    <cellStyle name="Nuovo 31 4 2" xfId="2089" xr:uid="{00000000-0005-0000-0000-00000D070000}"/>
    <cellStyle name="Nuovo 31 5" xfId="2090" xr:uid="{00000000-0005-0000-0000-00000E070000}"/>
    <cellStyle name="Nuovo 32" xfId="751" xr:uid="{00000000-0005-0000-0000-00000F070000}"/>
    <cellStyle name="Nuovo 32 2" xfId="752" xr:uid="{00000000-0005-0000-0000-000010070000}"/>
    <cellStyle name="Nuovo 32 3" xfId="753" xr:uid="{00000000-0005-0000-0000-000011070000}"/>
    <cellStyle name="Nuovo 32 3 2" xfId="2091" xr:uid="{00000000-0005-0000-0000-000012070000}"/>
    <cellStyle name="Nuovo 32 3 2 2" xfId="2092" xr:uid="{00000000-0005-0000-0000-000013070000}"/>
    <cellStyle name="Nuovo 32 4" xfId="2093" xr:uid="{00000000-0005-0000-0000-000014070000}"/>
    <cellStyle name="Nuovo 32 4 2" xfId="2094" xr:uid="{00000000-0005-0000-0000-000015070000}"/>
    <cellStyle name="Nuovo 32 5" xfId="2095" xr:uid="{00000000-0005-0000-0000-000016070000}"/>
    <cellStyle name="Nuovo 33" xfId="754" xr:uid="{00000000-0005-0000-0000-000017070000}"/>
    <cellStyle name="Nuovo 33 2" xfId="755" xr:uid="{00000000-0005-0000-0000-000018070000}"/>
    <cellStyle name="Nuovo 33 3" xfId="756" xr:uid="{00000000-0005-0000-0000-000019070000}"/>
    <cellStyle name="Nuovo 33 3 2" xfId="2096" xr:uid="{00000000-0005-0000-0000-00001A070000}"/>
    <cellStyle name="Nuovo 33 3 2 2" xfId="2097" xr:uid="{00000000-0005-0000-0000-00001B070000}"/>
    <cellStyle name="Nuovo 33 4" xfId="2098" xr:uid="{00000000-0005-0000-0000-00001C070000}"/>
    <cellStyle name="Nuovo 33 4 2" xfId="2099" xr:uid="{00000000-0005-0000-0000-00001D070000}"/>
    <cellStyle name="Nuovo 33 5" xfId="2100" xr:uid="{00000000-0005-0000-0000-00001E070000}"/>
    <cellStyle name="Nuovo 34" xfId="757" xr:uid="{00000000-0005-0000-0000-00001F070000}"/>
    <cellStyle name="Nuovo 34 2" xfId="758" xr:uid="{00000000-0005-0000-0000-000020070000}"/>
    <cellStyle name="Nuovo 34 3" xfId="759" xr:uid="{00000000-0005-0000-0000-000021070000}"/>
    <cellStyle name="Nuovo 34 3 2" xfId="2101" xr:uid="{00000000-0005-0000-0000-000022070000}"/>
    <cellStyle name="Nuovo 34 3 2 2" xfId="2102" xr:uid="{00000000-0005-0000-0000-000023070000}"/>
    <cellStyle name="Nuovo 34 4" xfId="2103" xr:uid="{00000000-0005-0000-0000-000024070000}"/>
    <cellStyle name="Nuovo 34 4 2" xfId="2104" xr:uid="{00000000-0005-0000-0000-000025070000}"/>
    <cellStyle name="Nuovo 34 5" xfId="2105" xr:uid="{00000000-0005-0000-0000-000026070000}"/>
    <cellStyle name="Nuovo 35" xfId="760" xr:uid="{00000000-0005-0000-0000-000027070000}"/>
    <cellStyle name="Nuovo 35 2" xfId="761" xr:uid="{00000000-0005-0000-0000-000028070000}"/>
    <cellStyle name="Nuovo 35 3" xfId="762" xr:uid="{00000000-0005-0000-0000-000029070000}"/>
    <cellStyle name="Nuovo 35 3 2" xfId="2106" xr:uid="{00000000-0005-0000-0000-00002A070000}"/>
    <cellStyle name="Nuovo 35 3 2 2" xfId="2107" xr:uid="{00000000-0005-0000-0000-00002B070000}"/>
    <cellStyle name="Nuovo 35 4" xfId="2108" xr:uid="{00000000-0005-0000-0000-00002C070000}"/>
    <cellStyle name="Nuovo 35 4 2" xfId="2109" xr:uid="{00000000-0005-0000-0000-00002D070000}"/>
    <cellStyle name="Nuovo 35 5" xfId="2110" xr:uid="{00000000-0005-0000-0000-00002E070000}"/>
    <cellStyle name="Nuovo 36" xfId="763" xr:uid="{00000000-0005-0000-0000-00002F070000}"/>
    <cellStyle name="Nuovo 36 2" xfId="764" xr:uid="{00000000-0005-0000-0000-000030070000}"/>
    <cellStyle name="Nuovo 36 3" xfId="765" xr:uid="{00000000-0005-0000-0000-000031070000}"/>
    <cellStyle name="Nuovo 36 3 2" xfId="2111" xr:uid="{00000000-0005-0000-0000-000032070000}"/>
    <cellStyle name="Nuovo 36 3 2 2" xfId="2112" xr:uid="{00000000-0005-0000-0000-000033070000}"/>
    <cellStyle name="Nuovo 36 4" xfId="2113" xr:uid="{00000000-0005-0000-0000-000034070000}"/>
    <cellStyle name="Nuovo 36 4 2" xfId="2114" xr:uid="{00000000-0005-0000-0000-000035070000}"/>
    <cellStyle name="Nuovo 36 5" xfId="2115" xr:uid="{00000000-0005-0000-0000-000036070000}"/>
    <cellStyle name="Nuovo 37" xfId="766" xr:uid="{00000000-0005-0000-0000-000037070000}"/>
    <cellStyle name="Nuovo 37 2" xfId="767" xr:uid="{00000000-0005-0000-0000-000038070000}"/>
    <cellStyle name="Nuovo 37 3" xfId="768" xr:uid="{00000000-0005-0000-0000-000039070000}"/>
    <cellStyle name="Nuovo 37 3 2" xfId="2116" xr:uid="{00000000-0005-0000-0000-00003A070000}"/>
    <cellStyle name="Nuovo 37 3 2 2" xfId="2117" xr:uid="{00000000-0005-0000-0000-00003B070000}"/>
    <cellStyle name="Nuovo 37 4" xfId="2118" xr:uid="{00000000-0005-0000-0000-00003C070000}"/>
    <cellStyle name="Nuovo 37 4 2" xfId="2119" xr:uid="{00000000-0005-0000-0000-00003D070000}"/>
    <cellStyle name="Nuovo 37 5" xfId="2120" xr:uid="{00000000-0005-0000-0000-00003E070000}"/>
    <cellStyle name="Nuovo 38" xfId="769" xr:uid="{00000000-0005-0000-0000-00003F070000}"/>
    <cellStyle name="Nuovo 38 2" xfId="770" xr:uid="{00000000-0005-0000-0000-000040070000}"/>
    <cellStyle name="Nuovo 38 3" xfId="771" xr:uid="{00000000-0005-0000-0000-000041070000}"/>
    <cellStyle name="Nuovo 38 3 2" xfId="2121" xr:uid="{00000000-0005-0000-0000-000042070000}"/>
    <cellStyle name="Nuovo 38 3 2 2" xfId="2122" xr:uid="{00000000-0005-0000-0000-000043070000}"/>
    <cellStyle name="Nuovo 38 4" xfId="2123" xr:uid="{00000000-0005-0000-0000-000044070000}"/>
    <cellStyle name="Nuovo 38 4 2" xfId="2124" xr:uid="{00000000-0005-0000-0000-000045070000}"/>
    <cellStyle name="Nuovo 38 5" xfId="2125" xr:uid="{00000000-0005-0000-0000-000046070000}"/>
    <cellStyle name="Nuovo 39" xfId="772" xr:uid="{00000000-0005-0000-0000-000047070000}"/>
    <cellStyle name="Nuovo 39 2" xfId="773" xr:uid="{00000000-0005-0000-0000-000048070000}"/>
    <cellStyle name="Nuovo 39 3" xfId="774" xr:uid="{00000000-0005-0000-0000-000049070000}"/>
    <cellStyle name="Nuovo 39 3 2" xfId="2126" xr:uid="{00000000-0005-0000-0000-00004A070000}"/>
    <cellStyle name="Nuovo 39 3 2 2" xfId="2127" xr:uid="{00000000-0005-0000-0000-00004B070000}"/>
    <cellStyle name="Nuovo 39 4" xfId="2128" xr:uid="{00000000-0005-0000-0000-00004C070000}"/>
    <cellStyle name="Nuovo 39 4 2" xfId="2129" xr:uid="{00000000-0005-0000-0000-00004D070000}"/>
    <cellStyle name="Nuovo 39 5" xfId="2130" xr:uid="{00000000-0005-0000-0000-00004E070000}"/>
    <cellStyle name="Nuovo 4" xfId="775" xr:uid="{00000000-0005-0000-0000-00004F070000}"/>
    <cellStyle name="Nuovo 4 2" xfId="776" xr:uid="{00000000-0005-0000-0000-000050070000}"/>
    <cellStyle name="Nuovo 4 3" xfId="777" xr:uid="{00000000-0005-0000-0000-000051070000}"/>
    <cellStyle name="Nuovo 4 3 2" xfId="2131" xr:uid="{00000000-0005-0000-0000-000052070000}"/>
    <cellStyle name="Nuovo 4 3 2 2" xfId="2132" xr:uid="{00000000-0005-0000-0000-000053070000}"/>
    <cellStyle name="Nuovo 4 4" xfId="2133" xr:uid="{00000000-0005-0000-0000-000054070000}"/>
    <cellStyle name="Nuovo 4 4 2" xfId="2134" xr:uid="{00000000-0005-0000-0000-000055070000}"/>
    <cellStyle name="Nuovo 4 5" xfId="2135" xr:uid="{00000000-0005-0000-0000-000056070000}"/>
    <cellStyle name="Nuovo 40" xfId="778" xr:uid="{00000000-0005-0000-0000-000057070000}"/>
    <cellStyle name="Nuovo 40 2" xfId="779" xr:uid="{00000000-0005-0000-0000-000058070000}"/>
    <cellStyle name="Nuovo 40 3" xfId="780" xr:uid="{00000000-0005-0000-0000-000059070000}"/>
    <cellStyle name="Nuovo 40 3 2" xfId="2136" xr:uid="{00000000-0005-0000-0000-00005A070000}"/>
    <cellStyle name="Nuovo 40 3 2 2" xfId="2137" xr:uid="{00000000-0005-0000-0000-00005B070000}"/>
    <cellStyle name="Nuovo 40 4" xfId="2138" xr:uid="{00000000-0005-0000-0000-00005C070000}"/>
    <cellStyle name="Nuovo 40 4 2" xfId="2139" xr:uid="{00000000-0005-0000-0000-00005D070000}"/>
    <cellStyle name="Nuovo 40 5" xfId="2140" xr:uid="{00000000-0005-0000-0000-00005E070000}"/>
    <cellStyle name="Nuovo 41" xfId="781" xr:uid="{00000000-0005-0000-0000-00005F070000}"/>
    <cellStyle name="Nuovo 41 2" xfId="782" xr:uid="{00000000-0005-0000-0000-000060070000}"/>
    <cellStyle name="Nuovo 41 3" xfId="783" xr:uid="{00000000-0005-0000-0000-000061070000}"/>
    <cellStyle name="Nuovo 41 3 2" xfId="2141" xr:uid="{00000000-0005-0000-0000-000062070000}"/>
    <cellStyle name="Nuovo 41 3 2 2" xfId="2142" xr:uid="{00000000-0005-0000-0000-000063070000}"/>
    <cellStyle name="Nuovo 41 4" xfId="2143" xr:uid="{00000000-0005-0000-0000-000064070000}"/>
    <cellStyle name="Nuovo 41 4 2" xfId="2144" xr:uid="{00000000-0005-0000-0000-000065070000}"/>
    <cellStyle name="Nuovo 41 5" xfId="2145" xr:uid="{00000000-0005-0000-0000-000066070000}"/>
    <cellStyle name="Nuovo 42" xfId="784" xr:uid="{00000000-0005-0000-0000-000067070000}"/>
    <cellStyle name="Nuovo 42 2" xfId="785" xr:uid="{00000000-0005-0000-0000-000068070000}"/>
    <cellStyle name="Nuovo 42 3" xfId="786" xr:uid="{00000000-0005-0000-0000-000069070000}"/>
    <cellStyle name="Nuovo 42 3 2" xfId="2146" xr:uid="{00000000-0005-0000-0000-00006A070000}"/>
    <cellStyle name="Nuovo 42 3 2 2" xfId="2147" xr:uid="{00000000-0005-0000-0000-00006B070000}"/>
    <cellStyle name="Nuovo 42 4" xfId="2148" xr:uid="{00000000-0005-0000-0000-00006C070000}"/>
    <cellStyle name="Nuovo 42 4 2" xfId="2149" xr:uid="{00000000-0005-0000-0000-00006D070000}"/>
    <cellStyle name="Nuovo 42 5" xfId="2150" xr:uid="{00000000-0005-0000-0000-00006E070000}"/>
    <cellStyle name="Nuovo 43" xfId="787" xr:uid="{00000000-0005-0000-0000-00006F070000}"/>
    <cellStyle name="Nuovo 43 2" xfId="788" xr:uid="{00000000-0005-0000-0000-000070070000}"/>
    <cellStyle name="Nuovo 43 3" xfId="789" xr:uid="{00000000-0005-0000-0000-000071070000}"/>
    <cellStyle name="Nuovo 43 3 2" xfId="2151" xr:uid="{00000000-0005-0000-0000-000072070000}"/>
    <cellStyle name="Nuovo 43 3 2 2" xfId="2152" xr:uid="{00000000-0005-0000-0000-000073070000}"/>
    <cellStyle name="Nuovo 43 4" xfId="2153" xr:uid="{00000000-0005-0000-0000-000074070000}"/>
    <cellStyle name="Nuovo 43 4 2" xfId="2154" xr:uid="{00000000-0005-0000-0000-000075070000}"/>
    <cellStyle name="Nuovo 43 5" xfId="2155" xr:uid="{00000000-0005-0000-0000-000076070000}"/>
    <cellStyle name="Nuovo 44" xfId="790" xr:uid="{00000000-0005-0000-0000-000077070000}"/>
    <cellStyle name="Nuovo 44 2" xfId="791" xr:uid="{00000000-0005-0000-0000-000078070000}"/>
    <cellStyle name="Nuovo 44 3" xfId="792" xr:uid="{00000000-0005-0000-0000-000079070000}"/>
    <cellStyle name="Nuovo 44 3 2" xfId="2156" xr:uid="{00000000-0005-0000-0000-00007A070000}"/>
    <cellStyle name="Nuovo 44 3 2 2" xfId="2157" xr:uid="{00000000-0005-0000-0000-00007B070000}"/>
    <cellStyle name="Nuovo 44 4" xfId="2158" xr:uid="{00000000-0005-0000-0000-00007C070000}"/>
    <cellStyle name="Nuovo 44 4 2" xfId="2159" xr:uid="{00000000-0005-0000-0000-00007D070000}"/>
    <cellStyle name="Nuovo 44 5" xfId="2160" xr:uid="{00000000-0005-0000-0000-00007E070000}"/>
    <cellStyle name="Nuovo 45" xfId="793" xr:uid="{00000000-0005-0000-0000-00007F070000}"/>
    <cellStyle name="Nuovo 46" xfId="794" xr:uid="{00000000-0005-0000-0000-000080070000}"/>
    <cellStyle name="Nuovo 46 2" xfId="2161" xr:uid="{00000000-0005-0000-0000-000081070000}"/>
    <cellStyle name="Nuovo 46 2 2" xfId="2162" xr:uid="{00000000-0005-0000-0000-000082070000}"/>
    <cellStyle name="Nuovo 47" xfId="2163" xr:uid="{00000000-0005-0000-0000-000083070000}"/>
    <cellStyle name="Nuovo 47 2" xfId="2164" xr:uid="{00000000-0005-0000-0000-000084070000}"/>
    <cellStyle name="Nuovo 48" xfId="2165" xr:uid="{00000000-0005-0000-0000-000085070000}"/>
    <cellStyle name="Nuovo 5" xfId="795" xr:uid="{00000000-0005-0000-0000-000086070000}"/>
    <cellStyle name="Nuovo 5 2" xfId="796" xr:uid="{00000000-0005-0000-0000-000087070000}"/>
    <cellStyle name="Nuovo 5 3" xfId="797" xr:uid="{00000000-0005-0000-0000-000088070000}"/>
    <cellStyle name="Nuovo 5 3 2" xfId="2166" xr:uid="{00000000-0005-0000-0000-000089070000}"/>
    <cellStyle name="Nuovo 5 3 2 2" xfId="2167" xr:uid="{00000000-0005-0000-0000-00008A070000}"/>
    <cellStyle name="Nuovo 5 4" xfId="2168" xr:uid="{00000000-0005-0000-0000-00008B070000}"/>
    <cellStyle name="Nuovo 5 4 2" xfId="2169" xr:uid="{00000000-0005-0000-0000-00008C070000}"/>
    <cellStyle name="Nuovo 5 5" xfId="2170" xr:uid="{00000000-0005-0000-0000-00008D070000}"/>
    <cellStyle name="Nuovo 6" xfId="798" xr:uid="{00000000-0005-0000-0000-00008E070000}"/>
    <cellStyle name="Nuovo 6 2" xfId="799" xr:uid="{00000000-0005-0000-0000-00008F070000}"/>
    <cellStyle name="Nuovo 6 3" xfId="800" xr:uid="{00000000-0005-0000-0000-000090070000}"/>
    <cellStyle name="Nuovo 6 3 2" xfId="2171" xr:uid="{00000000-0005-0000-0000-000091070000}"/>
    <cellStyle name="Nuovo 6 3 2 2" xfId="2172" xr:uid="{00000000-0005-0000-0000-000092070000}"/>
    <cellStyle name="Nuovo 6 4" xfId="2173" xr:uid="{00000000-0005-0000-0000-000093070000}"/>
    <cellStyle name="Nuovo 6 4 2" xfId="2174" xr:uid="{00000000-0005-0000-0000-000094070000}"/>
    <cellStyle name="Nuovo 6 5" xfId="2175" xr:uid="{00000000-0005-0000-0000-000095070000}"/>
    <cellStyle name="Nuovo 7" xfId="801" xr:uid="{00000000-0005-0000-0000-000096070000}"/>
    <cellStyle name="Nuovo 7 2" xfId="802" xr:uid="{00000000-0005-0000-0000-000097070000}"/>
    <cellStyle name="Nuovo 7 3" xfId="803" xr:uid="{00000000-0005-0000-0000-000098070000}"/>
    <cellStyle name="Nuovo 7 3 2" xfId="2176" xr:uid="{00000000-0005-0000-0000-000099070000}"/>
    <cellStyle name="Nuovo 7 3 2 2" xfId="2177" xr:uid="{00000000-0005-0000-0000-00009A070000}"/>
    <cellStyle name="Nuovo 7 4" xfId="2178" xr:uid="{00000000-0005-0000-0000-00009B070000}"/>
    <cellStyle name="Nuovo 7 4 2" xfId="2179" xr:uid="{00000000-0005-0000-0000-00009C070000}"/>
    <cellStyle name="Nuovo 7 5" xfId="2180" xr:uid="{00000000-0005-0000-0000-00009D070000}"/>
    <cellStyle name="Nuovo 8" xfId="804" xr:uid="{00000000-0005-0000-0000-00009E070000}"/>
    <cellStyle name="Nuovo 8 2" xfId="805" xr:uid="{00000000-0005-0000-0000-00009F070000}"/>
    <cellStyle name="Nuovo 8 3" xfId="806" xr:uid="{00000000-0005-0000-0000-0000A0070000}"/>
    <cellStyle name="Nuovo 8 3 2" xfId="2181" xr:uid="{00000000-0005-0000-0000-0000A1070000}"/>
    <cellStyle name="Nuovo 8 3 2 2" xfId="2182" xr:uid="{00000000-0005-0000-0000-0000A2070000}"/>
    <cellStyle name="Nuovo 8 4" xfId="2183" xr:uid="{00000000-0005-0000-0000-0000A3070000}"/>
    <cellStyle name="Nuovo 8 4 2" xfId="2184" xr:uid="{00000000-0005-0000-0000-0000A4070000}"/>
    <cellStyle name="Nuovo 8 5" xfId="2185" xr:uid="{00000000-0005-0000-0000-0000A5070000}"/>
    <cellStyle name="Nuovo 9" xfId="807" xr:uid="{00000000-0005-0000-0000-0000A6070000}"/>
    <cellStyle name="Nuovo 9 2" xfId="808" xr:uid="{00000000-0005-0000-0000-0000A7070000}"/>
    <cellStyle name="Nuovo 9 3" xfId="809" xr:uid="{00000000-0005-0000-0000-0000A8070000}"/>
    <cellStyle name="Nuovo 9 3 2" xfId="2186" xr:uid="{00000000-0005-0000-0000-0000A9070000}"/>
    <cellStyle name="Nuovo 9 3 2 2" xfId="2187" xr:uid="{00000000-0005-0000-0000-0000AA070000}"/>
    <cellStyle name="Nuovo 9 4" xfId="2188" xr:uid="{00000000-0005-0000-0000-0000AB070000}"/>
    <cellStyle name="Nuovo 9 4 2" xfId="2189" xr:uid="{00000000-0005-0000-0000-0000AC070000}"/>
    <cellStyle name="Nuovo 9 5" xfId="2190" xr:uid="{00000000-0005-0000-0000-0000AD070000}"/>
    <cellStyle name="Output 2" xfId="810" xr:uid="{00000000-0005-0000-0000-0000AE070000}"/>
    <cellStyle name="Output 2 2" xfId="811" xr:uid="{00000000-0005-0000-0000-0000AF070000}"/>
    <cellStyle name="Output 2 2 2" xfId="2191" xr:uid="{00000000-0005-0000-0000-0000B0070000}"/>
    <cellStyle name="Output 2 3" xfId="2192" xr:uid="{00000000-0005-0000-0000-0000B1070000}"/>
    <cellStyle name="Output 3" xfId="812" xr:uid="{00000000-0005-0000-0000-0000B2070000}"/>
    <cellStyle name="Output 3 2" xfId="2193" xr:uid="{00000000-0005-0000-0000-0000B3070000}"/>
    <cellStyle name="Percen - Type1" xfId="813" xr:uid="{00000000-0005-0000-0000-0000B4070000}"/>
    <cellStyle name="Percent 2" xfId="814" xr:uid="{00000000-0005-0000-0000-0000B5070000}"/>
    <cellStyle name="Percent 2 2" xfId="815" xr:uid="{00000000-0005-0000-0000-0000B6070000}"/>
    <cellStyle name="Percent 2 2 2" xfId="2194" xr:uid="{00000000-0005-0000-0000-0000B7070000}"/>
    <cellStyle name="Percent 2 2 3" xfId="2195" xr:uid="{00000000-0005-0000-0000-0000B8070000}"/>
    <cellStyle name="Percent 2 2 3 2" xfId="2196" xr:uid="{00000000-0005-0000-0000-0000B9070000}"/>
    <cellStyle name="Percent 2 2 4" xfId="2197" xr:uid="{00000000-0005-0000-0000-0000BA070000}"/>
    <cellStyle name="Percent 2 3" xfId="2198" xr:uid="{00000000-0005-0000-0000-0000BB070000}"/>
    <cellStyle name="Percent 2 3 2" xfId="2199" xr:uid="{00000000-0005-0000-0000-0000BC070000}"/>
    <cellStyle name="Percent 3" xfId="816" xr:uid="{00000000-0005-0000-0000-0000BD070000}"/>
    <cellStyle name="Percent 3 2" xfId="817" xr:uid="{00000000-0005-0000-0000-0000BE070000}"/>
    <cellStyle name="Percent 3 3" xfId="818" xr:uid="{00000000-0005-0000-0000-0000BF070000}"/>
    <cellStyle name="Percent 3 3 2" xfId="2200" xr:uid="{00000000-0005-0000-0000-0000C0070000}"/>
    <cellStyle name="Percent 3 3 2 2" xfId="2201" xr:uid="{00000000-0005-0000-0000-0000C1070000}"/>
    <cellStyle name="Percent 3 4" xfId="2202" xr:uid="{00000000-0005-0000-0000-0000C2070000}"/>
    <cellStyle name="Percent 3 4 2" xfId="2203" xr:uid="{00000000-0005-0000-0000-0000C3070000}"/>
    <cellStyle name="Percent 4" xfId="2204" xr:uid="{00000000-0005-0000-0000-0000C4070000}"/>
    <cellStyle name="Percent 5" xfId="2205" xr:uid="{00000000-0005-0000-0000-0000C5070000}"/>
    <cellStyle name="Percent 6" xfId="2579" xr:uid="{8E258840-9633-406C-ACFB-ACE1A5CF2550}"/>
    <cellStyle name="Percentuale 10" xfId="819" xr:uid="{00000000-0005-0000-0000-0000C6070000}"/>
    <cellStyle name="Percentuale 10 2" xfId="820" xr:uid="{00000000-0005-0000-0000-0000C7070000}"/>
    <cellStyle name="Percentuale 10 3" xfId="821" xr:uid="{00000000-0005-0000-0000-0000C8070000}"/>
    <cellStyle name="Percentuale 10 3 2" xfId="2206" xr:uid="{00000000-0005-0000-0000-0000C9070000}"/>
    <cellStyle name="Percentuale 10 3 2 2" xfId="2207" xr:uid="{00000000-0005-0000-0000-0000CA070000}"/>
    <cellStyle name="Percentuale 10 4" xfId="2208" xr:uid="{00000000-0005-0000-0000-0000CB070000}"/>
    <cellStyle name="Percentuale 10 4 2" xfId="2209" xr:uid="{00000000-0005-0000-0000-0000CC070000}"/>
    <cellStyle name="Percentuale 10 5" xfId="2210" xr:uid="{00000000-0005-0000-0000-0000CD070000}"/>
    <cellStyle name="Percentuale 11" xfId="822" xr:uid="{00000000-0005-0000-0000-0000CE070000}"/>
    <cellStyle name="Percentuale 11 2" xfId="823" xr:uid="{00000000-0005-0000-0000-0000CF070000}"/>
    <cellStyle name="Percentuale 11 3" xfId="824" xr:uid="{00000000-0005-0000-0000-0000D0070000}"/>
    <cellStyle name="Percentuale 11 3 2" xfId="2211" xr:uid="{00000000-0005-0000-0000-0000D1070000}"/>
    <cellStyle name="Percentuale 11 3 2 2" xfId="2212" xr:uid="{00000000-0005-0000-0000-0000D2070000}"/>
    <cellStyle name="Percentuale 11 4" xfId="2213" xr:uid="{00000000-0005-0000-0000-0000D3070000}"/>
    <cellStyle name="Percentuale 11 4 2" xfId="2214" xr:uid="{00000000-0005-0000-0000-0000D4070000}"/>
    <cellStyle name="Percentuale 11 5" xfId="2215" xr:uid="{00000000-0005-0000-0000-0000D5070000}"/>
    <cellStyle name="Percentuale 12" xfId="825" xr:uid="{00000000-0005-0000-0000-0000D6070000}"/>
    <cellStyle name="Percentuale 12 2" xfId="826" xr:uid="{00000000-0005-0000-0000-0000D7070000}"/>
    <cellStyle name="Percentuale 12 3" xfId="827" xr:uid="{00000000-0005-0000-0000-0000D8070000}"/>
    <cellStyle name="Percentuale 12 3 2" xfId="2216" xr:uid="{00000000-0005-0000-0000-0000D9070000}"/>
    <cellStyle name="Percentuale 12 3 2 2" xfId="2217" xr:uid="{00000000-0005-0000-0000-0000DA070000}"/>
    <cellStyle name="Percentuale 12 4" xfId="2218" xr:uid="{00000000-0005-0000-0000-0000DB070000}"/>
    <cellStyle name="Percentuale 12 4 2" xfId="2219" xr:uid="{00000000-0005-0000-0000-0000DC070000}"/>
    <cellStyle name="Percentuale 12 5" xfId="2220" xr:uid="{00000000-0005-0000-0000-0000DD070000}"/>
    <cellStyle name="Percentuale 13" xfId="828" xr:uid="{00000000-0005-0000-0000-0000DE070000}"/>
    <cellStyle name="Percentuale 13 2" xfId="829" xr:uid="{00000000-0005-0000-0000-0000DF070000}"/>
    <cellStyle name="Percentuale 13 3" xfId="830" xr:uid="{00000000-0005-0000-0000-0000E0070000}"/>
    <cellStyle name="Percentuale 13 3 2" xfId="2221" xr:uid="{00000000-0005-0000-0000-0000E1070000}"/>
    <cellStyle name="Percentuale 13 3 2 2" xfId="2222" xr:uid="{00000000-0005-0000-0000-0000E2070000}"/>
    <cellStyle name="Percentuale 13 4" xfId="2223" xr:uid="{00000000-0005-0000-0000-0000E3070000}"/>
    <cellStyle name="Percentuale 13 4 2" xfId="2224" xr:uid="{00000000-0005-0000-0000-0000E4070000}"/>
    <cellStyle name="Percentuale 13 5" xfId="2225" xr:uid="{00000000-0005-0000-0000-0000E5070000}"/>
    <cellStyle name="Percentuale 14" xfId="831" xr:uid="{00000000-0005-0000-0000-0000E6070000}"/>
    <cellStyle name="Percentuale 14 2" xfId="832" xr:uid="{00000000-0005-0000-0000-0000E7070000}"/>
    <cellStyle name="Percentuale 14 3" xfId="833" xr:uid="{00000000-0005-0000-0000-0000E8070000}"/>
    <cellStyle name="Percentuale 14 3 2" xfId="2226" xr:uid="{00000000-0005-0000-0000-0000E9070000}"/>
    <cellStyle name="Percentuale 14 3 2 2" xfId="2227" xr:uid="{00000000-0005-0000-0000-0000EA070000}"/>
    <cellStyle name="Percentuale 14 4" xfId="2228" xr:uid="{00000000-0005-0000-0000-0000EB070000}"/>
    <cellStyle name="Percentuale 14 4 2" xfId="2229" xr:uid="{00000000-0005-0000-0000-0000EC070000}"/>
    <cellStyle name="Percentuale 14 5" xfId="2230" xr:uid="{00000000-0005-0000-0000-0000ED070000}"/>
    <cellStyle name="Percentuale 15" xfId="834" xr:uid="{00000000-0005-0000-0000-0000EE070000}"/>
    <cellStyle name="Percentuale 15 2" xfId="835" xr:uid="{00000000-0005-0000-0000-0000EF070000}"/>
    <cellStyle name="Percentuale 15 3" xfId="836" xr:uid="{00000000-0005-0000-0000-0000F0070000}"/>
    <cellStyle name="Percentuale 15 3 2" xfId="2231" xr:uid="{00000000-0005-0000-0000-0000F1070000}"/>
    <cellStyle name="Percentuale 15 3 2 2" xfId="2232" xr:uid="{00000000-0005-0000-0000-0000F2070000}"/>
    <cellStyle name="Percentuale 15 4" xfId="2233" xr:uid="{00000000-0005-0000-0000-0000F3070000}"/>
    <cellStyle name="Percentuale 15 4 2" xfId="2234" xr:uid="{00000000-0005-0000-0000-0000F4070000}"/>
    <cellStyle name="Percentuale 15 5" xfId="2235" xr:uid="{00000000-0005-0000-0000-0000F5070000}"/>
    <cellStyle name="Percentuale 16" xfId="837" xr:uid="{00000000-0005-0000-0000-0000F6070000}"/>
    <cellStyle name="Percentuale 16 2" xfId="838" xr:uid="{00000000-0005-0000-0000-0000F7070000}"/>
    <cellStyle name="Percentuale 16 3" xfId="839" xr:uid="{00000000-0005-0000-0000-0000F8070000}"/>
    <cellStyle name="Percentuale 16 3 2" xfId="2236" xr:uid="{00000000-0005-0000-0000-0000F9070000}"/>
    <cellStyle name="Percentuale 16 3 2 2" xfId="2237" xr:uid="{00000000-0005-0000-0000-0000FA070000}"/>
    <cellStyle name="Percentuale 16 4" xfId="2238" xr:uid="{00000000-0005-0000-0000-0000FB070000}"/>
    <cellStyle name="Percentuale 16 4 2" xfId="2239" xr:uid="{00000000-0005-0000-0000-0000FC070000}"/>
    <cellStyle name="Percentuale 16 5" xfId="2240" xr:uid="{00000000-0005-0000-0000-0000FD070000}"/>
    <cellStyle name="Percentuale 17" xfId="840" xr:uid="{00000000-0005-0000-0000-0000FE070000}"/>
    <cellStyle name="Percentuale 17 2" xfId="841" xr:uid="{00000000-0005-0000-0000-0000FF070000}"/>
    <cellStyle name="Percentuale 17 3" xfId="842" xr:uid="{00000000-0005-0000-0000-000000080000}"/>
    <cellStyle name="Percentuale 17 3 2" xfId="2241" xr:uid="{00000000-0005-0000-0000-000001080000}"/>
    <cellStyle name="Percentuale 17 3 2 2" xfId="2242" xr:uid="{00000000-0005-0000-0000-000002080000}"/>
    <cellStyle name="Percentuale 17 4" xfId="2243" xr:uid="{00000000-0005-0000-0000-000003080000}"/>
    <cellStyle name="Percentuale 17 4 2" xfId="2244" xr:uid="{00000000-0005-0000-0000-000004080000}"/>
    <cellStyle name="Percentuale 17 5" xfId="2245" xr:uid="{00000000-0005-0000-0000-000005080000}"/>
    <cellStyle name="Percentuale 18" xfId="843" xr:uid="{00000000-0005-0000-0000-000006080000}"/>
    <cellStyle name="Percentuale 18 2" xfId="844" xr:uid="{00000000-0005-0000-0000-000007080000}"/>
    <cellStyle name="Percentuale 18 3" xfId="845" xr:uid="{00000000-0005-0000-0000-000008080000}"/>
    <cellStyle name="Percentuale 18 3 2" xfId="2246" xr:uid="{00000000-0005-0000-0000-000009080000}"/>
    <cellStyle name="Percentuale 18 3 2 2" xfId="2247" xr:uid="{00000000-0005-0000-0000-00000A080000}"/>
    <cellStyle name="Percentuale 18 4" xfId="2248" xr:uid="{00000000-0005-0000-0000-00000B080000}"/>
    <cellStyle name="Percentuale 18 4 2" xfId="2249" xr:uid="{00000000-0005-0000-0000-00000C080000}"/>
    <cellStyle name="Percentuale 18 5" xfId="2250" xr:uid="{00000000-0005-0000-0000-00000D080000}"/>
    <cellStyle name="Percentuale 19" xfId="846" xr:uid="{00000000-0005-0000-0000-00000E080000}"/>
    <cellStyle name="Percentuale 19 2" xfId="847" xr:uid="{00000000-0005-0000-0000-00000F080000}"/>
    <cellStyle name="Percentuale 19 3" xfId="848" xr:uid="{00000000-0005-0000-0000-000010080000}"/>
    <cellStyle name="Percentuale 19 3 2" xfId="2251" xr:uid="{00000000-0005-0000-0000-000011080000}"/>
    <cellStyle name="Percentuale 19 3 2 2" xfId="2252" xr:uid="{00000000-0005-0000-0000-000012080000}"/>
    <cellStyle name="Percentuale 19 4" xfId="2253" xr:uid="{00000000-0005-0000-0000-000013080000}"/>
    <cellStyle name="Percentuale 19 4 2" xfId="2254" xr:uid="{00000000-0005-0000-0000-000014080000}"/>
    <cellStyle name="Percentuale 19 5" xfId="2255" xr:uid="{00000000-0005-0000-0000-000015080000}"/>
    <cellStyle name="Percentuale 2" xfId="849" xr:uid="{00000000-0005-0000-0000-000016080000}"/>
    <cellStyle name="Percentuale 2 2" xfId="850" xr:uid="{00000000-0005-0000-0000-000017080000}"/>
    <cellStyle name="Percentuale 2 3" xfId="851" xr:uid="{00000000-0005-0000-0000-000018080000}"/>
    <cellStyle name="Percentuale 2 3 2" xfId="2256" xr:uid="{00000000-0005-0000-0000-000019080000}"/>
    <cellStyle name="Percentuale 2 3 2 2" xfId="2257" xr:uid="{00000000-0005-0000-0000-00001A080000}"/>
    <cellStyle name="Percentuale 2 4" xfId="2258" xr:uid="{00000000-0005-0000-0000-00001B080000}"/>
    <cellStyle name="Percentuale 2 4 2" xfId="2259" xr:uid="{00000000-0005-0000-0000-00001C080000}"/>
    <cellStyle name="Percentuale 2 5" xfId="2260" xr:uid="{00000000-0005-0000-0000-00001D080000}"/>
    <cellStyle name="Percentuale 20" xfId="852" xr:uid="{00000000-0005-0000-0000-00001E080000}"/>
    <cellStyle name="Percentuale 20 2" xfId="853" xr:uid="{00000000-0005-0000-0000-00001F080000}"/>
    <cellStyle name="Percentuale 20 3" xfId="854" xr:uid="{00000000-0005-0000-0000-000020080000}"/>
    <cellStyle name="Percentuale 20 3 2" xfId="2261" xr:uid="{00000000-0005-0000-0000-000021080000}"/>
    <cellStyle name="Percentuale 20 3 2 2" xfId="2262" xr:uid="{00000000-0005-0000-0000-000022080000}"/>
    <cellStyle name="Percentuale 20 4" xfId="2263" xr:uid="{00000000-0005-0000-0000-000023080000}"/>
    <cellStyle name="Percentuale 20 4 2" xfId="2264" xr:uid="{00000000-0005-0000-0000-000024080000}"/>
    <cellStyle name="Percentuale 20 5" xfId="2265" xr:uid="{00000000-0005-0000-0000-000025080000}"/>
    <cellStyle name="Percentuale 21" xfId="855" xr:uid="{00000000-0005-0000-0000-000026080000}"/>
    <cellStyle name="Percentuale 21 2" xfId="856" xr:uid="{00000000-0005-0000-0000-000027080000}"/>
    <cellStyle name="Percentuale 21 3" xfId="857" xr:uid="{00000000-0005-0000-0000-000028080000}"/>
    <cellStyle name="Percentuale 21 3 2" xfId="2266" xr:uid="{00000000-0005-0000-0000-000029080000}"/>
    <cellStyle name="Percentuale 21 3 2 2" xfId="2267" xr:uid="{00000000-0005-0000-0000-00002A080000}"/>
    <cellStyle name="Percentuale 21 4" xfId="2268" xr:uid="{00000000-0005-0000-0000-00002B080000}"/>
    <cellStyle name="Percentuale 21 4 2" xfId="2269" xr:uid="{00000000-0005-0000-0000-00002C080000}"/>
    <cellStyle name="Percentuale 21 5" xfId="2270" xr:uid="{00000000-0005-0000-0000-00002D080000}"/>
    <cellStyle name="Percentuale 22" xfId="858" xr:uid="{00000000-0005-0000-0000-00002E080000}"/>
    <cellStyle name="Percentuale 22 2" xfId="859" xr:uid="{00000000-0005-0000-0000-00002F080000}"/>
    <cellStyle name="Percentuale 22 3" xfId="860" xr:uid="{00000000-0005-0000-0000-000030080000}"/>
    <cellStyle name="Percentuale 22 3 2" xfId="2271" xr:uid="{00000000-0005-0000-0000-000031080000}"/>
    <cellStyle name="Percentuale 22 3 2 2" xfId="2272" xr:uid="{00000000-0005-0000-0000-000032080000}"/>
    <cellStyle name="Percentuale 22 4" xfId="2273" xr:uid="{00000000-0005-0000-0000-000033080000}"/>
    <cellStyle name="Percentuale 22 4 2" xfId="2274" xr:uid="{00000000-0005-0000-0000-000034080000}"/>
    <cellStyle name="Percentuale 22 5" xfId="2275" xr:uid="{00000000-0005-0000-0000-000035080000}"/>
    <cellStyle name="Percentuale 23" xfId="861" xr:uid="{00000000-0005-0000-0000-000036080000}"/>
    <cellStyle name="Percentuale 23 2" xfId="862" xr:uid="{00000000-0005-0000-0000-000037080000}"/>
    <cellStyle name="Percentuale 23 3" xfId="863" xr:uid="{00000000-0005-0000-0000-000038080000}"/>
    <cellStyle name="Percentuale 23 3 2" xfId="2276" xr:uid="{00000000-0005-0000-0000-000039080000}"/>
    <cellStyle name="Percentuale 23 3 2 2" xfId="2277" xr:uid="{00000000-0005-0000-0000-00003A080000}"/>
    <cellStyle name="Percentuale 23 4" xfId="2278" xr:uid="{00000000-0005-0000-0000-00003B080000}"/>
    <cellStyle name="Percentuale 23 4 2" xfId="2279" xr:uid="{00000000-0005-0000-0000-00003C080000}"/>
    <cellStyle name="Percentuale 23 5" xfId="2280" xr:uid="{00000000-0005-0000-0000-00003D080000}"/>
    <cellStyle name="Percentuale 24" xfId="864" xr:uid="{00000000-0005-0000-0000-00003E080000}"/>
    <cellStyle name="Percentuale 24 2" xfId="865" xr:uid="{00000000-0005-0000-0000-00003F080000}"/>
    <cellStyle name="Percentuale 24 3" xfId="866" xr:uid="{00000000-0005-0000-0000-000040080000}"/>
    <cellStyle name="Percentuale 24 3 2" xfId="2281" xr:uid="{00000000-0005-0000-0000-000041080000}"/>
    <cellStyle name="Percentuale 24 3 2 2" xfId="2282" xr:uid="{00000000-0005-0000-0000-000042080000}"/>
    <cellStyle name="Percentuale 24 4" xfId="2283" xr:uid="{00000000-0005-0000-0000-000043080000}"/>
    <cellStyle name="Percentuale 24 4 2" xfId="2284" xr:uid="{00000000-0005-0000-0000-000044080000}"/>
    <cellStyle name="Percentuale 24 5" xfId="2285" xr:uid="{00000000-0005-0000-0000-000045080000}"/>
    <cellStyle name="Percentuale 25" xfId="867" xr:uid="{00000000-0005-0000-0000-000046080000}"/>
    <cellStyle name="Percentuale 25 2" xfId="868" xr:uid="{00000000-0005-0000-0000-000047080000}"/>
    <cellStyle name="Percentuale 25 3" xfId="869" xr:uid="{00000000-0005-0000-0000-000048080000}"/>
    <cellStyle name="Percentuale 25 3 2" xfId="2286" xr:uid="{00000000-0005-0000-0000-000049080000}"/>
    <cellStyle name="Percentuale 25 3 2 2" xfId="2287" xr:uid="{00000000-0005-0000-0000-00004A080000}"/>
    <cellStyle name="Percentuale 25 4" xfId="2288" xr:uid="{00000000-0005-0000-0000-00004B080000}"/>
    <cellStyle name="Percentuale 25 4 2" xfId="2289" xr:uid="{00000000-0005-0000-0000-00004C080000}"/>
    <cellStyle name="Percentuale 25 5" xfId="2290" xr:uid="{00000000-0005-0000-0000-00004D080000}"/>
    <cellStyle name="Percentuale 26" xfId="870" xr:uid="{00000000-0005-0000-0000-00004E080000}"/>
    <cellStyle name="Percentuale 26 2" xfId="871" xr:uid="{00000000-0005-0000-0000-00004F080000}"/>
    <cellStyle name="Percentuale 26 3" xfId="872" xr:uid="{00000000-0005-0000-0000-000050080000}"/>
    <cellStyle name="Percentuale 26 3 2" xfId="2291" xr:uid="{00000000-0005-0000-0000-000051080000}"/>
    <cellStyle name="Percentuale 26 3 2 2" xfId="2292" xr:uid="{00000000-0005-0000-0000-000052080000}"/>
    <cellStyle name="Percentuale 26 4" xfId="2293" xr:uid="{00000000-0005-0000-0000-000053080000}"/>
    <cellStyle name="Percentuale 26 4 2" xfId="2294" xr:uid="{00000000-0005-0000-0000-000054080000}"/>
    <cellStyle name="Percentuale 26 5" xfId="2295" xr:uid="{00000000-0005-0000-0000-000055080000}"/>
    <cellStyle name="Percentuale 27" xfId="873" xr:uid="{00000000-0005-0000-0000-000056080000}"/>
    <cellStyle name="Percentuale 27 2" xfId="874" xr:uid="{00000000-0005-0000-0000-000057080000}"/>
    <cellStyle name="Percentuale 27 3" xfId="875" xr:uid="{00000000-0005-0000-0000-000058080000}"/>
    <cellStyle name="Percentuale 27 3 2" xfId="2296" xr:uid="{00000000-0005-0000-0000-000059080000}"/>
    <cellStyle name="Percentuale 27 3 2 2" xfId="2297" xr:uid="{00000000-0005-0000-0000-00005A080000}"/>
    <cellStyle name="Percentuale 27 4" xfId="2298" xr:uid="{00000000-0005-0000-0000-00005B080000}"/>
    <cellStyle name="Percentuale 27 4 2" xfId="2299" xr:uid="{00000000-0005-0000-0000-00005C080000}"/>
    <cellStyle name="Percentuale 27 5" xfId="2300" xr:uid="{00000000-0005-0000-0000-00005D080000}"/>
    <cellStyle name="Percentuale 28" xfId="876" xr:uid="{00000000-0005-0000-0000-00005E080000}"/>
    <cellStyle name="Percentuale 28 2" xfId="877" xr:uid="{00000000-0005-0000-0000-00005F080000}"/>
    <cellStyle name="Percentuale 28 3" xfId="878" xr:uid="{00000000-0005-0000-0000-000060080000}"/>
    <cellStyle name="Percentuale 28 3 2" xfId="2301" xr:uid="{00000000-0005-0000-0000-000061080000}"/>
    <cellStyle name="Percentuale 28 3 2 2" xfId="2302" xr:uid="{00000000-0005-0000-0000-000062080000}"/>
    <cellStyle name="Percentuale 28 4" xfId="2303" xr:uid="{00000000-0005-0000-0000-000063080000}"/>
    <cellStyle name="Percentuale 28 4 2" xfId="2304" xr:uid="{00000000-0005-0000-0000-000064080000}"/>
    <cellStyle name="Percentuale 28 5" xfId="2305" xr:uid="{00000000-0005-0000-0000-000065080000}"/>
    <cellStyle name="Percentuale 29" xfId="879" xr:uid="{00000000-0005-0000-0000-000066080000}"/>
    <cellStyle name="Percentuale 29 2" xfId="880" xr:uid="{00000000-0005-0000-0000-000067080000}"/>
    <cellStyle name="Percentuale 29 3" xfId="881" xr:uid="{00000000-0005-0000-0000-000068080000}"/>
    <cellStyle name="Percentuale 29 3 2" xfId="2306" xr:uid="{00000000-0005-0000-0000-000069080000}"/>
    <cellStyle name="Percentuale 29 3 2 2" xfId="2307" xr:uid="{00000000-0005-0000-0000-00006A080000}"/>
    <cellStyle name="Percentuale 29 4" xfId="2308" xr:uid="{00000000-0005-0000-0000-00006B080000}"/>
    <cellStyle name="Percentuale 29 4 2" xfId="2309" xr:uid="{00000000-0005-0000-0000-00006C080000}"/>
    <cellStyle name="Percentuale 29 5" xfId="2310" xr:uid="{00000000-0005-0000-0000-00006D080000}"/>
    <cellStyle name="Percentuale 3" xfId="882" xr:uid="{00000000-0005-0000-0000-00006E080000}"/>
    <cellStyle name="Percentuale 3 2" xfId="883" xr:uid="{00000000-0005-0000-0000-00006F080000}"/>
    <cellStyle name="Percentuale 3 3" xfId="884" xr:uid="{00000000-0005-0000-0000-000070080000}"/>
    <cellStyle name="Percentuale 3 3 2" xfId="2311" xr:uid="{00000000-0005-0000-0000-000071080000}"/>
    <cellStyle name="Percentuale 3 3 2 2" xfId="2312" xr:uid="{00000000-0005-0000-0000-000072080000}"/>
    <cellStyle name="Percentuale 3 4" xfId="2313" xr:uid="{00000000-0005-0000-0000-000073080000}"/>
    <cellStyle name="Percentuale 3 4 2" xfId="2314" xr:uid="{00000000-0005-0000-0000-000074080000}"/>
    <cellStyle name="Percentuale 3 5" xfId="2315" xr:uid="{00000000-0005-0000-0000-000075080000}"/>
    <cellStyle name="Percentuale 30" xfId="885" xr:uid="{00000000-0005-0000-0000-000076080000}"/>
    <cellStyle name="Percentuale 30 2" xfId="886" xr:uid="{00000000-0005-0000-0000-000077080000}"/>
    <cellStyle name="Percentuale 30 3" xfId="887" xr:uid="{00000000-0005-0000-0000-000078080000}"/>
    <cellStyle name="Percentuale 30 3 2" xfId="2316" xr:uid="{00000000-0005-0000-0000-000079080000}"/>
    <cellStyle name="Percentuale 30 3 2 2" xfId="2317" xr:uid="{00000000-0005-0000-0000-00007A080000}"/>
    <cellStyle name="Percentuale 30 4" xfId="2318" xr:uid="{00000000-0005-0000-0000-00007B080000}"/>
    <cellStyle name="Percentuale 30 4 2" xfId="2319" xr:uid="{00000000-0005-0000-0000-00007C080000}"/>
    <cellStyle name="Percentuale 30 5" xfId="2320" xr:uid="{00000000-0005-0000-0000-00007D080000}"/>
    <cellStyle name="Percentuale 31" xfId="888" xr:uid="{00000000-0005-0000-0000-00007E080000}"/>
    <cellStyle name="Percentuale 31 2" xfId="889" xr:uid="{00000000-0005-0000-0000-00007F080000}"/>
    <cellStyle name="Percentuale 31 3" xfId="890" xr:uid="{00000000-0005-0000-0000-000080080000}"/>
    <cellStyle name="Percentuale 31 3 2" xfId="2321" xr:uid="{00000000-0005-0000-0000-000081080000}"/>
    <cellStyle name="Percentuale 31 3 2 2" xfId="2322" xr:uid="{00000000-0005-0000-0000-000082080000}"/>
    <cellStyle name="Percentuale 31 4" xfId="2323" xr:uid="{00000000-0005-0000-0000-000083080000}"/>
    <cellStyle name="Percentuale 31 4 2" xfId="2324" xr:uid="{00000000-0005-0000-0000-000084080000}"/>
    <cellStyle name="Percentuale 31 5" xfId="2325" xr:uid="{00000000-0005-0000-0000-000085080000}"/>
    <cellStyle name="Percentuale 32" xfId="891" xr:uid="{00000000-0005-0000-0000-000086080000}"/>
    <cellStyle name="Percentuale 32 2" xfId="892" xr:uid="{00000000-0005-0000-0000-000087080000}"/>
    <cellStyle name="Percentuale 32 3" xfId="893" xr:uid="{00000000-0005-0000-0000-000088080000}"/>
    <cellStyle name="Percentuale 32 3 2" xfId="2326" xr:uid="{00000000-0005-0000-0000-000089080000}"/>
    <cellStyle name="Percentuale 32 3 2 2" xfId="2327" xr:uid="{00000000-0005-0000-0000-00008A080000}"/>
    <cellStyle name="Percentuale 32 4" xfId="2328" xr:uid="{00000000-0005-0000-0000-00008B080000}"/>
    <cellStyle name="Percentuale 32 4 2" xfId="2329" xr:uid="{00000000-0005-0000-0000-00008C080000}"/>
    <cellStyle name="Percentuale 32 5" xfId="2330" xr:uid="{00000000-0005-0000-0000-00008D080000}"/>
    <cellStyle name="Percentuale 33" xfId="894" xr:uid="{00000000-0005-0000-0000-00008E080000}"/>
    <cellStyle name="Percentuale 33 2" xfId="895" xr:uid="{00000000-0005-0000-0000-00008F080000}"/>
    <cellStyle name="Percentuale 33 3" xfId="896" xr:uid="{00000000-0005-0000-0000-000090080000}"/>
    <cellStyle name="Percentuale 33 3 2" xfId="2331" xr:uid="{00000000-0005-0000-0000-000091080000}"/>
    <cellStyle name="Percentuale 33 3 2 2" xfId="2332" xr:uid="{00000000-0005-0000-0000-000092080000}"/>
    <cellStyle name="Percentuale 33 4" xfId="2333" xr:uid="{00000000-0005-0000-0000-000093080000}"/>
    <cellStyle name="Percentuale 33 4 2" xfId="2334" xr:uid="{00000000-0005-0000-0000-000094080000}"/>
    <cellStyle name="Percentuale 33 5" xfId="2335" xr:uid="{00000000-0005-0000-0000-000095080000}"/>
    <cellStyle name="Percentuale 34" xfId="897" xr:uid="{00000000-0005-0000-0000-000096080000}"/>
    <cellStyle name="Percentuale 34 2" xfId="898" xr:uid="{00000000-0005-0000-0000-000097080000}"/>
    <cellStyle name="Percentuale 34 3" xfId="899" xr:uid="{00000000-0005-0000-0000-000098080000}"/>
    <cellStyle name="Percentuale 34 3 2" xfId="2336" xr:uid="{00000000-0005-0000-0000-000099080000}"/>
    <cellStyle name="Percentuale 34 3 2 2" xfId="2337" xr:uid="{00000000-0005-0000-0000-00009A080000}"/>
    <cellStyle name="Percentuale 34 4" xfId="2338" xr:uid="{00000000-0005-0000-0000-00009B080000}"/>
    <cellStyle name="Percentuale 34 4 2" xfId="2339" xr:uid="{00000000-0005-0000-0000-00009C080000}"/>
    <cellStyle name="Percentuale 34 5" xfId="2340" xr:uid="{00000000-0005-0000-0000-00009D080000}"/>
    <cellStyle name="Percentuale 35" xfId="900" xr:uid="{00000000-0005-0000-0000-00009E080000}"/>
    <cellStyle name="Percentuale 35 2" xfId="901" xr:uid="{00000000-0005-0000-0000-00009F080000}"/>
    <cellStyle name="Percentuale 35 3" xfId="902" xr:uid="{00000000-0005-0000-0000-0000A0080000}"/>
    <cellStyle name="Percentuale 35 3 2" xfId="2341" xr:uid="{00000000-0005-0000-0000-0000A1080000}"/>
    <cellStyle name="Percentuale 35 3 2 2" xfId="2342" xr:uid="{00000000-0005-0000-0000-0000A2080000}"/>
    <cellStyle name="Percentuale 35 4" xfId="2343" xr:uid="{00000000-0005-0000-0000-0000A3080000}"/>
    <cellStyle name="Percentuale 35 4 2" xfId="2344" xr:uid="{00000000-0005-0000-0000-0000A4080000}"/>
    <cellStyle name="Percentuale 35 5" xfId="2345" xr:uid="{00000000-0005-0000-0000-0000A5080000}"/>
    <cellStyle name="Percentuale 36" xfId="903" xr:uid="{00000000-0005-0000-0000-0000A6080000}"/>
    <cellStyle name="Percentuale 36 2" xfId="904" xr:uid="{00000000-0005-0000-0000-0000A7080000}"/>
    <cellStyle name="Percentuale 36 3" xfId="905" xr:uid="{00000000-0005-0000-0000-0000A8080000}"/>
    <cellStyle name="Percentuale 36 3 2" xfId="2346" xr:uid="{00000000-0005-0000-0000-0000A9080000}"/>
    <cellStyle name="Percentuale 36 3 2 2" xfId="2347" xr:uid="{00000000-0005-0000-0000-0000AA080000}"/>
    <cellStyle name="Percentuale 36 4" xfId="2348" xr:uid="{00000000-0005-0000-0000-0000AB080000}"/>
    <cellStyle name="Percentuale 36 4 2" xfId="2349" xr:uid="{00000000-0005-0000-0000-0000AC080000}"/>
    <cellStyle name="Percentuale 36 5" xfId="2350" xr:uid="{00000000-0005-0000-0000-0000AD080000}"/>
    <cellStyle name="Percentuale 37" xfId="906" xr:uid="{00000000-0005-0000-0000-0000AE080000}"/>
    <cellStyle name="Percentuale 37 2" xfId="907" xr:uid="{00000000-0005-0000-0000-0000AF080000}"/>
    <cellStyle name="Percentuale 37 3" xfId="908" xr:uid="{00000000-0005-0000-0000-0000B0080000}"/>
    <cellStyle name="Percentuale 37 3 2" xfId="2351" xr:uid="{00000000-0005-0000-0000-0000B1080000}"/>
    <cellStyle name="Percentuale 37 3 2 2" xfId="2352" xr:uid="{00000000-0005-0000-0000-0000B2080000}"/>
    <cellStyle name="Percentuale 37 4" xfId="2353" xr:uid="{00000000-0005-0000-0000-0000B3080000}"/>
    <cellStyle name="Percentuale 37 4 2" xfId="2354" xr:uid="{00000000-0005-0000-0000-0000B4080000}"/>
    <cellStyle name="Percentuale 37 5" xfId="2355" xr:uid="{00000000-0005-0000-0000-0000B5080000}"/>
    <cellStyle name="Percentuale 38" xfId="909" xr:uid="{00000000-0005-0000-0000-0000B6080000}"/>
    <cellStyle name="Percentuale 38 2" xfId="910" xr:uid="{00000000-0005-0000-0000-0000B7080000}"/>
    <cellStyle name="Percentuale 38 3" xfId="911" xr:uid="{00000000-0005-0000-0000-0000B8080000}"/>
    <cellStyle name="Percentuale 38 3 2" xfId="2356" xr:uid="{00000000-0005-0000-0000-0000B9080000}"/>
    <cellStyle name="Percentuale 38 3 2 2" xfId="2357" xr:uid="{00000000-0005-0000-0000-0000BA080000}"/>
    <cellStyle name="Percentuale 38 4" xfId="2358" xr:uid="{00000000-0005-0000-0000-0000BB080000}"/>
    <cellStyle name="Percentuale 38 4 2" xfId="2359" xr:uid="{00000000-0005-0000-0000-0000BC080000}"/>
    <cellStyle name="Percentuale 38 5" xfId="2360" xr:uid="{00000000-0005-0000-0000-0000BD080000}"/>
    <cellStyle name="Percentuale 39" xfId="912" xr:uid="{00000000-0005-0000-0000-0000BE080000}"/>
    <cellStyle name="Percentuale 39 2" xfId="913" xr:uid="{00000000-0005-0000-0000-0000BF080000}"/>
    <cellStyle name="Percentuale 39 3" xfId="914" xr:uid="{00000000-0005-0000-0000-0000C0080000}"/>
    <cellStyle name="Percentuale 39 3 2" xfId="2361" xr:uid="{00000000-0005-0000-0000-0000C1080000}"/>
    <cellStyle name="Percentuale 39 3 2 2" xfId="2362" xr:uid="{00000000-0005-0000-0000-0000C2080000}"/>
    <cellStyle name="Percentuale 39 4" xfId="2363" xr:uid="{00000000-0005-0000-0000-0000C3080000}"/>
    <cellStyle name="Percentuale 39 4 2" xfId="2364" xr:uid="{00000000-0005-0000-0000-0000C4080000}"/>
    <cellStyle name="Percentuale 39 5" xfId="2365" xr:uid="{00000000-0005-0000-0000-0000C5080000}"/>
    <cellStyle name="Percentuale 4" xfId="915" xr:uid="{00000000-0005-0000-0000-0000C6080000}"/>
    <cellStyle name="Percentuale 4 2" xfId="916" xr:uid="{00000000-0005-0000-0000-0000C7080000}"/>
    <cellStyle name="Percentuale 4 3" xfId="917" xr:uid="{00000000-0005-0000-0000-0000C8080000}"/>
    <cellStyle name="Percentuale 4 3 2" xfId="2366" xr:uid="{00000000-0005-0000-0000-0000C9080000}"/>
    <cellStyle name="Percentuale 4 3 2 2" xfId="2367" xr:uid="{00000000-0005-0000-0000-0000CA080000}"/>
    <cellStyle name="Percentuale 4 4" xfId="2368" xr:uid="{00000000-0005-0000-0000-0000CB080000}"/>
    <cellStyle name="Percentuale 4 4 2" xfId="2369" xr:uid="{00000000-0005-0000-0000-0000CC080000}"/>
    <cellStyle name="Percentuale 4 5" xfId="2370" xr:uid="{00000000-0005-0000-0000-0000CD080000}"/>
    <cellStyle name="Percentuale 40" xfId="918" xr:uid="{00000000-0005-0000-0000-0000CE080000}"/>
    <cellStyle name="Percentuale 40 2" xfId="919" xr:uid="{00000000-0005-0000-0000-0000CF080000}"/>
    <cellStyle name="Percentuale 40 3" xfId="920" xr:uid="{00000000-0005-0000-0000-0000D0080000}"/>
    <cellStyle name="Percentuale 40 3 2" xfId="2371" xr:uid="{00000000-0005-0000-0000-0000D1080000}"/>
    <cellStyle name="Percentuale 40 3 2 2" xfId="2372" xr:uid="{00000000-0005-0000-0000-0000D2080000}"/>
    <cellStyle name="Percentuale 40 4" xfId="2373" xr:uid="{00000000-0005-0000-0000-0000D3080000}"/>
    <cellStyle name="Percentuale 40 4 2" xfId="2374" xr:uid="{00000000-0005-0000-0000-0000D4080000}"/>
    <cellStyle name="Percentuale 40 5" xfId="2375" xr:uid="{00000000-0005-0000-0000-0000D5080000}"/>
    <cellStyle name="Percentuale 41" xfId="921" xr:uid="{00000000-0005-0000-0000-0000D6080000}"/>
    <cellStyle name="Percentuale 41 2" xfId="922" xr:uid="{00000000-0005-0000-0000-0000D7080000}"/>
    <cellStyle name="Percentuale 41 3" xfId="923" xr:uid="{00000000-0005-0000-0000-0000D8080000}"/>
    <cellStyle name="Percentuale 41 3 2" xfId="2376" xr:uid="{00000000-0005-0000-0000-0000D9080000}"/>
    <cellStyle name="Percentuale 41 3 2 2" xfId="2377" xr:uid="{00000000-0005-0000-0000-0000DA080000}"/>
    <cellStyle name="Percentuale 41 4" xfId="2378" xr:uid="{00000000-0005-0000-0000-0000DB080000}"/>
    <cellStyle name="Percentuale 41 4 2" xfId="2379" xr:uid="{00000000-0005-0000-0000-0000DC080000}"/>
    <cellStyle name="Percentuale 41 5" xfId="2380" xr:uid="{00000000-0005-0000-0000-0000DD080000}"/>
    <cellStyle name="Percentuale 42" xfId="924" xr:uid="{00000000-0005-0000-0000-0000DE080000}"/>
    <cellStyle name="Percentuale 42 2" xfId="925" xr:uid="{00000000-0005-0000-0000-0000DF080000}"/>
    <cellStyle name="Percentuale 42 3" xfId="926" xr:uid="{00000000-0005-0000-0000-0000E0080000}"/>
    <cellStyle name="Percentuale 42 3 2" xfId="2381" xr:uid="{00000000-0005-0000-0000-0000E1080000}"/>
    <cellStyle name="Percentuale 42 3 2 2" xfId="2382" xr:uid="{00000000-0005-0000-0000-0000E2080000}"/>
    <cellStyle name="Percentuale 42 4" xfId="2383" xr:uid="{00000000-0005-0000-0000-0000E3080000}"/>
    <cellStyle name="Percentuale 42 4 2" xfId="2384" xr:uid="{00000000-0005-0000-0000-0000E4080000}"/>
    <cellStyle name="Percentuale 42 5" xfId="2385" xr:uid="{00000000-0005-0000-0000-0000E5080000}"/>
    <cellStyle name="Percentuale 43" xfId="927" xr:uid="{00000000-0005-0000-0000-0000E6080000}"/>
    <cellStyle name="Percentuale 43 2" xfId="928" xr:uid="{00000000-0005-0000-0000-0000E7080000}"/>
    <cellStyle name="Percentuale 43 3" xfId="929" xr:uid="{00000000-0005-0000-0000-0000E8080000}"/>
    <cellStyle name="Percentuale 43 3 2" xfId="2386" xr:uid="{00000000-0005-0000-0000-0000E9080000}"/>
    <cellStyle name="Percentuale 43 3 2 2" xfId="2387" xr:uid="{00000000-0005-0000-0000-0000EA080000}"/>
    <cellStyle name="Percentuale 43 4" xfId="2388" xr:uid="{00000000-0005-0000-0000-0000EB080000}"/>
    <cellStyle name="Percentuale 43 4 2" xfId="2389" xr:uid="{00000000-0005-0000-0000-0000EC080000}"/>
    <cellStyle name="Percentuale 43 5" xfId="2390" xr:uid="{00000000-0005-0000-0000-0000ED080000}"/>
    <cellStyle name="Percentuale 44" xfId="930" xr:uid="{00000000-0005-0000-0000-0000EE080000}"/>
    <cellStyle name="Percentuale 44 2" xfId="931" xr:uid="{00000000-0005-0000-0000-0000EF080000}"/>
    <cellStyle name="Percentuale 44 3" xfId="932" xr:uid="{00000000-0005-0000-0000-0000F0080000}"/>
    <cellStyle name="Percentuale 44 3 2" xfId="2391" xr:uid="{00000000-0005-0000-0000-0000F1080000}"/>
    <cellStyle name="Percentuale 44 3 2 2" xfId="2392" xr:uid="{00000000-0005-0000-0000-0000F2080000}"/>
    <cellStyle name="Percentuale 44 4" xfId="2393" xr:uid="{00000000-0005-0000-0000-0000F3080000}"/>
    <cellStyle name="Percentuale 44 4 2" xfId="2394" xr:uid="{00000000-0005-0000-0000-0000F4080000}"/>
    <cellStyle name="Percentuale 44 5" xfId="2395" xr:uid="{00000000-0005-0000-0000-0000F5080000}"/>
    <cellStyle name="Percentuale 45" xfId="933" xr:uid="{00000000-0005-0000-0000-0000F6080000}"/>
    <cellStyle name="Percentuale 45 2" xfId="934" xr:uid="{00000000-0005-0000-0000-0000F7080000}"/>
    <cellStyle name="Percentuale 45 3" xfId="935" xr:uid="{00000000-0005-0000-0000-0000F8080000}"/>
    <cellStyle name="Percentuale 45 3 2" xfId="2396" xr:uid="{00000000-0005-0000-0000-0000F9080000}"/>
    <cellStyle name="Percentuale 45 3 2 2" xfId="2397" xr:uid="{00000000-0005-0000-0000-0000FA080000}"/>
    <cellStyle name="Percentuale 45 4" xfId="2398" xr:uid="{00000000-0005-0000-0000-0000FB080000}"/>
    <cellStyle name="Percentuale 45 4 2" xfId="2399" xr:uid="{00000000-0005-0000-0000-0000FC080000}"/>
    <cellStyle name="Percentuale 45 5" xfId="2400" xr:uid="{00000000-0005-0000-0000-0000FD080000}"/>
    <cellStyle name="Percentuale 46" xfId="936" xr:uid="{00000000-0005-0000-0000-0000FE080000}"/>
    <cellStyle name="Percentuale 46 2" xfId="937" xr:uid="{00000000-0005-0000-0000-0000FF080000}"/>
    <cellStyle name="Percentuale 46 3" xfId="938" xr:uid="{00000000-0005-0000-0000-000000090000}"/>
    <cellStyle name="Percentuale 46 3 2" xfId="2401" xr:uid="{00000000-0005-0000-0000-000001090000}"/>
    <cellStyle name="Percentuale 46 3 2 2" xfId="2402" xr:uid="{00000000-0005-0000-0000-000002090000}"/>
    <cellStyle name="Percentuale 46 4" xfId="2403" xr:uid="{00000000-0005-0000-0000-000003090000}"/>
    <cellStyle name="Percentuale 46 4 2" xfId="2404" xr:uid="{00000000-0005-0000-0000-000004090000}"/>
    <cellStyle name="Percentuale 46 5" xfId="2405" xr:uid="{00000000-0005-0000-0000-000005090000}"/>
    <cellStyle name="Percentuale 47" xfId="939" xr:uid="{00000000-0005-0000-0000-000006090000}"/>
    <cellStyle name="Percentuale 47 2" xfId="940" xr:uid="{00000000-0005-0000-0000-000007090000}"/>
    <cellStyle name="Percentuale 47 3" xfId="941" xr:uid="{00000000-0005-0000-0000-000008090000}"/>
    <cellStyle name="Percentuale 47 3 2" xfId="2406" xr:uid="{00000000-0005-0000-0000-000009090000}"/>
    <cellStyle name="Percentuale 47 3 2 2" xfId="2407" xr:uid="{00000000-0005-0000-0000-00000A090000}"/>
    <cellStyle name="Percentuale 47 4" xfId="2408" xr:uid="{00000000-0005-0000-0000-00000B090000}"/>
    <cellStyle name="Percentuale 47 4 2" xfId="2409" xr:uid="{00000000-0005-0000-0000-00000C090000}"/>
    <cellStyle name="Percentuale 47 5" xfId="2410" xr:uid="{00000000-0005-0000-0000-00000D090000}"/>
    <cellStyle name="Percentuale 48" xfId="942" xr:uid="{00000000-0005-0000-0000-00000E090000}"/>
    <cellStyle name="Percentuale 48 2" xfId="943" xr:uid="{00000000-0005-0000-0000-00000F090000}"/>
    <cellStyle name="Percentuale 48 3" xfId="944" xr:uid="{00000000-0005-0000-0000-000010090000}"/>
    <cellStyle name="Percentuale 48 3 2" xfId="2411" xr:uid="{00000000-0005-0000-0000-000011090000}"/>
    <cellStyle name="Percentuale 48 3 2 2" xfId="2412" xr:uid="{00000000-0005-0000-0000-000012090000}"/>
    <cellStyle name="Percentuale 48 4" xfId="2413" xr:uid="{00000000-0005-0000-0000-000013090000}"/>
    <cellStyle name="Percentuale 48 4 2" xfId="2414" xr:uid="{00000000-0005-0000-0000-000014090000}"/>
    <cellStyle name="Percentuale 48 5" xfId="2415" xr:uid="{00000000-0005-0000-0000-000015090000}"/>
    <cellStyle name="Percentuale 49" xfId="945" xr:uid="{00000000-0005-0000-0000-000016090000}"/>
    <cellStyle name="Percentuale 49 2" xfId="946" xr:uid="{00000000-0005-0000-0000-000017090000}"/>
    <cellStyle name="Percentuale 49 3" xfId="947" xr:uid="{00000000-0005-0000-0000-000018090000}"/>
    <cellStyle name="Percentuale 49 3 2" xfId="2416" xr:uid="{00000000-0005-0000-0000-000019090000}"/>
    <cellStyle name="Percentuale 49 3 2 2" xfId="2417" xr:uid="{00000000-0005-0000-0000-00001A090000}"/>
    <cellStyle name="Percentuale 49 4" xfId="2418" xr:uid="{00000000-0005-0000-0000-00001B090000}"/>
    <cellStyle name="Percentuale 49 4 2" xfId="2419" xr:uid="{00000000-0005-0000-0000-00001C090000}"/>
    <cellStyle name="Percentuale 49 5" xfId="2420" xr:uid="{00000000-0005-0000-0000-00001D090000}"/>
    <cellStyle name="Percentuale 5" xfId="948" xr:uid="{00000000-0005-0000-0000-00001E090000}"/>
    <cellStyle name="Percentuale 5 2" xfId="949" xr:uid="{00000000-0005-0000-0000-00001F090000}"/>
    <cellStyle name="Percentuale 5 3" xfId="950" xr:uid="{00000000-0005-0000-0000-000020090000}"/>
    <cellStyle name="Percentuale 5 3 2" xfId="2421" xr:uid="{00000000-0005-0000-0000-000021090000}"/>
    <cellStyle name="Percentuale 5 3 2 2" xfId="2422" xr:uid="{00000000-0005-0000-0000-000022090000}"/>
    <cellStyle name="Percentuale 5 4" xfId="2423" xr:uid="{00000000-0005-0000-0000-000023090000}"/>
    <cellStyle name="Percentuale 5 4 2" xfId="2424" xr:uid="{00000000-0005-0000-0000-000024090000}"/>
    <cellStyle name="Percentuale 5 5" xfId="2425" xr:uid="{00000000-0005-0000-0000-000025090000}"/>
    <cellStyle name="Percentuale 50" xfId="951" xr:uid="{00000000-0005-0000-0000-000026090000}"/>
    <cellStyle name="Percentuale 50 2" xfId="952" xr:uid="{00000000-0005-0000-0000-000027090000}"/>
    <cellStyle name="Percentuale 50 3" xfId="953" xr:uid="{00000000-0005-0000-0000-000028090000}"/>
    <cellStyle name="Percentuale 50 3 2" xfId="2426" xr:uid="{00000000-0005-0000-0000-000029090000}"/>
    <cellStyle name="Percentuale 50 3 2 2" xfId="2427" xr:uid="{00000000-0005-0000-0000-00002A090000}"/>
    <cellStyle name="Percentuale 50 4" xfId="2428" xr:uid="{00000000-0005-0000-0000-00002B090000}"/>
    <cellStyle name="Percentuale 50 4 2" xfId="2429" xr:uid="{00000000-0005-0000-0000-00002C090000}"/>
    <cellStyle name="Percentuale 50 5" xfId="2430" xr:uid="{00000000-0005-0000-0000-00002D090000}"/>
    <cellStyle name="Percentuale 51" xfId="954" xr:uid="{00000000-0005-0000-0000-00002E090000}"/>
    <cellStyle name="Percentuale 51 2" xfId="955" xr:uid="{00000000-0005-0000-0000-00002F090000}"/>
    <cellStyle name="Percentuale 51 3" xfId="956" xr:uid="{00000000-0005-0000-0000-000030090000}"/>
    <cellStyle name="Percentuale 51 3 2" xfId="2431" xr:uid="{00000000-0005-0000-0000-000031090000}"/>
    <cellStyle name="Percentuale 51 3 2 2" xfId="2432" xr:uid="{00000000-0005-0000-0000-000032090000}"/>
    <cellStyle name="Percentuale 51 4" xfId="2433" xr:uid="{00000000-0005-0000-0000-000033090000}"/>
    <cellStyle name="Percentuale 51 4 2" xfId="2434" xr:uid="{00000000-0005-0000-0000-000034090000}"/>
    <cellStyle name="Percentuale 51 5" xfId="2435" xr:uid="{00000000-0005-0000-0000-000035090000}"/>
    <cellStyle name="Percentuale 52" xfId="957" xr:uid="{00000000-0005-0000-0000-000036090000}"/>
    <cellStyle name="Percentuale 52 2" xfId="958" xr:uid="{00000000-0005-0000-0000-000037090000}"/>
    <cellStyle name="Percentuale 52 3" xfId="959" xr:uid="{00000000-0005-0000-0000-000038090000}"/>
    <cellStyle name="Percentuale 52 3 2" xfId="2436" xr:uid="{00000000-0005-0000-0000-000039090000}"/>
    <cellStyle name="Percentuale 52 3 2 2" xfId="2437" xr:uid="{00000000-0005-0000-0000-00003A090000}"/>
    <cellStyle name="Percentuale 52 4" xfId="2438" xr:uid="{00000000-0005-0000-0000-00003B090000}"/>
    <cellStyle name="Percentuale 52 4 2" xfId="2439" xr:uid="{00000000-0005-0000-0000-00003C090000}"/>
    <cellStyle name="Percentuale 52 5" xfId="2440" xr:uid="{00000000-0005-0000-0000-00003D090000}"/>
    <cellStyle name="Percentuale 53" xfId="960" xr:uid="{00000000-0005-0000-0000-00003E090000}"/>
    <cellStyle name="Percentuale 53 2" xfId="961" xr:uid="{00000000-0005-0000-0000-00003F090000}"/>
    <cellStyle name="Percentuale 53 3" xfId="962" xr:uid="{00000000-0005-0000-0000-000040090000}"/>
    <cellStyle name="Percentuale 53 3 2" xfId="2441" xr:uid="{00000000-0005-0000-0000-000041090000}"/>
    <cellStyle name="Percentuale 53 3 2 2" xfId="2442" xr:uid="{00000000-0005-0000-0000-000042090000}"/>
    <cellStyle name="Percentuale 53 4" xfId="2443" xr:uid="{00000000-0005-0000-0000-000043090000}"/>
    <cellStyle name="Percentuale 53 4 2" xfId="2444" xr:uid="{00000000-0005-0000-0000-000044090000}"/>
    <cellStyle name="Percentuale 53 5" xfId="2445" xr:uid="{00000000-0005-0000-0000-000045090000}"/>
    <cellStyle name="Percentuale 54" xfId="963" xr:uid="{00000000-0005-0000-0000-000046090000}"/>
    <cellStyle name="Percentuale 54 2" xfId="964" xr:uid="{00000000-0005-0000-0000-000047090000}"/>
    <cellStyle name="Percentuale 54 3" xfId="965" xr:uid="{00000000-0005-0000-0000-000048090000}"/>
    <cellStyle name="Percentuale 54 3 2" xfId="2446" xr:uid="{00000000-0005-0000-0000-000049090000}"/>
    <cellStyle name="Percentuale 54 3 2 2" xfId="2447" xr:uid="{00000000-0005-0000-0000-00004A090000}"/>
    <cellStyle name="Percentuale 54 4" xfId="2448" xr:uid="{00000000-0005-0000-0000-00004B090000}"/>
    <cellStyle name="Percentuale 54 4 2" xfId="2449" xr:uid="{00000000-0005-0000-0000-00004C090000}"/>
    <cellStyle name="Percentuale 54 5" xfId="2450" xr:uid="{00000000-0005-0000-0000-00004D090000}"/>
    <cellStyle name="Percentuale 55" xfId="966" xr:uid="{00000000-0005-0000-0000-00004E090000}"/>
    <cellStyle name="Percentuale 55 2" xfId="967" xr:uid="{00000000-0005-0000-0000-00004F090000}"/>
    <cellStyle name="Percentuale 55 3" xfId="968" xr:uid="{00000000-0005-0000-0000-000050090000}"/>
    <cellStyle name="Percentuale 55 3 2" xfId="2451" xr:uid="{00000000-0005-0000-0000-000051090000}"/>
    <cellStyle name="Percentuale 55 3 2 2" xfId="2452" xr:uid="{00000000-0005-0000-0000-000052090000}"/>
    <cellStyle name="Percentuale 55 4" xfId="2453" xr:uid="{00000000-0005-0000-0000-000053090000}"/>
    <cellStyle name="Percentuale 55 4 2" xfId="2454" xr:uid="{00000000-0005-0000-0000-000054090000}"/>
    <cellStyle name="Percentuale 55 5" xfId="2455" xr:uid="{00000000-0005-0000-0000-000055090000}"/>
    <cellStyle name="Percentuale 56" xfId="969" xr:uid="{00000000-0005-0000-0000-000056090000}"/>
    <cellStyle name="Percentuale 56 2" xfId="970" xr:uid="{00000000-0005-0000-0000-000057090000}"/>
    <cellStyle name="Percentuale 56 3" xfId="971" xr:uid="{00000000-0005-0000-0000-000058090000}"/>
    <cellStyle name="Percentuale 56 3 2" xfId="2456" xr:uid="{00000000-0005-0000-0000-000059090000}"/>
    <cellStyle name="Percentuale 56 3 2 2" xfId="2457" xr:uid="{00000000-0005-0000-0000-00005A090000}"/>
    <cellStyle name="Percentuale 56 4" xfId="2458" xr:uid="{00000000-0005-0000-0000-00005B090000}"/>
    <cellStyle name="Percentuale 56 4 2" xfId="2459" xr:uid="{00000000-0005-0000-0000-00005C090000}"/>
    <cellStyle name="Percentuale 56 5" xfId="2460" xr:uid="{00000000-0005-0000-0000-00005D090000}"/>
    <cellStyle name="Percentuale 57" xfId="972" xr:uid="{00000000-0005-0000-0000-00005E090000}"/>
    <cellStyle name="Percentuale 57 2" xfId="973" xr:uid="{00000000-0005-0000-0000-00005F090000}"/>
    <cellStyle name="Percentuale 57 3" xfId="974" xr:uid="{00000000-0005-0000-0000-000060090000}"/>
    <cellStyle name="Percentuale 57 3 2" xfId="2461" xr:uid="{00000000-0005-0000-0000-000061090000}"/>
    <cellStyle name="Percentuale 57 3 2 2" xfId="2462" xr:uid="{00000000-0005-0000-0000-000062090000}"/>
    <cellStyle name="Percentuale 57 4" xfId="2463" xr:uid="{00000000-0005-0000-0000-000063090000}"/>
    <cellStyle name="Percentuale 57 4 2" xfId="2464" xr:uid="{00000000-0005-0000-0000-000064090000}"/>
    <cellStyle name="Percentuale 57 5" xfId="2465" xr:uid="{00000000-0005-0000-0000-000065090000}"/>
    <cellStyle name="Percentuale 58" xfId="975" xr:uid="{00000000-0005-0000-0000-000066090000}"/>
    <cellStyle name="Percentuale 58 2" xfId="976" xr:uid="{00000000-0005-0000-0000-000067090000}"/>
    <cellStyle name="Percentuale 58 3" xfId="977" xr:uid="{00000000-0005-0000-0000-000068090000}"/>
    <cellStyle name="Percentuale 58 3 2" xfId="2466" xr:uid="{00000000-0005-0000-0000-000069090000}"/>
    <cellStyle name="Percentuale 58 3 2 2" xfId="2467" xr:uid="{00000000-0005-0000-0000-00006A090000}"/>
    <cellStyle name="Percentuale 58 4" xfId="2468" xr:uid="{00000000-0005-0000-0000-00006B090000}"/>
    <cellStyle name="Percentuale 58 4 2" xfId="2469" xr:uid="{00000000-0005-0000-0000-00006C090000}"/>
    <cellStyle name="Percentuale 58 5" xfId="2470" xr:uid="{00000000-0005-0000-0000-00006D090000}"/>
    <cellStyle name="Percentuale 59" xfId="978" xr:uid="{00000000-0005-0000-0000-00006E090000}"/>
    <cellStyle name="Percentuale 59 2" xfId="979" xr:uid="{00000000-0005-0000-0000-00006F090000}"/>
    <cellStyle name="Percentuale 59 3" xfId="980" xr:uid="{00000000-0005-0000-0000-000070090000}"/>
    <cellStyle name="Percentuale 59 3 2" xfId="2471" xr:uid="{00000000-0005-0000-0000-000071090000}"/>
    <cellStyle name="Percentuale 59 3 2 2" xfId="2472" xr:uid="{00000000-0005-0000-0000-000072090000}"/>
    <cellStyle name="Percentuale 59 4" xfId="2473" xr:uid="{00000000-0005-0000-0000-000073090000}"/>
    <cellStyle name="Percentuale 59 4 2" xfId="2474" xr:uid="{00000000-0005-0000-0000-000074090000}"/>
    <cellStyle name="Percentuale 59 5" xfId="2475" xr:uid="{00000000-0005-0000-0000-000075090000}"/>
    <cellStyle name="Percentuale 6" xfId="981" xr:uid="{00000000-0005-0000-0000-000076090000}"/>
    <cellStyle name="Percentuale 6 2" xfId="982" xr:uid="{00000000-0005-0000-0000-000077090000}"/>
    <cellStyle name="Percentuale 6 3" xfId="983" xr:uid="{00000000-0005-0000-0000-000078090000}"/>
    <cellStyle name="Percentuale 6 3 2" xfId="2476" xr:uid="{00000000-0005-0000-0000-000079090000}"/>
    <cellStyle name="Percentuale 6 3 2 2" xfId="2477" xr:uid="{00000000-0005-0000-0000-00007A090000}"/>
    <cellStyle name="Percentuale 6 4" xfId="2478" xr:uid="{00000000-0005-0000-0000-00007B090000}"/>
    <cellStyle name="Percentuale 6 4 2" xfId="2479" xr:uid="{00000000-0005-0000-0000-00007C090000}"/>
    <cellStyle name="Percentuale 6 5" xfId="2480" xr:uid="{00000000-0005-0000-0000-00007D090000}"/>
    <cellStyle name="Percentuale 60" xfId="984" xr:uid="{00000000-0005-0000-0000-00007E090000}"/>
    <cellStyle name="Percentuale 60 2" xfId="985" xr:uid="{00000000-0005-0000-0000-00007F090000}"/>
    <cellStyle name="Percentuale 60 3" xfId="986" xr:uid="{00000000-0005-0000-0000-000080090000}"/>
    <cellStyle name="Percentuale 60 3 2" xfId="2481" xr:uid="{00000000-0005-0000-0000-000081090000}"/>
    <cellStyle name="Percentuale 60 3 2 2" xfId="2482" xr:uid="{00000000-0005-0000-0000-000082090000}"/>
    <cellStyle name="Percentuale 60 4" xfId="2483" xr:uid="{00000000-0005-0000-0000-000083090000}"/>
    <cellStyle name="Percentuale 60 4 2" xfId="2484" xr:uid="{00000000-0005-0000-0000-000084090000}"/>
    <cellStyle name="Percentuale 60 5" xfId="2485" xr:uid="{00000000-0005-0000-0000-000085090000}"/>
    <cellStyle name="Percentuale 61" xfId="987" xr:uid="{00000000-0005-0000-0000-000086090000}"/>
    <cellStyle name="Percentuale 61 2" xfId="988" xr:uid="{00000000-0005-0000-0000-000087090000}"/>
    <cellStyle name="Percentuale 61 3" xfId="989" xr:uid="{00000000-0005-0000-0000-000088090000}"/>
    <cellStyle name="Percentuale 61 3 2" xfId="2486" xr:uid="{00000000-0005-0000-0000-000089090000}"/>
    <cellStyle name="Percentuale 61 3 2 2" xfId="2487" xr:uid="{00000000-0005-0000-0000-00008A090000}"/>
    <cellStyle name="Percentuale 61 4" xfId="2488" xr:uid="{00000000-0005-0000-0000-00008B090000}"/>
    <cellStyle name="Percentuale 61 4 2" xfId="2489" xr:uid="{00000000-0005-0000-0000-00008C090000}"/>
    <cellStyle name="Percentuale 61 5" xfId="2490" xr:uid="{00000000-0005-0000-0000-00008D090000}"/>
    <cellStyle name="Percentuale 62" xfId="990" xr:uid="{00000000-0005-0000-0000-00008E090000}"/>
    <cellStyle name="Percentuale 62 2" xfId="991" xr:uid="{00000000-0005-0000-0000-00008F090000}"/>
    <cellStyle name="Percentuale 63" xfId="992" xr:uid="{00000000-0005-0000-0000-000090090000}"/>
    <cellStyle name="Percentuale 63 2" xfId="993" xr:uid="{00000000-0005-0000-0000-000091090000}"/>
    <cellStyle name="Percentuale 64" xfId="994" xr:uid="{00000000-0005-0000-0000-000092090000}"/>
    <cellStyle name="Percentuale 64 2" xfId="995" xr:uid="{00000000-0005-0000-0000-000093090000}"/>
    <cellStyle name="Percentuale 65" xfId="996" xr:uid="{00000000-0005-0000-0000-000094090000}"/>
    <cellStyle name="Percentuale 65 2" xfId="997" xr:uid="{00000000-0005-0000-0000-000095090000}"/>
    <cellStyle name="Percentuale 66" xfId="998" xr:uid="{00000000-0005-0000-0000-000096090000}"/>
    <cellStyle name="Percentuale 66 2" xfId="999" xr:uid="{00000000-0005-0000-0000-000097090000}"/>
    <cellStyle name="Percentuale 67" xfId="1000" xr:uid="{00000000-0005-0000-0000-000098090000}"/>
    <cellStyle name="Percentuale 67 2" xfId="1001" xr:uid="{00000000-0005-0000-0000-000099090000}"/>
    <cellStyle name="Percentuale 68" xfId="1002" xr:uid="{00000000-0005-0000-0000-00009A090000}"/>
    <cellStyle name="Percentuale 68 2" xfId="1003" xr:uid="{00000000-0005-0000-0000-00009B090000}"/>
    <cellStyle name="Percentuale 68 3" xfId="1004" xr:uid="{00000000-0005-0000-0000-00009C090000}"/>
    <cellStyle name="Percentuale 68 3 2" xfId="2491" xr:uid="{00000000-0005-0000-0000-00009D090000}"/>
    <cellStyle name="Percentuale 68 3 2 2" xfId="2492" xr:uid="{00000000-0005-0000-0000-00009E090000}"/>
    <cellStyle name="Percentuale 68 4" xfId="2493" xr:uid="{00000000-0005-0000-0000-00009F090000}"/>
    <cellStyle name="Percentuale 68 4 2" xfId="2494" xr:uid="{00000000-0005-0000-0000-0000A0090000}"/>
    <cellStyle name="Percentuale 68 5" xfId="2495" xr:uid="{00000000-0005-0000-0000-0000A1090000}"/>
    <cellStyle name="Percentuale 69" xfId="1005" xr:uid="{00000000-0005-0000-0000-0000A2090000}"/>
    <cellStyle name="Percentuale 69 2" xfId="1006" xr:uid="{00000000-0005-0000-0000-0000A3090000}"/>
    <cellStyle name="Percentuale 69 3" xfId="1007" xr:uid="{00000000-0005-0000-0000-0000A4090000}"/>
    <cellStyle name="Percentuale 69 3 2" xfId="2496" xr:uid="{00000000-0005-0000-0000-0000A5090000}"/>
    <cellStyle name="Percentuale 69 3 2 2" xfId="2497" xr:uid="{00000000-0005-0000-0000-0000A6090000}"/>
    <cellStyle name="Percentuale 69 4" xfId="2498" xr:uid="{00000000-0005-0000-0000-0000A7090000}"/>
    <cellStyle name="Percentuale 69 4 2" xfId="2499" xr:uid="{00000000-0005-0000-0000-0000A8090000}"/>
    <cellStyle name="Percentuale 69 5" xfId="2500" xr:uid="{00000000-0005-0000-0000-0000A9090000}"/>
    <cellStyle name="Percentuale 7" xfId="1008" xr:uid="{00000000-0005-0000-0000-0000AA090000}"/>
    <cellStyle name="Percentuale 7 2" xfId="1009" xr:uid="{00000000-0005-0000-0000-0000AB090000}"/>
    <cellStyle name="Percentuale 7 3" xfId="1010" xr:uid="{00000000-0005-0000-0000-0000AC090000}"/>
    <cellStyle name="Percentuale 7 3 2" xfId="2501" xr:uid="{00000000-0005-0000-0000-0000AD090000}"/>
    <cellStyle name="Percentuale 7 3 2 2" xfId="2502" xr:uid="{00000000-0005-0000-0000-0000AE090000}"/>
    <cellStyle name="Percentuale 7 4" xfId="2503" xr:uid="{00000000-0005-0000-0000-0000AF090000}"/>
    <cellStyle name="Percentuale 7 4 2" xfId="2504" xr:uid="{00000000-0005-0000-0000-0000B0090000}"/>
    <cellStyle name="Percentuale 7 5" xfId="2505" xr:uid="{00000000-0005-0000-0000-0000B1090000}"/>
    <cellStyle name="Percentuale 8" xfId="1011" xr:uid="{00000000-0005-0000-0000-0000B2090000}"/>
    <cellStyle name="Percentuale 8 2" xfId="1012" xr:uid="{00000000-0005-0000-0000-0000B3090000}"/>
    <cellStyle name="Percentuale 8 3" xfId="1013" xr:uid="{00000000-0005-0000-0000-0000B4090000}"/>
    <cellStyle name="Percentuale 8 3 2" xfId="2506" xr:uid="{00000000-0005-0000-0000-0000B5090000}"/>
    <cellStyle name="Percentuale 8 3 2 2" xfId="2507" xr:uid="{00000000-0005-0000-0000-0000B6090000}"/>
    <cellStyle name="Percentuale 8 4" xfId="2508" xr:uid="{00000000-0005-0000-0000-0000B7090000}"/>
    <cellStyle name="Percentuale 8 4 2" xfId="2509" xr:uid="{00000000-0005-0000-0000-0000B8090000}"/>
    <cellStyle name="Percentuale 8 5" xfId="2510" xr:uid="{00000000-0005-0000-0000-0000B9090000}"/>
    <cellStyle name="Percentuale 9" xfId="1014" xr:uid="{00000000-0005-0000-0000-0000BA090000}"/>
    <cellStyle name="Percentuale 9 2" xfId="1015" xr:uid="{00000000-0005-0000-0000-0000BB090000}"/>
    <cellStyle name="Percentuale 9 3" xfId="1016" xr:uid="{00000000-0005-0000-0000-0000BC090000}"/>
    <cellStyle name="Percentuale 9 3 2" xfId="2511" xr:uid="{00000000-0005-0000-0000-0000BD090000}"/>
    <cellStyle name="Percentuale 9 3 2 2" xfId="2512" xr:uid="{00000000-0005-0000-0000-0000BE090000}"/>
    <cellStyle name="Percentuale 9 4" xfId="2513" xr:uid="{00000000-0005-0000-0000-0000BF090000}"/>
    <cellStyle name="Percentuale 9 4 2" xfId="2514" xr:uid="{00000000-0005-0000-0000-0000C0090000}"/>
    <cellStyle name="Percentuale 9 5" xfId="2515" xr:uid="{00000000-0005-0000-0000-0000C1090000}"/>
    <cellStyle name="Procent 2" xfId="1017" xr:uid="{00000000-0005-0000-0000-0000C2090000}"/>
    <cellStyle name="Procent 2 2" xfId="2516" xr:uid="{00000000-0005-0000-0000-0000C3090000}"/>
    <cellStyle name="Procent 2 2 2" xfId="2517" xr:uid="{00000000-0005-0000-0000-0000C4090000}"/>
    <cellStyle name="Procent 3" xfId="2518" xr:uid="{00000000-0005-0000-0000-0000C5090000}"/>
    <cellStyle name="Procent 3 2" xfId="2519" xr:uid="{00000000-0005-0000-0000-0000C6090000}"/>
    <cellStyle name="Standard_Sce_D_Extraction" xfId="1018" xr:uid="{00000000-0005-0000-0000-0000C7090000}"/>
    <cellStyle name="Style 155" xfId="2520" xr:uid="{00000000-0005-0000-0000-0000C8090000}"/>
    <cellStyle name="Style 156" xfId="2521" xr:uid="{00000000-0005-0000-0000-0000C9090000}"/>
    <cellStyle name="Style 157" xfId="2522" xr:uid="{00000000-0005-0000-0000-0000CA090000}"/>
    <cellStyle name="Style 158" xfId="2523" xr:uid="{00000000-0005-0000-0000-0000CB090000}"/>
    <cellStyle name="Style 159" xfId="2524" xr:uid="{00000000-0005-0000-0000-0000CC090000}"/>
    <cellStyle name="Style 161" xfId="2525" xr:uid="{00000000-0005-0000-0000-0000CD090000}"/>
    <cellStyle name="Style 162" xfId="2526" xr:uid="{00000000-0005-0000-0000-0000CE090000}"/>
    <cellStyle name="Style 163" xfId="2527" xr:uid="{00000000-0005-0000-0000-0000CF090000}"/>
    <cellStyle name="Style 223" xfId="2528" xr:uid="{00000000-0005-0000-0000-0000D0090000}"/>
    <cellStyle name="Style 224" xfId="2529" xr:uid="{00000000-0005-0000-0000-0000D1090000}"/>
    <cellStyle name="Style 225" xfId="2530" xr:uid="{00000000-0005-0000-0000-0000D2090000}"/>
    <cellStyle name="Style 226" xfId="2531" xr:uid="{00000000-0005-0000-0000-0000D3090000}"/>
    <cellStyle name="Style 227" xfId="2532" xr:uid="{00000000-0005-0000-0000-0000D4090000}"/>
    <cellStyle name="Style 229" xfId="2533" xr:uid="{00000000-0005-0000-0000-0000D5090000}"/>
    <cellStyle name="Style 230" xfId="2534" xr:uid="{00000000-0005-0000-0000-0000D6090000}"/>
    <cellStyle name="Style 231" xfId="2535" xr:uid="{00000000-0005-0000-0000-0000D7090000}"/>
    <cellStyle name="Style 257" xfId="2536" xr:uid="{00000000-0005-0000-0000-0000D8090000}"/>
    <cellStyle name="Style 258" xfId="2537" xr:uid="{00000000-0005-0000-0000-0000D9090000}"/>
    <cellStyle name="Style 259" xfId="2538" xr:uid="{00000000-0005-0000-0000-0000DA090000}"/>
    <cellStyle name="Style 260" xfId="2539" xr:uid="{00000000-0005-0000-0000-0000DB090000}"/>
    <cellStyle name="Style 261" xfId="2540" xr:uid="{00000000-0005-0000-0000-0000DC090000}"/>
    <cellStyle name="Style 263" xfId="2541" xr:uid="{00000000-0005-0000-0000-0000DD090000}"/>
    <cellStyle name="Style 264" xfId="2542" xr:uid="{00000000-0005-0000-0000-0000DE090000}"/>
    <cellStyle name="Style 265" xfId="2543" xr:uid="{00000000-0005-0000-0000-0000DF090000}"/>
    <cellStyle name="Style 461" xfId="2544" xr:uid="{00000000-0005-0000-0000-0000E0090000}"/>
    <cellStyle name="Style 467" xfId="2545" xr:uid="{00000000-0005-0000-0000-0000E1090000}"/>
    <cellStyle name="Style 468" xfId="2546" xr:uid="{00000000-0005-0000-0000-0000E2090000}"/>
    <cellStyle name="Style 469" xfId="2547" xr:uid="{00000000-0005-0000-0000-0000E3090000}"/>
    <cellStyle name="Style 478" xfId="2548" xr:uid="{00000000-0005-0000-0000-0000E4090000}"/>
    <cellStyle name="Style 479" xfId="2549" xr:uid="{00000000-0005-0000-0000-0000E5090000}"/>
    <cellStyle name="Style 480" xfId="2550" xr:uid="{00000000-0005-0000-0000-0000E6090000}"/>
    <cellStyle name="Style 481" xfId="2551" xr:uid="{00000000-0005-0000-0000-0000E7090000}"/>
    <cellStyle name="Style 482" xfId="2552" xr:uid="{00000000-0005-0000-0000-0000E8090000}"/>
    <cellStyle name="Style 484" xfId="2553" xr:uid="{00000000-0005-0000-0000-0000E9090000}"/>
    <cellStyle name="Style 485" xfId="2554" xr:uid="{00000000-0005-0000-0000-0000EA090000}"/>
    <cellStyle name="Style 486" xfId="2555" xr:uid="{00000000-0005-0000-0000-0000EB090000}"/>
    <cellStyle name="Style 495" xfId="2556" xr:uid="{00000000-0005-0000-0000-0000EC090000}"/>
    <cellStyle name="Style 496" xfId="2557" xr:uid="{00000000-0005-0000-0000-0000ED090000}"/>
    <cellStyle name="Style 497" xfId="2558" xr:uid="{00000000-0005-0000-0000-0000EE090000}"/>
    <cellStyle name="Style 498" xfId="2559" xr:uid="{00000000-0005-0000-0000-0000EF090000}"/>
    <cellStyle name="Style 499" xfId="2560" xr:uid="{00000000-0005-0000-0000-0000F0090000}"/>
    <cellStyle name="Style 501" xfId="2561" xr:uid="{00000000-0005-0000-0000-0000F1090000}"/>
    <cellStyle name="Style 502" xfId="2562" xr:uid="{00000000-0005-0000-0000-0000F2090000}"/>
    <cellStyle name="Style 503" xfId="2563" xr:uid="{00000000-0005-0000-0000-0000F3090000}"/>
    <cellStyle name="Style 580" xfId="2564" xr:uid="{00000000-0005-0000-0000-0000F4090000}"/>
    <cellStyle name="Style 581" xfId="2565" xr:uid="{00000000-0005-0000-0000-0000F5090000}"/>
    <cellStyle name="Style 582" xfId="2566" xr:uid="{00000000-0005-0000-0000-0000F6090000}"/>
    <cellStyle name="Style 583" xfId="2567" xr:uid="{00000000-0005-0000-0000-0000F7090000}"/>
    <cellStyle name="Style 584" xfId="2568" xr:uid="{00000000-0005-0000-0000-0000F8090000}"/>
    <cellStyle name="Style 586" xfId="2569" xr:uid="{00000000-0005-0000-0000-0000F9090000}"/>
    <cellStyle name="Style 587" xfId="2570" xr:uid="{00000000-0005-0000-0000-0000FA090000}"/>
    <cellStyle name="Style 588" xfId="2571" xr:uid="{00000000-0005-0000-0000-0000FB090000}"/>
    <cellStyle name="Testo avviso" xfId="1019" xr:uid="{00000000-0005-0000-0000-0000FC090000}"/>
    <cellStyle name="Testo descrittivo" xfId="1020" xr:uid="{00000000-0005-0000-0000-0000FD090000}"/>
    <cellStyle name="Titolo" xfId="1021" xr:uid="{00000000-0005-0000-0000-0000FE090000}"/>
    <cellStyle name="Titolo 1" xfId="1022" xr:uid="{00000000-0005-0000-0000-0000FF090000}"/>
    <cellStyle name="Titolo 1 2" xfId="1023" xr:uid="{00000000-0005-0000-0000-0000000A0000}"/>
    <cellStyle name="Titolo 2" xfId="1024" xr:uid="{00000000-0005-0000-0000-0000010A0000}"/>
    <cellStyle name="Titolo 2 2" xfId="1025" xr:uid="{00000000-0005-0000-0000-0000020A0000}"/>
    <cellStyle name="Titolo 3" xfId="1026" xr:uid="{00000000-0005-0000-0000-0000030A0000}"/>
    <cellStyle name="Titolo 3 2" xfId="1027" xr:uid="{00000000-0005-0000-0000-0000040A0000}"/>
    <cellStyle name="Titolo 4" xfId="1028" xr:uid="{00000000-0005-0000-0000-0000050A0000}"/>
    <cellStyle name="Total 2" xfId="2572" xr:uid="{00000000-0005-0000-0000-0000060A0000}"/>
    <cellStyle name="Total 2 2" xfId="2573" xr:uid="{00000000-0005-0000-0000-0000070A0000}"/>
    <cellStyle name="Totale" xfId="1029" xr:uid="{00000000-0005-0000-0000-0000080A0000}"/>
    <cellStyle name="Totale 2" xfId="1030" xr:uid="{00000000-0005-0000-0000-0000090A0000}"/>
    <cellStyle name="Totale 2 2" xfId="2574" xr:uid="{00000000-0005-0000-0000-00000A0A0000}"/>
    <cellStyle name="Totale 3" xfId="1031" xr:uid="{00000000-0005-0000-0000-00000B0A0000}"/>
    <cellStyle name="Totale 3 2" xfId="2575" xr:uid="{00000000-0005-0000-0000-00000C0A0000}"/>
    <cellStyle name="Totale 4" xfId="2576" xr:uid="{00000000-0005-0000-0000-00000D0A0000}"/>
    <cellStyle name="Valore non valido" xfId="1032" xr:uid="{00000000-0005-0000-0000-00000E0A0000}"/>
    <cellStyle name="Valore valido" xfId="1033" xr:uid="{00000000-0005-0000-0000-00000F0A0000}"/>
    <cellStyle name="Обычный_CRF2002 (1)" xfId="1034" xr:uid="{00000000-0005-0000-0000-000010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552449</xdr:colOff>
      <xdr:row>1</xdr:row>
      <xdr:rowOff>171450</xdr:rowOff>
    </xdr:from>
    <xdr:to>
      <xdr:col>9</xdr:col>
      <xdr:colOff>495300</xdr:colOff>
      <xdr:row>5</xdr:row>
      <xdr:rowOff>57149</xdr:rowOff>
    </xdr:to>
    <xdr:sp macro="" textlink="">
      <xdr:nvSpPr>
        <xdr:cNvPr id="2" name="Tekstboks 2">
          <a:extLst>
            <a:ext uri="{FF2B5EF4-FFF2-40B4-BE49-F238E27FC236}">
              <a16:creationId xmlns:a16="http://schemas.microsoft.com/office/drawing/2014/main" id="{1E297EDF-7243-4D30-BC28-3E9EB5F429E0}"/>
            </a:ext>
          </a:extLst>
        </xdr:cNvPr>
        <xdr:cNvSpPr txBox="1"/>
      </xdr:nvSpPr>
      <xdr:spPr>
        <a:xfrm>
          <a:off x="1162049" y="355600"/>
          <a:ext cx="4819651" cy="622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row r="3">
          <cell r="D3" t="str">
            <v>Toluene</v>
          </cell>
        </row>
      </sheetData>
      <sheetData sheetId="4"/>
      <sheetData sheetId="5"/>
      <sheetData sheetId="6"/>
      <sheetData sheetId="7">
        <row r="34">
          <cell r="D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row r="7">
          <cell r="B7">
            <v>1.1599999999999999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6"/>
  <sheetViews>
    <sheetView workbookViewId="0">
      <selection activeCell="E4" sqref="E4"/>
    </sheetView>
  </sheetViews>
  <sheetFormatPr defaultColWidth="9.33203125" defaultRowHeight="13.2" x14ac:dyDescent="0.25"/>
  <cols>
    <col min="1" max="1" width="11.5546875" style="29" customWidth="1"/>
    <col min="2" max="2" width="19.44140625" style="29" customWidth="1"/>
    <col min="3" max="3" width="13.6640625" style="29" customWidth="1"/>
    <col min="4" max="4" width="19.6640625" style="29" customWidth="1"/>
    <col min="5" max="5" width="60.33203125" style="29" customWidth="1"/>
    <col min="6" max="16384" width="9.33203125" style="29"/>
  </cols>
  <sheetData>
    <row r="3" spans="1:5" x14ac:dyDescent="0.25">
      <c r="A3" s="28" t="s">
        <v>47</v>
      </c>
      <c r="B3" s="28" t="s">
        <v>48</v>
      </c>
      <c r="C3" s="28" t="s">
        <v>49</v>
      </c>
      <c r="D3" s="28" t="s">
        <v>50</v>
      </c>
      <c r="E3" s="28" t="s">
        <v>51</v>
      </c>
    </row>
    <row r="4" spans="1:5" x14ac:dyDescent="0.25">
      <c r="A4" s="30">
        <v>42499</v>
      </c>
      <c r="B4" s="31" t="s">
        <v>52</v>
      </c>
      <c r="C4" s="38" t="s">
        <v>63</v>
      </c>
      <c r="D4" s="28"/>
      <c r="E4" s="38" t="s">
        <v>68</v>
      </c>
    </row>
    <row r="5" spans="1:5" x14ac:dyDescent="0.25">
      <c r="A5" s="30">
        <v>42499</v>
      </c>
      <c r="B5" s="31" t="s">
        <v>52</v>
      </c>
      <c r="C5" s="31" t="s">
        <v>53</v>
      </c>
      <c r="D5" s="31"/>
      <c r="E5" s="31" t="s">
        <v>54</v>
      </c>
    </row>
    <row r="6" spans="1:5" x14ac:dyDescent="0.25">
      <c r="A6" s="30">
        <v>42499</v>
      </c>
      <c r="B6" s="31" t="s">
        <v>52</v>
      </c>
      <c r="C6" s="31" t="s">
        <v>63</v>
      </c>
      <c r="D6" s="31"/>
      <c r="E6" s="31" t="s">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82D3-F25B-45E6-B416-9EF6B79CD6BF}">
  <dimension ref="A1:CV65"/>
  <sheetViews>
    <sheetView workbookViewId="0">
      <selection activeCell="A16" sqref="A16"/>
    </sheetView>
  </sheetViews>
  <sheetFormatPr defaultColWidth="9.109375" defaultRowHeight="14.4" x14ac:dyDescent="0.3"/>
  <cols>
    <col min="1" max="1" width="2.33203125" style="52" bestFit="1" customWidth="1"/>
    <col min="2" max="2" width="41" style="52" customWidth="1"/>
    <col min="3" max="3" width="9.109375" style="52" customWidth="1"/>
    <col min="4" max="13" width="9.109375" style="52"/>
    <col min="14" max="14" width="32.33203125" style="52" customWidth="1"/>
    <col min="15" max="15" width="29.109375" style="52" customWidth="1"/>
    <col min="16" max="100" width="9.109375" style="52"/>
    <col min="101" max="16384" width="9.109375" style="85"/>
  </cols>
  <sheetData>
    <row r="1" spans="2:12" ht="15" thickBot="1" x14ac:dyDescent="0.35">
      <c r="B1" s="75" t="s">
        <v>267</v>
      </c>
    </row>
    <row r="2" spans="2:12" ht="15" thickBot="1" x14ac:dyDescent="0.35">
      <c r="B2" s="74" t="s">
        <v>197</v>
      </c>
      <c r="C2" s="177" t="s">
        <v>266</v>
      </c>
      <c r="D2" s="192"/>
      <c r="E2" s="192"/>
      <c r="F2" s="192"/>
      <c r="G2" s="192"/>
      <c r="H2" s="192"/>
      <c r="I2" s="192"/>
      <c r="J2" s="192"/>
      <c r="K2" s="192"/>
      <c r="L2" s="193"/>
    </row>
    <row r="3" spans="2:12" x14ac:dyDescent="0.3">
      <c r="B3" s="180"/>
      <c r="C3" s="182">
        <v>2015</v>
      </c>
      <c r="D3" s="182">
        <v>2020</v>
      </c>
      <c r="E3" s="182">
        <v>2030</v>
      </c>
      <c r="F3" s="182">
        <v>2050</v>
      </c>
      <c r="G3" s="184" t="s">
        <v>195</v>
      </c>
      <c r="H3" s="185"/>
      <c r="I3" s="184" t="s">
        <v>194</v>
      </c>
      <c r="J3" s="185"/>
      <c r="K3" s="182" t="s">
        <v>193</v>
      </c>
      <c r="L3" s="182" t="s">
        <v>192</v>
      </c>
    </row>
    <row r="4" spans="2:12" ht="15" thickBot="1" x14ac:dyDescent="0.35">
      <c r="B4" s="181"/>
      <c r="C4" s="183"/>
      <c r="D4" s="183"/>
      <c r="E4" s="183"/>
      <c r="F4" s="183"/>
      <c r="G4" s="186"/>
      <c r="H4" s="187"/>
      <c r="I4" s="186"/>
      <c r="J4" s="187"/>
      <c r="K4" s="183"/>
      <c r="L4" s="183"/>
    </row>
    <row r="5" spans="2:12" ht="15" thickBot="1" x14ac:dyDescent="0.35">
      <c r="B5" s="62" t="s">
        <v>191</v>
      </c>
      <c r="C5" s="69"/>
      <c r="D5" s="69"/>
      <c r="E5" s="69"/>
      <c r="F5" s="69"/>
      <c r="G5" s="72" t="s">
        <v>190</v>
      </c>
      <c r="H5" s="72" t="s">
        <v>189</v>
      </c>
      <c r="I5" s="72" t="s">
        <v>190</v>
      </c>
      <c r="J5" s="72" t="s">
        <v>189</v>
      </c>
      <c r="K5" s="69"/>
      <c r="L5" s="68"/>
    </row>
    <row r="6" spans="2:12" ht="15" thickBot="1" x14ac:dyDescent="0.35">
      <c r="B6" s="60" t="s">
        <v>248</v>
      </c>
      <c r="C6" s="59">
        <f t="shared" ref="C6:H6" si="0">3*0.75</f>
        <v>2.25</v>
      </c>
      <c r="D6" s="59">
        <f t="shared" si="0"/>
        <v>2.25</v>
      </c>
      <c r="E6" s="59">
        <f t="shared" si="0"/>
        <v>2.25</v>
      </c>
      <c r="F6" s="59">
        <f t="shared" si="0"/>
        <v>2.25</v>
      </c>
      <c r="G6" s="59">
        <f t="shared" si="0"/>
        <v>2.25</v>
      </c>
      <c r="H6" s="59">
        <f t="shared" si="0"/>
        <v>2.25</v>
      </c>
      <c r="I6" s="59">
        <f>2*0.75</f>
        <v>1.5</v>
      </c>
      <c r="J6" s="59">
        <f>3*0.75</f>
        <v>2.25</v>
      </c>
      <c r="K6" s="59" t="s">
        <v>143</v>
      </c>
      <c r="L6" s="59">
        <v>1</v>
      </c>
    </row>
    <row r="7" spans="2:12" ht="15" thickBot="1" x14ac:dyDescent="0.35">
      <c r="B7" s="60" t="s">
        <v>247</v>
      </c>
      <c r="C7" s="71">
        <f>1.5*0.75</f>
        <v>1.125</v>
      </c>
      <c r="D7" s="71">
        <f>1.5*0.75</f>
        <v>1.125</v>
      </c>
      <c r="E7" s="71">
        <f>1.5*0.75</f>
        <v>1.125</v>
      </c>
      <c r="F7" s="71">
        <f>1.5*0.75</f>
        <v>1.125</v>
      </c>
      <c r="G7" s="59">
        <f>1*0.75</f>
        <v>0.75</v>
      </c>
      <c r="H7" s="59">
        <f>2*0.75</f>
        <v>1.5</v>
      </c>
      <c r="I7" s="59">
        <f>1*0.75</f>
        <v>0.75</v>
      </c>
      <c r="J7" s="59">
        <f>2*0.75</f>
        <v>1.5</v>
      </c>
      <c r="K7" s="59" t="s">
        <v>141</v>
      </c>
      <c r="L7" s="59">
        <v>2</v>
      </c>
    </row>
    <row r="8" spans="2:12" ht="15" thickBot="1" x14ac:dyDescent="0.35">
      <c r="B8" s="60" t="s">
        <v>246</v>
      </c>
      <c r="C8" s="59" t="s">
        <v>156</v>
      </c>
      <c r="D8" s="59" t="s">
        <v>156</v>
      </c>
      <c r="E8" s="59" t="s">
        <v>156</v>
      </c>
      <c r="F8" s="59" t="s">
        <v>156</v>
      </c>
      <c r="G8" s="59" t="s">
        <v>156</v>
      </c>
      <c r="H8" s="59" t="s">
        <v>156</v>
      </c>
      <c r="I8" s="59" t="s">
        <v>156</v>
      </c>
      <c r="J8" s="59" t="s">
        <v>156</v>
      </c>
      <c r="K8" s="59" t="s">
        <v>200</v>
      </c>
      <c r="L8" s="59">
        <v>3</v>
      </c>
    </row>
    <row r="9" spans="2:12" ht="15" thickBot="1" x14ac:dyDescent="0.35">
      <c r="B9" s="60" t="s">
        <v>179</v>
      </c>
      <c r="C9" s="59">
        <v>40</v>
      </c>
      <c r="D9" s="59">
        <v>40</v>
      </c>
      <c r="E9" s="59">
        <v>40</v>
      </c>
      <c r="F9" s="59">
        <v>40</v>
      </c>
      <c r="G9" s="59">
        <v>35</v>
      </c>
      <c r="H9" s="59">
        <v>40</v>
      </c>
      <c r="I9" s="59">
        <v>35</v>
      </c>
      <c r="J9" s="59">
        <v>50</v>
      </c>
      <c r="K9" s="59" t="s">
        <v>139</v>
      </c>
      <c r="L9" s="59" t="s">
        <v>245</v>
      </c>
    </row>
    <row r="10" spans="2:12" ht="15" thickBot="1" x14ac:dyDescent="0.35">
      <c r="B10" s="60" t="s">
        <v>178</v>
      </c>
      <c r="C10" s="64">
        <v>0.5</v>
      </c>
      <c r="D10" s="64">
        <v>0.5</v>
      </c>
      <c r="E10" s="64">
        <v>0.5</v>
      </c>
      <c r="F10" s="64">
        <v>0.5</v>
      </c>
      <c r="G10" s="64">
        <v>0.5</v>
      </c>
      <c r="H10" s="64">
        <v>0.5</v>
      </c>
      <c r="I10" s="87">
        <f>C10*0.9</f>
        <v>0.45</v>
      </c>
      <c r="J10" s="87">
        <f>C10*1.15</f>
        <v>0.57499999999999996</v>
      </c>
      <c r="K10" s="59" t="s">
        <v>137</v>
      </c>
      <c r="L10" s="59" t="s">
        <v>243</v>
      </c>
    </row>
    <row r="11" spans="2:12" ht="15" thickBot="1" x14ac:dyDescent="0.35">
      <c r="B11" s="80" t="s">
        <v>242</v>
      </c>
      <c r="C11" s="64">
        <v>0.5</v>
      </c>
      <c r="D11" s="64">
        <v>0.5</v>
      </c>
      <c r="E11" s="64">
        <v>0.5</v>
      </c>
      <c r="F11" s="64">
        <v>0.5</v>
      </c>
      <c r="G11" s="64">
        <v>0.5</v>
      </c>
      <c r="H11" s="64">
        <v>0.5</v>
      </c>
      <c r="I11" s="87">
        <f>C11*0.9</f>
        <v>0.45</v>
      </c>
      <c r="J11" s="87">
        <f>C11*1.15</f>
        <v>0.57499999999999996</v>
      </c>
      <c r="K11" s="59" t="s">
        <v>137</v>
      </c>
      <c r="L11" s="59"/>
    </row>
    <row r="12" spans="2:12" ht="15" thickBot="1" x14ac:dyDescent="0.35">
      <c r="B12" s="80" t="s">
        <v>260</v>
      </c>
      <c r="C12" s="64">
        <v>0.5</v>
      </c>
      <c r="D12" s="64">
        <v>0.5</v>
      </c>
      <c r="E12" s="64">
        <v>0.5</v>
      </c>
      <c r="F12" s="64">
        <v>0.5</v>
      </c>
      <c r="G12" s="64">
        <v>0.5</v>
      </c>
      <c r="H12" s="64">
        <v>0.5</v>
      </c>
      <c r="I12" s="87">
        <f>C12*0.9</f>
        <v>0.45</v>
      </c>
      <c r="J12" s="87">
        <f>C12*1.15</f>
        <v>0.57499999999999996</v>
      </c>
      <c r="K12" s="59" t="s">
        <v>137</v>
      </c>
      <c r="L12" s="59"/>
    </row>
    <row r="13" spans="2:12" ht="15" thickBot="1" x14ac:dyDescent="0.35">
      <c r="B13" s="80" t="s">
        <v>177</v>
      </c>
      <c r="C13" s="83">
        <v>1</v>
      </c>
      <c r="D13" s="83">
        <v>1</v>
      </c>
      <c r="E13" s="83">
        <v>1</v>
      </c>
      <c r="F13" s="83">
        <v>1</v>
      </c>
      <c r="G13" s="59">
        <v>1</v>
      </c>
      <c r="H13" s="59">
        <v>2</v>
      </c>
      <c r="I13" s="59">
        <v>1</v>
      </c>
      <c r="J13" s="59">
        <v>2</v>
      </c>
      <c r="K13" s="59"/>
      <c r="L13" s="59">
        <v>5</v>
      </c>
    </row>
    <row r="14" spans="2:12" ht="15" thickBot="1" x14ac:dyDescent="0.35">
      <c r="B14" s="60"/>
      <c r="C14" s="59"/>
      <c r="D14" s="59"/>
      <c r="E14" s="59"/>
      <c r="F14" s="59"/>
      <c r="G14" s="59"/>
      <c r="H14" s="59"/>
      <c r="I14" s="59"/>
      <c r="J14" s="59"/>
      <c r="K14" s="59"/>
      <c r="L14" s="59"/>
    </row>
    <row r="15" spans="2:12" ht="15" thickBot="1" x14ac:dyDescent="0.35">
      <c r="B15" s="62" t="s">
        <v>176</v>
      </c>
      <c r="C15" s="69"/>
      <c r="D15" s="69"/>
      <c r="E15" s="69"/>
      <c r="F15" s="69"/>
      <c r="G15" s="69"/>
      <c r="H15" s="69"/>
      <c r="I15" s="69"/>
      <c r="J15" s="69"/>
      <c r="K15" s="69"/>
      <c r="L15" s="68"/>
    </row>
    <row r="16" spans="2:12" ht="15" thickBot="1" x14ac:dyDescent="0.35">
      <c r="B16" s="80" t="s">
        <v>265</v>
      </c>
      <c r="C16" s="59">
        <v>365</v>
      </c>
      <c r="D16" s="59">
        <v>365</v>
      </c>
      <c r="E16" s="59">
        <v>365</v>
      </c>
      <c r="F16" s="59">
        <v>365</v>
      </c>
      <c r="G16" s="65">
        <f>F16*0.9</f>
        <v>328.5</v>
      </c>
      <c r="H16" s="59">
        <f>C16</f>
        <v>365</v>
      </c>
      <c r="I16" s="65">
        <f>G16*0.9*0.94</f>
        <v>277.911</v>
      </c>
      <c r="J16" s="65">
        <f>H16*1.21</f>
        <v>441.65</v>
      </c>
      <c r="K16" s="59" t="s">
        <v>239</v>
      </c>
      <c r="L16" s="59" t="s">
        <v>238</v>
      </c>
    </row>
    <row r="17" spans="2:13" ht="15" thickBot="1" x14ac:dyDescent="0.35">
      <c r="B17" s="80" t="s">
        <v>237</v>
      </c>
      <c r="C17" s="59">
        <v>2149</v>
      </c>
      <c r="D17" s="59">
        <v>2149</v>
      </c>
      <c r="E17" s="59">
        <v>2149</v>
      </c>
      <c r="F17" s="59">
        <v>2149</v>
      </c>
      <c r="G17" s="65">
        <f>F17*0.9</f>
        <v>1934.1000000000001</v>
      </c>
      <c r="H17" s="59">
        <v>2149</v>
      </c>
      <c r="I17" s="65">
        <f>G17*0.9</f>
        <v>1740.69</v>
      </c>
      <c r="J17" s="59">
        <v>2149</v>
      </c>
      <c r="K17" s="59" t="s">
        <v>233</v>
      </c>
      <c r="L17" s="59">
        <v>6</v>
      </c>
      <c r="M17" s="82"/>
    </row>
    <row r="18" spans="2:13" ht="15" thickBot="1" x14ac:dyDescent="0.35">
      <c r="B18" s="80" t="s">
        <v>236</v>
      </c>
      <c r="C18" s="59">
        <v>5618</v>
      </c>
      <c r="D18" s="59">
        <v>5618</v>
      </c>
      <c r="E18" s="59">
        <v>5618</v>
      </c>
      <c r="F18" s="59">
        <v>5618</v>
      </c>
      <c r="G18" s="65">
        <f>F18*0.9</f>
        <v>5056.2</v>
      </c>
      <c r="H18" s="59">
        <v>5618</v>
      </c>
      <c r="I18" s="65">
        <f>G18*0.9</f>
        <v>4550.58</v>
      </c>
      <c r="J18" s="59">
        <v>5618</v>
      </c>
      <c r="K18" s="59" t="s">
        <v>233</v>
      </c>
      <c r="L18" s="59">
        <v>6</v>
      </c>
      <c r="M18" s="81"/>
    </row>
    <row r="19" spans="2:13" ht="15" thickBot="1" x14ac:dyDescent="0.35">
      <c r="B19" s="80" t="s">
        <v>235</v>
      </c>
      <c r="C19" s="59">
        <v>5774</v>
      </c>
      <c r="D19" s="59">
        <v>5774</v>
      </c>
      <c r="E19" s="59">
        <v>5774</v>
      </c>
      <c r="F19" s="59">
        <v>5774</v>
      </c>
      <c r="G19" s="65">
        <f>F19*0.9</f>
        <v>5196.6000000000004</v>
      </c>
      <c r="H19" s="59">
        <v>5774</v>
      </c>
      <c r="I19" s="65">
        <f>G19*0.9</f>
        <v>4676.9400000000005</v>
      </c>
      <c r="J19" s="59">
        <v>5774</v>
      </c>
      <c r="K19" s="59" t="s">
        <v>233</v>
      </c>
      <c r="L19" s="59">
        <v>6</v>
      </c>
      <c r="M19" s="81"/>
    </row>
    <row r="20" spans="2:13" ht="15" thickBot="1" x14ac:dyDescent="0.35">
      <c r="B20" s="80" t="s">
        <v>258</v>
      </c>
      <c r="C20" s="59">
        <v>12131</v>
      </c>
      <c r="D20" s="59">
        <v>12131</v>
      </c>
      <c r="E20" s="59">
        <v>12131</v>
      </c>
      <c r="F20" s="59">
        <v>12131</v>
      </c>
      <c r="G20" s="65">
        <f>F20*0.9</f>
        <v>10917.9</v>
      </c>
      <c r="H20" s="59">
        <v>12131</v>
      </c>
      <c r="I20" s="65">
        <f>G20*0.9</f>
        <v>9826.11</v>
      </c>
      <c r="J20" s="59">
        <v>12131</v>
      </c>
      <c r="K20" s="59" t="s">
        <v>233</v>
      </c>
      <c r="L20" s="59">
        <v>6</v>
      </c>
      <c r="M20" s="81"/>
    </row>
    <row r="21" spans="2:13" ht="15" thickBot="1" x14ac:dyDescent="0.35">
      <c r="B21" s="80" t="s">
        <v>232</v>
      </c>
      <c r="C21" s="59" t="s">
        <v>156</v>
      </c>
      <c r="D21" s="59" t="s">
        <v>156</v>
      </c>
      <c r="E21" s="59" t="s">
        <v>156</v>
      </c>
      <c r="F21" s="59" t="s">
        <v>156</v>
      </c>
      <c r="G21" s="59" t="s">
        <v>156</v>
      </c>
      <c r="H21" s="59" t="s">
        <v>156</v>
      </c>
      <c r="I21" s="59" t="s">
        <v>156</v>
      </c>
      <c r="J21" s="59" t="s">
        <v>156</v>
      </c>
      <c r="K21" s="59" t="s">
        <v>225</v>
      </c>
      <c r="L21" s="59"/>
    </row>
    <row r="22" spans="2:13" ht="15" thickBot="1" x14ac:dyDescent="0.35">
      <c r="B22" s="80" t="s">
        <v>231</v>
      </c>
      <c r="C22" s="59" t="s">
        <v>156</v>
      </c>
      <c r="D22" s="59" t="s">
        <v>156</v>
      </c>
      <c r="E22" s="59" t="s">
        <v>156</v>
      </c>
      <c r="F22" s="59" t="s">
        <v>156</v>
      </c>
      <c r="G22" s="59" t="s">
        <v>156</v>
      </c>
      <c r="H22" s="59" t="s">
        <v>156</v>
      </c>
      <c r="I22" s="59" t="s">
        <v>156</v>
      </c>
      <c r="J22" s="59" t="s">
        <v>156</v>
      </c>
      <c r="K22" s="59" t="s">
        <v>225</v>
      </c>
      <c r="L22" s="59"/>
    </row>
    <row r="23" spans="2:13" ht="15" thickBot="1" x14ac:dyDescent="0.35">
      <c r="B23" s="80" t="s">
        <v>230</v>
      </c>
      <c r="C23" s="59" t="s">
        <v>156</v>
      </c>
      <c r="D23" s="59" t="s">
        <v>156</v>
      </c>
      <c r="E23" s="59" t="s">
        <v>156</v>
      </c>
      <c r="F23" s="59" t="s">
        <v>156</v>
      </c>
      <c r="G23" s="59" t="s">
        <v>156</v>
      </c>
      <c r="H23" s="59" t="s">
        <v>156</v>
      </c>
      <c r="I23" s="59" t="s">
        <v>156</v>
      </c>
      <c r="J23" s="59" t="s">
        <v>156</v>
      </c>
      <c r="K23" s="59" t="s">
        <v>225</v>
      </c>
      <c r="L23" s="59">
        <v>6</v>
      </c>
      <c r="M23" s="85"/>
    </row>
    <row r="24" spans="2:13" ht="15" thickBot="1" x14ac:dyDescent="0.35">
      <c r="B24" s="80" t="s">
        <v>229</v>
      </c>
      <c r="C24" s="59">
        <v>115</v>
      </c>
      <c r="D24" s="59">
        <v>115</v>
      </c>
      <c r="E24" s="59">
        <v>115</v>
      </c>
      <c r="F24" s="59">
        <v>115</v>
      </c>
      <c r="G24" s="59">
        <v>100</v>
      </c>
      <c r="H24" s="59">
        <v>115</v>
      </c>
      <c r="I24" s="65">
        <f>G24*0.9</f>
        <v>90</v>
      </c>
      <c r="J24" s="59">
        <v>115</v>
      </c>
      <c r="K24" s="59" t="s">
        <v>225</v>
      </c>
      <c r="L24" s="59">
        <v>6</v>
      </c>
      <c r="M24" s="85"/>
    </row>
    <row r="25" spans="2:13" ht="15" thickBot="1" x14ac:dyDescent="0.35">
      <c r="B25" s="80" t="s">
        <v>228</v>
      </c>
      <c r="C25" s="59">
        <v>120</v>
      </c>
      <c r="D25" s="59">
        <v>120</v>
      </c>
      <c r="E25" s="59">
        <v>120</v>
      </c>
      <c r="F25" s="59">
        <v>120</v>
      </c>
      <c r="G25" s="59">
        <v>104</v>
      </c>
      <c r="H25" s="59">
        <v>120</v>
      </c>
      <c r="I25" s="65">
        <f>G25*0.9</f>
        <v>93.600000000000009</v>
      </c>
      <c r="J25" s="59">
        <v>120</v>
      </c>
      <c r="K25" s="59" t="s">
        <v>225</v>
      </c>
      <c r="L25" s="59">
        <v>6</v>
      </c>
    </row>
    <row r="26" spans="2:13" ht="15" thickBot="1" x14ac:dyDescent="0.35">
      <c r="B26" s="80" t="s">
        <v>227</v>
      </c>
      <c r="C26" s="59">
        <v>169</v>
      </c>
      <c r="D26" s="59">
        <v>169</v>
      </c>
      <c r="E26" s="59">
        <v>169</v>
      </c>
      <c r="F26" s="59">
        <v>169</v>
      </c>
      <c r="G26" s="59">
        <v>154</v>
      </c>
      <c r="H26" s="59">
        <v>169</v>
      </c>
      <c r="I26" s="65">
        <f>G26*0.9</f>
        <v>138.6</v>
      </c>
      <c r="J26" s="59">
        <v>169</v>
      </c>
      <c r="K26" s="59" t="s">
        <v>225</v>
      </c>
      <c r="L26" s="59">
        <v>6</v>
      </c>
      <c r="M26" s="88"/>
    </row>
    <row r="27" spans="2:13" ht="15" thickBot="1" x14ac:dyDescent="0.35">
      <c r="B27" s="80" t="s">
        <v>226</v>
      </c>
      <c r="C27" s="59" t="s">
        <v>156</v>
      </c>
      <c r="D27" s="59" t="s">
        <v>156</v>
      </c>
      <c r="E27" s="59" t="s">
        <v>156</v>
      </c>
      <c r="F27" s="59" t="s">
        <v>156</v>
      </c>
      <c r="G27" s="59" t="s">
        <v>156</v>
      </c>
      <c r="H27" s="59" t="s">
        <v>156</v>
      </c>
      <c r="I27" s="59" t="s">
        <v>156</v>
      </c>
      <c r="J27" s="59" t="s">
        <v>156</v>
      </c>
      <c r="K27" s="59" t="s">
        <v>225</v>
      </c>
      <c r="L27" s="59"/>
    </row>
    <row r="28" spans="2:13" ht="15" thickBot="1" x14ac:dyDescent="0.35">
      <c r="B28" s="80" t="s">
        <v>224</v>
      </c>
      <c r="C28" s="59">
        <v>11500</v>
      </c>
      <c r="D28" s="59">
        <v>11500</v>
      </c>
      <c r="E28" s="59">
        <v>11500</v>
      </c>
      <c r="F28" s="59">
        <v>11500</v>
      </c>
      <c r="G28" s="65">
        <f>C28*0.956</f>
        <v>10994</v>
      </c>
      <c r="H28" s="59">
        <f>F28</f>
        <v>11500</v>
      </c>
      <c r="I28" s="65">
        <f>G28*0.956</f>
        <v>10510.263999999999</v>
      </c>
      <c r="J28" s="59">
        <f>F28</f>
        <v>11500</v>
      </c>
      <c r="K28" s="59" t="s">
        <v>223</v>
      </c>
      <c r="L28" s="59">
        <v>6</v>
      </c>
    </row>
    <row r="29" spans="2:13" ht="15" thickBot="1" x14ac:dyDescent="0.35">
      <c r="B29" s="80" t="s">
        <v>164</v>
      </c>
      <c r="C29" s="59">
        <v>38000</v>
      </c>
      <c r="D29" s="59">
        <v>38000</v>
      </c>
      <c r="E29" s="59">
        <v>38000</v>
      </c>
      <c r="F29" s="59">
        <v>38000</v>
      </c>
      <c r="G29" s="59">
        <f>C29*0.956</f>
        <v>36328</v>
      </c>
      <c r="H29" s="59">
        <f>C29</f>
        <v>38000</v>
      </c>
      <c r="I29" s="65">
        <f>G29*0.956</f>
        <v>34729.567999999999</v>
      </c>
      <c r="J29" s="59">
        <f>H29</f>
        <v>38000</v>
      </c>
      <c r="K29" s="59" t="s">
        <v>125</v>
      </c>
      <c r="L29" s="59">
        <v>6</v>
      </c>
    </row>
    <row r="30" spans="2:13" ht="15" thickBot="1" x14ac:dyDescent="0.35">
      <c r="B30" s="80" t="s">
        <v>162</v>
      </c>
      <c r="C30" s="59" t="s">
        <v>156</v>
      </c>
      <c r="D30" s="59" t="s">
        <v>156</v>
      </c>
      <c r="E30" s="59" t="s">
        <v>156</v>
      </c>
      <c r="F30" s="59" t="s">
        <v>156</v>
      </c>
      <c r="G30" s="59" t="s">
        <v>156</v>
      </c>
      <c r="H30" s="59" t="s">
        <v>156</v>
      </c>
      <c r="I30" s="59" t="s">
        <v>156</v>
      </c>
      <c r="J30" s="59" t="s">
        <v>156</v>
      </c>
      <c r="K30" s="59"/>
      <c r="L30" s="59"/>
    </row>
    <row r="31" spans="2:13" ht="15" thickBot="1" x14ac:dyDescent="0.35">
      <c r="B31" s="80" t="s">
        <v>222</v>
      </c>
      <c r="C31" s="64">
        <v>0.86</v>
      </c>
      <c r="D31" s="64">
        <v>0.86</v>
      </c>
      <c r="E31" s="64">
        <v>0.86</v>
      </c>
      <c r="F31" s="64">
        <v>0.86</v>
      </c>
      <c r="G31" s="59" t="s">
        <v>156</v>
      </c>
      <c r="H31" s="59" t="s">
        <v>156</v>
      </c>
      <c r="I31" s="59" t="s">
        <v>156</v>
      </c>
      <c r="J31" s="59" t="s">
        <v>156</v>
      </c>
      <c r="K31" s="59" t="s">
        <v>123</v>
      </c>
      <c r="L31" s="59">
        <v>6</v>
      </c>
    </row>
    <row r="32" spans="2:13" ht="15" thickBot="1" x14ac:dyDescent="0.35">
      <c r="B32" s="80" t="s">
        <v>221</v>
      </c>
      <c r="C32" s="64">
        <v>0.14000000000000001</v>
      </c>
      <c r="D32" s="64">
        <v>0.14000000000000001</v>
      </c>
      <c r="E32" s="64">
        <v>0.14000000000000001</v>
      </c>
      <c r="F32" s="64">
        <v>0.14000000000000001</v>
      </c>
      <c r="G32" s="59" t="s">
        <v>156</v>
      </c>
      <c r="H32" s="59" t="s">
        <v>156</v>
      </c>
      <c r="I32" s="59" t="s">
        <v>156</v>
      </c>
      <c r="J32" s="59" t="s">
        <v>156</v>
      </c>
      <c r="K32" s="59" t="s">
        <v>123</v>
      </c>
      <c r="L32" s="59">
        <v>6</v>
      </c>
    </row>
    <row r="33" spans="1:12" ht="15" thickBot="1" x14ac:dyDescent="0.35">
      <c r="B33" s="80" t="s">
        <v>220</v>
      </c>
      <c r="C33" s="64">
        <v>0.05</v>
      </c>
      <c r="D33" s="64">
        <v>0.05</v>
      </c>
      <c r="E33" s="64">
        <v>0.05</v>
      </c>
      <c r="F33" s="64">
        <v>0.05</v>
      </c>
      <c r="G33" s="64">
        <v>0.04</v>
      </c>
      <c r="H33" s="64">
        <v>0.05</v>
      </c>
      <c r="I33" s="64">
        <v>0.04</v>
      </c>
      <c r="J33" s="64">
        <v>0.05</v>
      </c>
      <c r="K33" s="59" t="s">
        <v>123</v>
      </c>
      <c r="L33" s="59">
        <v>6</v>
      </c>
    </row>
    <row r="34" spans="1:12" ht="15" thickBot="1" x14ac:dyDescent="0.35">
      <c r="B34" s="80" t="s">
        <v>219</v>
      </c>
      <c r="C34" s="64">
        <v>0.95</v>
      </c>
      <c r="D34" s="64">
        <v>0.95</v>
      </c>
      <c r="E34" s="64">
        <v>0.95</v>
      </c>
      <c r="F34" s="64">
        <v>0.95</v>
      </c>
      <c r="G34" s="64">
        <v>0.96</v>
      </c>
      <c r="H34" s="64">
        <v>0.95</v>
      </c>
      <c r="I34" s="64">
        <v>0.96</v>
      </c>
      <c r="J34" s="64">
        <v>0.95</v>
      </c>
      <c r="K34" s="59" t="s">
        <v>123</v>
      </c>
      <c r="L34" s="59">
        <v>6</v>
      </c>
    </row>
    <row r="35" spans="1:12" ht="15" thickBot="1" x14ac:dyDescent="0.35">
      <c r="B35" s="80" t="s">
        <v>218</v>
      </c>
      <c r="C35" s="65">
        <f>C16*11.7/7.6*1000*0.0051</f>
        <v>2865.730263157895</v>
      </c>
      <c r="D35" s="65">
        <f>C35*(1-0.014)</f>
        <v>2825.6100394736845</v>
      </c>
      <c r="E35" s="65">
        <f>D35*(1-0.014)</f>
        <v>2786.0514989210528</v>
      </c>
      <c r="F35" s="65">
        <f>E35*(1-0.014)</f>
        <v>2747.0467779361579</v>
      </c>
      <c r="G35" s="65">
        <f>C35*(1-0.018)</f>
        <v>2814.1471184210527</v>
      </c>
      <c r="H35" s="65">
        <f>C35</f>
        <v>2865.730263157895</v>
      </c>
      <c r="I35" s="65">
        <f>C35*(1-0.018)^3</f>
        <v>2713.7496058242632</v>
      </c>
      <c r="J35" s="65">
        <f>C35</f>
        <v>2865.730263157895</v>
      </c>
      <c r="K35" s="59" t="s">
        <v>121</v>
      </c>
      <c r="L35" s="59">
        <v>7</v>
      </c>
    </row>
    <row r="36" spans="1:12" ht="15" thickBot="1" x14ac:dyDescent="0.35">
      <c r="B36" s="80" t="s">
        <v>217</v>
      </c>
      <c r="C36" s="59" t="s">
        <v>156</v>
      </c>
      <c r="D36" s="59" t="s">
        <v>156</v>
      </c>
      <c r="E36" s="59" t="s">
        <v>156</v>
      </c>
      <c r="F36" s="59" t="s">
        <v>156</v>
      </c>
      <c r="G36" s="59" t="s">
        <v>156</v>
      </c>
      <c r="H36" s="59" t="s">
        <v>156</v>
      </c>
      <c r="I36" s="59" t="s">
        <v>156</v>
      </c>
      <c r="J36" s="59" t="s">
        <v>156</v>
      </c>
      <c r="K36" s="59" t="s">
        <v>119</v>
      </c>
      <c r="L36" s="59"/>
    </row>
    <row r="37" spans="1:12" ht="15" thickBot="1" x14ac:dyDescent="0.35">
      <c r="B37" s="61"/>
      <c r="C37" s="59"/>
      <c r="D37" s="59"/>
      <c r="E37" s="59"/>
      <c r="F37" s="59"/>
      <c r="G37" s="59"/>
      <c r="H37" s="59"/>
      <c r="I37" s="59"/>
      <c r="J37" s="59"/>
      <c r="K37" s="59"/>
      <c r="L37" s="59"/>
    </row>
    <row r="38" spans="1:12" ht="15" thickBot="1" x14ac:dyDescent="0.35">
      <c r="B38" s="62" t="s">
        <v>155</v>
      </c>
      <c r="C38" s="59"/>
      <c r="D38" s="59"/>
      <c r="E38" s="59"/>
      <c r="F38" s="59"/>
      <c r="G38" s="59"/>
      <c r="H38" s="59"/>
      <c r="I38" s="59"/>
      <c r="J38" s="59"/>
      <c r="K38" s="59"/>
      <c r="L38" s="59"/>
    </row>
    <row r="39" spans="1:12" ht="15" thickBot="1" x14ac:dyDescent="0.35">
      <c r="B39" s="61"/>
      <c r="C39" s="59"/>
      <c r="D39" s="59"/>
      <c r="E39" s="59"/>
      <c r="F39" s="59"/>
      <c r="G39" s="59"/>
      <c r="H39" s="59"/>
      <c r="I39" s="59"/>
      <c r="J39" s="59"/>
      <c r="K39" s="59"/>
      <c r="L39" s="59"/>
    </row>
    <row r="40" spans="1:12" ht="15" thickBot="1" x14ac:dyDescent="0.35">
      <c r="B40" s="60"/>
      <c r="C40" s="59"/>
      <c r="D40" s="59"/>
      <c r="E40" s="59"/>
      <c r="F40" s="59"/>
      <c r="G40" s="59"/>
      <c r="H40" s="59"/>
      <c r="I40" s="59"/>
      <c r="J40" s="59"/>
      <c r="K40" s="59"/>
      <c r="L40" s="59"/>
    </row>
    <row r="41" spans="1:12" x14ac:dyDescent="0.3">
      <c r="B41" s="58"/>
      <c r="C41" s="57"/>
      <c r="D41" s="57"/>
      <c r="E41" s="57"/>
      <c r="F41" s="57"/>
      <c r="G41" s="57"/>
      <c r="H41" s="57"/>
      <c r="I41" s="57"/>
      <c r="J41" s="57"/>
      <c r="K41" s="57"/>
      <c r="L41" s="57"/>
    </row>
    <row r="42" spans="1:12" x14ac:dyDescent="0.3">
      <c r="B42" s="55" t="s">
        <v>154</v>
      </c>
    </row>
    <row r="43" spans="1:12" x14ac:dyDescent="0.3">
      <c r="A43" s="53">
        <v>1</v>
      </c>
      <c r="B43" s="56" t="s">
        <v>216</v>
      </c>
    </row>
    <row r="44" spans="1:12" x14ac:dyDescent="0.3">
      <c r="A44" s="53">
        <v>2</v>
      </c>
      <c r="B44" s="56" t="s">
        <v>215</v>
      </c>
    </row>
    <row r="45" spans="1:12" x14ac:dyDescent="0.3">
      <c r="A45" s="53">
        <v>3</v>
      </c>
      <c r="B45" s="56" t="s">
        <v>150</v>
      </c>
    </row>
    <row r="46" spans="1:12" x14ac:dyDescent="0.3">
      <c r="A46" s="53">
        <v>4</v>
      </c>
      <c r="B46" s="56" t="s">
        <v>214</v>
      </c>
    </row>
    <row r="47" spans="1:12" ht="13.5" customHeight="1" x14ac:dyDescent="0.3">
      <c r="A47" s="53">
        <v>5</v>
      </c>
      <c r="B47" s="56" t="s">
        <v>213</v>
      </c>
    </row>
    <row r="48" spans="1:12" ht="13.5" customHeight="1" x14ac:dyDescent="0.3">
      <c r="A48" s="53">
        <v>6</v>
      </c>
      <c r="B48" s="56" t="s">
        <v>148</v>
      </c>
    </row>
    <row r="49" spans="1:13" ht="13.5" customHeight="1" x14ac:dyDescent="0.3">
      <c r="A49" s="53">
        <v>7</v>
      </c>
      <c r="B49" s="79" t="s">
        <v>145</v>
      </c>
    </row>
    <row r="50" spans="1:13" ht="15.75" customHeight="1" x14ac:dyDescent="0.3"/>
    <row r="51" spans="1:13" ht="16.5" customHeight="1" x14ac:dyDescent="0.3">
      <c r="B51" s="55" t="s">
        <v>144</v>
      </c>
      <c r="C51" s="54"/>
      <c r="D51" s="56"/>
      <c r="E51" s="54"/>
      <c r="F51" s="54"/>
      <c r="G51" s="54"/>
      <c r="H51" s="54"/>
      <c r="I51" s="54"/>
      <c r="J51" s="54"/>
      <c r="K51" s="54"/>
      <c r="L51" s="54"/>
      <c r="M51" s="54"/>
    </row>
    <row r="52" spans="1:13" ht="25.5" customHeight="1" x14ac:dyDescent="0.3">
      <c r="A52" s="53" t="s">
        <v>143</v>
      </c>
      <c r="B52" s="188" t="s">
        <v>212</v>
      </c>
      <c r="C52" s="188"/>
      <c r="D52" s="188"/>
      <c r="E52" s="188"/>
      <c r="F52" s="188"/>
      <c r="G52" s="188"/>
      <c r="H52" s="188"/>
      <c r="I52" s="188"/>
      <c r="J52" s="188"/>
      <c r="K52" s="188"/>
      <c r="L52" s="188"/>
      <c r="M52" s="188"/>
    </row>
    <row r="53" spans="1:13" ht="26.25" customHeight="1" x14ac:dyDescent="0.3">
      <c r="A53" s="53" t="s">
        <v>141</v>
      </c>
      <c r="B53" s="191" t="s">
        <v>211</v>
      </c>
      <c r="C53" s="191"/>
      <c r="D53" s="191"/>
      <c r="E53" s="191"/>
      <c r="F53" s="191"/>
      <c r="G53" s="191"/>
      <c r="H53" s="191"/>
      <c r="I53" s="191"/>
      <c r="J53" s="191"/>
      <c r="K53" s="191"/>
      <c r="L53" s="191"/>
      <c r="M53" s="191"/>
    </row>
    <row r="54" spans="1:13" ht="24.75" customHeight="1" x14ac:dyDescent="0.3">
      <c r="A54" s="53" t="s">
        <v>139</v>
      </c>
      <c r="B54" s="191" t="s">
        <v>210</v>
      </c>
      <c r="C54" s="191"/>
      <c r="D54" s="191"/>
      <c r="E54" s="191"/>
      <c r="F54" s="191"/>
      <c r="G54" s="191"/>
      <c r="H54" s="191"/>
      <c r="I54" s="191"/>
      <c r="J54" s="191"/>
      <c r="K54" s="191"/>
      <c r="L54" s="191"/>
      <c r="M54" s="191"/>
    </row>
    <row r="55" spans="1:13" ht="36.75" customHeight="1" x14ac:dyDescent="0.3">
      <c r="A55" s="53" t="s">
        <v>137</v>
      </c>
      <c r="B55" s="191" t="s">
        <v>264</v>
      </c>
      <c r="C55" s="191"/>
      <c r="D55" s="191"/>
      <c r="E55" s="191"/>
      <c r="F55" s="191"/>
      <c r="G55" s="191"/>
      <c r="H55" s="191"/>
      <c r="I55" s="191"/>
      <c r="J55" s="191"/>
      <c r="K55" s="191"/>
      <c r="L55" s="191"/>
      <c r="M55" s="191"/>
    </row>
    <row r="56" spans="1:13" ht="72.75" customHeight="1" x14ac:dyDescent="0.3">
      <c r="A56" s="53" t="s">
        <v>135</v>
      </c>
      <c r="B56" s="191" t="s">
        <v>256</v>
      </c>
      <c r="C56" s="194"/>
      <c r="D56" s="194"/>
      <c r="E56" s="194"/>
      <c r="F56" s="194"/>
      <c r="G56" s="194"/>
      <c r="H56" s="194"/>
      <c r="I56" s="194"/>
      <c r="J56" s="194"/>
      <c r="K56" s="194"/>
      <c r="L56" s="194"/>
      <c r="M56" s="194"/>
    </row>
    <row r="57" spans="1:13" ht="39" customHeight="1" x14ac:dyDescent="0.3">
      <c r="A57" s="53" t="s">
        <v>133</v>
      </c>
      <c r="B57" s="188" t="s">
        <v>255</v>
      </c>
      <c r="C57" s="188"/>
      <c r="D57" s="188"/>
      <c r="E57" s="188"/>
      <c r="F57" s="188"/>
      <c r="G57" s="188"/>
      <c r="H57" s="188"/>
      <c r="I57" s="188"/>
      <c r="J57" s="188"/>
      <c r="K57" s="188"/>
      <c r="L57" s="188"/>
      <c r="M57" s="188"/>
    </row>
    <row r="58" spans="1:13" ht="37.5" customHeight="1" x14ac:dyDescent="0.3">
      <c r="A58" s="53" t="s">
        <v>131</v>
      </c>
      <c r="B58" s="191" t="s">
        <v>207</v>
      </c>
      <c r="C58" s="194"/>
      <c r="D58" s="194"/>
      <c r="E58" s="194"/>
      <c r="F58" s="194"/>
      <c r="G58" s="194"/>
      <c r="H58" s="194"/>
      <c r="I58" s="194"/>
      <c r="J58" s="194"/>
      <c r="K58" s="194"/>
      <c r="L58" s="194"/>
      <c r="M58" s="194"/>
    </row>
    <row r="59" spans="1:13" ht="63" customHeight="1" x14ac:dyDescent="0.3">
      <c r="A59" s="53" t="s">
        <v>129</v>
      </c>
      <c r="B59" s="195" t="s">
        <v>206</v>
      </c>
      <c r="C59" s="195"/>
      <c r="D59" s="195"/>
      <c r="E59" s="195"/>
      <c r="F59" s="195"/>
      <c r="G59" s="195"/>
      <c r="H59" s="195"/>
      <c r="I59" s="195"/>
      <c r="J59" s="195"/>
      <c r="K59" s="195"/>
      <c r="L59" s="195"/>
      <c r="M59" s="195"/>
    </row>
    <row r="60" spans="1:13" ht="37.5" customHeight="1" x14ac:dyDescent="0.3">
      <c r="A60" s="53" t="s">
        <v>127</v>
      </c>
      <c r="B60" s="188" t="s">
        <v>254</v>
      </c>
      <c r="C60" s="188"/>
      <c r="D60" s="188"/>
      <c r="E60" s="188"/>
      <c r="F60" s="188"/>
      <c r="G60" s="188"/>
      <c r="H60" s="188"/>
      <c r="I60" s="188"/>
      <c r="J60" s="188"/>
      <c r="K60" s="188"/>
      <c r="L60" s="188"/>
      <c r="M60" s="188"/>
    </row>
    <row r="61" spans="1:13" ht="62.25" customHeight="1" x14ac:dyDescent="0.3">
      <c r="A61" s="53" t="s">
        <v>125</v>
      </c>
      <c r="B61" s="191" t="s">
        <v>253</v>
      </c>
      <c r="C61" s="191"/>
      <c r="D61" s="191"/>
      <c r="E61" s="191"/>
      <c r="F61" s="191"/>
      <c r="G61" s="191"/>
      <c r="H61" s="191"/>
      <c r="I61" s="191"/>
      <c r="J61" s="191"/>
      <c r="K61" s="191"/>
      <c r="L61" s="191"/>
      <c r="M61" s="191"/>
    </row>
    <row r="62" spans="1:13" ht="38.25" customHeight="1" x14ac:dyDescent="0.3">
      <c r="A62" s="53" t="s">
        <v>123</v>
      </c>
      <c r="B62" s="191" t="s">
        <v>252</v>
      </c>
      <c r="C62" s="191"/>
      <c r="D62" s="191"/>
      <c r="E62" s="191"/>
      <c r="F62" s="191"/>
      <c r="G62" s="191"/>
      <c r="H62" s="191"/>
      <c r="I62" s="191"/>
      <c r="J62" s="191"/>
      <c r="K62" s="191"/>
      <c r="L62" s="191"/>
      <c r="M62" s="191"/>
    </row>
    <row r="63" spans="1:13" ht="38.25" customHeight="1" x14ac:dyDescent="0.3">
      <c r="A63" s="53" t="s">
        <v>121</v>
      </c>
      <c r="B63" s="188" t="s">
        <v>263</v>
      </c>
      <c r="C63" s="188"/>
      <c r="D63" s="188"/>
      <c r="E63" s="188"/>
      <c r="F63" s="188"/>
      <c r="G63" s="188"/>
      <c r="H63" s="188"/>
      <c r="I63" s="188"/>
      <c r="J63" s="188"/>
      <c r="K63" s="188"/>
      <c r="L63" s="188"/>
      <c r="M63" s="188"/>
    </row>
    <row r="64" spans="1:13" x14ac:dyDescent="0.3">
      <c r="A64" s="53" t="s">
        <v>119</v>
      </c>
      <c r="B64" s="188" t="s">
        <v>251</v>
      </c>
      <c r="C64" s="189"/>
      <c r="D64" s="189"/>
      <c r="E64" s="189"/>
      <c r="F64" s="189"/>
      <c r="G64" s="189"/>
      <c r="H64" s="189"/>
      <c r="I64" s="189"/>
      <c r="J64" s="189"/>
      <c r="K64" s="189"/>
      <c r="L64" s="189"/>
      <c r="M64" s="189"/>
    </row>
    <row r="65" spans="1:13" x14ac:dyDescent="0.3">
      <c r="A65" s="53" t="s">
        <v>200</v>
      </c>
      <c r="B65" s="188" t="s">
        <v>199</v>
      </c>
      <c r="C65" s="189"/>
      <c r="D65" s="189"/>
      <c r="E65" s="189"/>
      <c r="F65" s="189"/>
      <c r="G65" s="189"/>
      <c r="H65" s="189"/>
      <c r="I65" s="189"/>
      <c r="J65" s="189"/>
      <c r="K65" s="189"/>
      <c r="L65" s="189"/>
      <c r="M65" s="189"/>
    </row>
  </sheetData>
  <mergeCells count="24">
    <mergeCell ref="B64:M64"/>
    <mergeCell ref="B65:M65"/>
    <mergeCell ref="B58:M58"/>
    <mergeCell ref="B59:M59"/>
    <mergeCell ref="B60:M60"/>
    <mergeCell ref="B61:M61"/>
    <mergeCell ref="B62:M62"/>
    <mergeCell ref="B63:M63"/>
    <mergeCell ref="B56:M56"/>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s>
  <hyperlinks>
    <hyperlink ref="C2" location="INDEX" display="Energy Transport Electricity Distribution, City" xr:uid="{82B0B6CC-EAC2-49A6-ADA1-9E7F4F49BB15}"/>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C023-4F83-4128-825E-2022BEADED47}">
  <dimension ref="A1:X73"/>
  <sheetViews>
    <sheetView topLeftCell="B1" workbookViewId="0">
      <selection activeCell="N19" sqref="N19"/>
    </sheetView>
  </sheetViews>
  <sheetFormatPr defaultColWidth="9.109375" defaultRowHeight="14.4" x14ac:dyDescent="0.3"/>
  <cols>
    <col min="1" max="1" width="2.33203125" style="52" bestFit="1" customWidth="1"/>
    <col min="2" max="2" width="48.109375" style="52" customWidth="1"/>
    <col min="3" max="12" width="9.109375" style="52" customWidth="1"/>
    <col min="13" max="13" width="9.109375" style="52"/>
    <col min="14" max="14" width="32.33203125" style="52" customWidth="1"/>
    <col min="15" max="15" width="29.109375" style="52" customWidth="1"/>
    <col min="16" max="18" width="9.109375" style="52"/>
    <col min="19" max="19" width="39.44140625" style="52" customWidth="1"/>
    <col min="20" max="20" width="29.33203125" style="52" customWidth="1"/>
    <col min="21" max="24" width="9.109375" style="52"/>
    <col min="25" max="16384" width="9.109375" style="85"/>
  </cols>
  <sheetData>
    <row r="1" spans="2:12" ht="15" thickBot="1" x14ac:dyDescent="0.35">
      <c r="B1" s="75" t="s">
        <v>272</v>
      </c>
    </row>
    <row r="2" spans="2:12" ht="15" thickBot="1" x14ac:dyDescent="0.35">
      <c r="B2" s="74" t="s">
        <v>197</v>
      </c>
      <c r="C2" s="177" t="s">
        <v>271</v>
      </c>
      <c r="D2" s="192"/>
      <c r="E2" s="192"/>
      <c r="F2" s="192"/>
      <c r="G2" s="192"/>
      <c r="H2" s="192"/>
      <c r="I2" s="192"/>
      <c r="J2" s="192"/>
      <c r="K2" s="192"/>
      <c r="L2" s="193"/>
    </row>
    <row r="3" spans="2:12" x14ac:dyDescent="0.3">
      <c r="B3" s="180"/>
      <c r="C3" s="182">
        <v>2015</v>
      </c>
      <c r="D3" s="182">
        <v>2020</v>
      </c>
      <c r="E3" s="182">
        <v>2030</v>
      </c>
      <c r="F3" s="182">
        <v>2050</v>
      </c>
      <c r="G3" s="184" t="s">
        <v>195</v>
      </c>
      <c r="H3" s="185"/>
      <c r="I3" s="184" t="s">
        <v>194</v>
      </c>
      <c r="J3" s="185"/>
      <c r="K3" s="182" t="s">
        <v>193</v>
      </c>
      <c r="L3" s="182" t="s">
        <v>192</v>
      </c>
    </row>
    <row r="4" spans="2:12" ht="15" thickBot="1" x14ac:dyDescent="0.35">
      <c r="B4" s="181"/>
      <c r="C4" s="183"/>
      <c r="D4" s="183"/>
      <c r="E4" s="183"/>
      <c r="F4" s="183"/>
      <c r="G4" s="186"/>
      <c r="H4" s="187"/>
      <c r="I4" s="186"/>
      <c r="J4" s="187"/>
      <c r="K4" s="183"/>
      <c r="L4" s="183"/>
    </row>
    <row r="5" spans="2:12" ht="15" thickBot="1" x14ac:dyDescent="0.35">
      <c r="B5" s="62" t="s">
        <v>191</v>
      </c>
      <c r="C5" s="69"/>
      <c r="D5" s="69"/>
      <c r="E5" s="69"/>
      <c r="F5" s="69"/>
      <c r="G5" s="72" t="s">
        <v>190</v>
      </c>
      <c r="H5" s="72" t="s">
        <v>189</v>
      </c>
      <c r="I5" s="72" t="s">
        <v>190</v>
      </c>
      <c r="J5" s="72" t="s">
        <v>189</v>
      </c>
      <c r="K5" s="69"/>
      <c r="L5" s="68"/>
    </row>
    <row r="6" spans="2:12" ht="15" thickBot="1" x14ac:dyDescent="0.35">
      <c r="B6" s="60" t="s">
        <v>248</v>
      </c>
      <c r="C6" s="59">
        <v>3</v>
      </c>
      <c r="D6" s="59">
        <v>3</v>
      </c>
      <c r="E6" s="59">
        <v>3</v>
      </c>
      <c r="F6" s="59">
        <v>3</v>
      </c>
      <c r="G6" s="59">
        <v>2.25</v>
      </c>
      <c r="H6" s="59">
        <v>3</v>
      </c>
      <c r="I6" s="83">
        <v>2.25</v>
      </c>
      <c r="J6" s="83">
        <v>3</v>
      </c>
      <c r="K6" s="59" t="s">
        <v>143</v>
      </c>
      <c r="L6" s="59">
        <v>1</v>
      </c>
    </row>
    <row r="7" spans="2:12" ht="15" thickBot="1" x14ac:dyDescent="0.35">
      <c r="B7" s="60" t="s">
        <v>247</v>
      </c>
      <c r="C7" s="63">
        <v>1.125</v>
      </c>
      <c r="D7" s="63">
        <v>1.125</v>
      </c>
      <c r="E7" s="63">
        <v>1.125</v>
      </c>
      <c r="F7" s="63">
        <v>1.125</v>
      </c>
      <c r="G7" s="59">
        <v>0.75</v>
      </c>
      <c r="H7" s="59">
        <v>1.5</v>
      </c>
      <c r="I7" s="59">
        <v>0.75</v>
      </c>
      <c r="J7" s="59">
        <v>1.5</v>
      </c>
      <c r="K7" s="59" t="s">
        <v>141</v>
      </c>
      <c r="L7" s="59">
        <v>2</v>
      </c>
    </row>
    <row r="8" spans="2:12" ht="15" thickBot="1" x14ac:dyDescent="0.35">
      <c r="B8" s="60" t="s">
        <v>246</v>
      </c>
      <c r="C8" s="59" t="s">
        <v>156</v>
      </c>
      <c r="D8" s="59" t="s">
        <v>156</v>
      </c>
      <c r="E8" s="59" t="s">
        <v>156</v>
      </c>
      <c r="F8" s="59" t="s">
        <v>156</v>
      </c>
      <c r="G8" s="59" t="s">
        <v>156</v>
      </c>
      <c r="H8" s="59" t="s">
        <v>156</v>
      </c>
      <c r="I8" s="59" t="s">
        <v>156</v>
      </c>
      <c r="J8" s="59" t="s">
        <v>156</v>
      </c>
      <c r="K8" s="59" t="s">
        <v>200</v>
      </c>
      <c r="L8" s="59">
        <v>3</v>
      </c>
    </row>
    <row r="9" spans="2:12" ht="15" thickBot="1" x14ac:dyDescent="0.35">
      <c r="B9" s="60" t="s">
        <v>179</v>
      </c>
      <c r="C9" s="59">
        <v>40</v>
      </c>
      <c r="D9" s="59">
        <v>40</v>
      </c>
      <c r="E9" s="59">
        <v>40</v>
      </c>
      <c r="F9" s="59">
        <v>40</v>
      </c>
      <c r="G9" s="59">
        <v>35</v>
      </c>
      <c r="H9" s="59">
        <v>40</v>
      </c>
      <c r="I9" s="59">
        <v>35</v>
      </c>
      <c r="J9" s="59">
        <v>50</v>
      </c>
      <c r="K9" s="59" t="s">
        <v>139</v>
      </c>
      <c r="L9" s="59" t="s">
        <v>245</v>
      </c>
    </row>
    <row r="10" spans="2:12" ht="15" thickBot="1" x14ac:dyDescent="0.35">
      <c r="B10" s="60" t="s">
        <v>244</v>
      </c>
      <c r="C10" s="64">
        <v>0.48</v>
      </c>
      <c r="D10" s="64">
        <v>0.48</v>
      </c>
      <c r="E10" s="64">
        <v>0.48</v>
      </c>
      <c r="F10" s="64">
        <v>0.48</v>
      </c>
      <c r="G10" s="64">
        <v>0.48</v>
      </c>
      <c r="H10" s="64">
        <v>0.48</v>
      </c>
      <c r="I10" s="87">
        <v>0.432</v>
      </c>
      <c r="J10" s="87">
        <v>0.55199999999999994</v>
      </c>
      <c r="K10" s="59" t="s">
        <v>137</v>
      </c>
      <c r="L10" s="59" t="s">
        <v>243</v>
      </c>
    </row>
    <row r="11" spans="2:12" ht="15" thickBot="1" x14ac:dyDescent="0.35">
      <c r="B11" s="80" t="s">
        <v>242</v>
      </c>
      <c r="C11" s="64">
        <v>0.48</v>
      </c>
      <c r="D11" s="64">
        <v>0.48</v>
      </c>
      <c r="E11" s="64">
        <v>0.48</v>
      </c>
      <c r="F11" s="64">
        <v>0.48</v>
      </c>
      <c r="G11" s="64">
        <v>0.48</v>
      </c>
      <c r="H11" s="64">
        <v>0.48</v>
      </c>
      <c r="I11" s="87">
        <v>0.432</v>
      </c>
      <c r="J11" s="87">
        <v>0.55199999999999994</v>
      </c>
      <c r="K11" s="59" t="s">
        <v>137</v>
      </c>
      <c r="L11" s="59"/>
    </row>
    <row r="12" spans="2:12" ht="15" thickBot="1" x14ac:dyDescent="0.35">
      <c r="B12" s="80" t="s">
        <v>241</v>
      </c>
      <c r="C12" s="64">
        <v>0.48</v>
      </c>
      <c r="D12" s="64">
        <v>0.48</v>
      </c>
      <c r="E12" s="64">
        <v>0.48</v>
      </c>
      <c r="F12" s="64">
        <v>0.48</v>
      </c>
      <c r="G12" s="64">
        <v>0.48</v>
      </c>
      <c r="H12" s="64">
        <v>0.48</v>
      </c>
      <c r="I12" s="87">
        <v>0.432</v>
      </c>
      <c r="J12" s="87">
        <v>0.55199999999999994</v>
      </c>
      <c r="K12" s="59" t="s">
        <v>137</v>
      </c>
      <c r="L12" s="59"/>
    </row>
    <row r="13" spans="2:12" ht="15" thickBot="1" x14ac:dyDescent="0.35">
      <c r="B13" s="80" t="s">
        <v>177</v>
      </c>
      <c r="C13" s="83">
        <v>1</v>
      </c>
      <c r="D13" s="83">
        <v>1</v>
      </c>
      <c r="E13" s="83">
        <v>1</v>
      </c>
      <c r="F13" s="83">
        <v>1</v>
      </c>
      <c r="G13" s="59">
        <v>1</v>
      </c>
      <c r="H13" s="59">
        <v>2</v>
      </c>
      <c r="I13" s="59">
        <v>1</v>
      </c>
      <c r="J13" s="59">
        <v>2</v>
      </c>
      <c r="K13" s="59"/>
      <c r="L13" s="59">
        <v>5</v>
      </c>
    </row>
    <row r="14" spans="2:12" ht="15" thickBot="1" x14ac:dyDescent="0.35">
      <c r="B14" s="60"/>
      <c r="C14" s="59"/>
      <c r="D14" s="59"/>
      <c r="E14" s="59"/>
      <c r="F14" s="59"/>
      <c r="G14" s="59"/>
      <c r="H14" s="59"/>
      <c r="I14" s="59"/>
      <c r="J14" s="59"/>
      <c r="K14" s="59"/>
      <c r="L14" s="59"/>
    </row>
    <row r="15" spans="2:12" ht="15" thickBot="1" x14ac:dyDescent="0.35">
      <c r="B15" s="62" t="s">
        <v>176</v>
      </c>
      <c r="C15" s="69"/>
      <c r="D15" s="69"/>
      <c r="E15" s="69"/>
      <c r="F15" s="69"/>
      <c r="G15" s="69"/>
      <c r="H15" s="69"/>
      <c r="I15" s="69"/>
      <c r="J15" s="69"/>
      <c r="K15" s="69"/>
      <c r="L15" s="68"/>
    </row>
    <row r="16" spans="2:12" ht="15" thickBot="1" x14ac:dyDescent="0.35">
      <c r="B16" s="80" t="s">
        <v>270</v>
      </c>
      <c r="C16" s="59">
        <v>173</v>
      </c>
      <c r="D16" s="59">
        <v>173</v>
      </c>
      <c r="E16" s="59">
        <v>173</v>
      </c>
      <c r="F16" s="59">
        <v>173</v>
      </c>
      <c r="G16" s="65">
        <v>155.70000000000002</v>
      </c>
      <c r="H16" s="59">
        <v>173</v>
      </c>
      <c r="I16" s="65">
        <v>131.72220000000002</v>
      </c>
      <c r="J16" s="65">
        <v>205.87</v>
      </c>
      <c r="K16" s="59" t="s">
        <v>239</v>
      </c>
      <c r="L16" s="59" t="s">
        <v>238</v>
      </c>
    </row>
    <row r="17" spans="2:15" ht="15" thickBot="1" x14ac:dyDescent="0.35">
      <c r="B17" s="80" t="s">
        <v>237</v>
      </c>
      <c r="C17" s="65">
        <v>524</v>
      </c>
      <c r="D17" s="65">
        <v>524</v>
      </c>
      <c r="E17" s="65">
        <v>524</v>
      </c>
      <c r="F17" s="65">
        <v>524</v>
      </c>
      <c r="G17" s="65">
        <v>471.6</v>
      </c>
      <c r="H17" s="65">
        <v>524</v>
      </c>
      <c r="I17" s="65">
        <v>424.44000000000005</v>
      </c>
      <c r="J17" s="65">
        <v>524</v>
      </c>
      <c r="K17" s="59" t="s">
        <v>233</v>
      </c>
      <c r="L17" s="59">
        <v>6</v>
      </c>
      <c r="M17" s="82"/>
      <c r="N17" s="81"/>
      <c r="O17" s="89"/>
    </row>
    <row r="18" spans="2:15" ht="15" thickBot="1" x14ac:dyDescent="0.35">
      <c r="B18" s="80" t="s">
        <v>236</v>
      </c>
      <c r="C18" s="65">
        <v>1412</v>
      </c>
      <c r="D18" s="65">
        <v>1412</v>
      </c>
      <c r="E18" s="65">
        <v>1412</v>
      </c>
      <c r="F18" s="65">
        <v>1412</v>
      </c>
      <c r="G18" s="65">
        <v>1270.8</v>
      </c>
      <c r="H18" s="65">
        <v>1412</v>
      </c>
      <c r="I18" s="65">
        <v>1143.72</v>
      </c>
      <c r="J18" s="65">
        <v>1412</v>
      </c>
      <c r="K18" s="59" t="s">
        <v>233</v>
      </c>
      <c r="L18" s="59">
        <v>6</v>
      </c>
      <c r="M18" s="81"/>
      <c r="N18" s="81"/>
      <c r="O18" s="89"/>
    </row>
    <row r="19" spans="2:15" ht="15" thickBot="1" x14ac:dyDescent="0.35">
      <c r="B19" s="80" t="s">
        <v>235</v>
      </c>
      <c r="C19" s="65">
        <v>1583</v>
      </c>
      <c r="D19" s="65">
        <v>1583</v>
      </c>
      <c r="E19" s="65">
        <v>1583</v>
      </c>
      <c r="F19" s="65">
        <v>1583</v>
      </c>
      <c r="G19" s="65">
        <v>1424.7</v>
      </c>
      <c r="H19" s="65">
        <v>1583</v>
      </c>
      <c r="I19" s="65">
        <v>1282.23</v>
      </c>
      <c r="J19" s="65">
        <v>1583</v>
      </c>
      <c r="K19" s="59" t="s">
        <v>233</v>
      </c>
      <c r="L19" s="59">
        <v>6</v>
      </c>
      <c r="M19" s="81"/>
      <c r="N19" s="81"/>
      <c r="O19" s="89"/>
    </row>
    <row r="20" spans="2:15" ht="15" thickBot="1" x14ac:dyDescent="0.35">
      <c r="B20" s="80" t="s">
        <v>258</v>
      </c>
      <c r="C20" s="65">
        <v>3745</v>
      </c>
      <c r="D20" s="65">
        <v>3745</v>
      </c>
      <c r="E20" s="65">
        <v>3745</v>
      </c>
      <c r="F20" s="65">
        <v>3745</v>
      </c>
      <c r="G20" s="65">
        <v>3370.5</v>
      </c>
      <c r="H20" s="65">
        <v>3745</v>
      </c>
      <c r="I20" s="65">
        <v>3033.4500000000003</v>
      </c>
      <c r="J20" s="65">
        <v>3745</v>
      </c>
      <c r="K20" s="59" t="s">
        <v>233</v>
      </c>
      <c r="L20" s="59">
        <v>6</v>
      </c>
      <c r="M20" s="81"/>
      <c r="N20" s="81"/>
      <c r="O20" s="89"/>
    </row>
    <row r="21" spans="2:15" ht="15" thickBot="1" x14ac:dyDescent="0.35">
      <c r="B21" s="80" t="s">
        <v>232</v>
      </c>
      <c r="C21" s="59" t="s">
        <v>156</v>
      </c>
      <c r="D21" s="59" t="s">
        <v>156</v>
      </c>
      <c r="E21" s="59" t="s">
        <v>156</v>
      </c>
      <c r="F21" s="59" t="s">
        <v>156</v>
      </c>
      <c r="G21" s="59" t="s">
        <v>156</v>
      </c>
      <c r="H21" s="59" t="s">
        <v>156</v>
      </c>
      <c r="I21" s="59" t="s">
        <v>156</v>
      </c>
      <c r="J21" s="59" t="s">
        <v>156</v>
      </c>
      <c r="K21" s="59" t="s">
        <v>225</v>
      </c>
      <c r="L21" s="59"/>
    </row>
    <row r="22" spans="2:15" ht="15" thickBot="1" x14ac:dyDescent="0.35">
      <c r="B22" s="80" t="s">
        <v>231</v>
      </c>
      <c r="C22" s="59" t="s">
        <v>156</v>
      </c>
      <c r="D22" s="59" t="s">
        <v>156</v>
      </c>
      <c r="E22" s="59" t="s">
        <v>156</v>
      </c>
      <c r="F22" s="59" t="s">
        <v>156</v>
      </c>
      <c r="G22" s="59" t="s">
        <v>156</v>
      </c>
      <c r="H22" s="59" t="s">
        <v>156</v>
      </c>
      <c r="I22" s="59" t="s">
        <v>156</v>
      </c>
      <c r="J22" s="59" t="s">
        <v>156</v>
      </c>
      <c r="K22" s="59" t="s">
        <v>225</v>
      </c>
      <c r="L22" s="59"/>
    </row>
    <row r="23" spans="2:15" ht="15" thickBot="1" x14ac:dyDescent="0.35">
      <c r="B23" s="80" t="s">
        <v>230</v>
      </c>
      <c r="C23" s="59">
        <v>36</v>
      </c>
      <c r="D23" s="59">
        <v>36</v>
      </c>
      <c r="E23" s="59">
        <v>36</v>
      </c>
      <c r="F23" s="59">
        <v>36</v>
      </c>
      <c r="G23" s="59">
        <v>32</v>
      </c>
      <c r="H23" s="59">
        <v>36</v>
      </c>
      <c r="I23" s="65">
        <v>28.8</v>
      </c>
      <c r="J23" s="59">
        <v>36</v>
      </c>
      <c r="K23" s="59" t="s">
        <v>225</v>
      </c>
      <c r="L23" s="59">
        <v>6</v>
      </c>
      <c r="M23" s="85"/>
    </row>
    <row r="24" spans="2:15" ht="15" thickBot="1" x14ac:dyDescent="0.35">
      <c r="B24" s="80" t="s">
        <v>229</v>
      </c>
      <c r="C24" s="59">
        <v>36</v>
      </c>
      <c r="D24" s="59">
        <v>36</v>
      </c>
      <c r="E24" s="59">
        <v>36</v>
      </c>
      <c r="F24" s="59">
        <v>36</v>
      </c>
      <c r="G24" s="59">
        <v>32</v>
      </c>
      <c r="H24" s="59">
        <v>36</v>
      </c>
      <c r="I24" s="65">
        <v>28.8</v>
      </c>
      <c r="J24" s="59">
        <v>36</v>
      </c>
      <c r="K24" s="59" t="s">
        <v>225</v>
      </c>
      <c r="L24" s="59">
        <v>6</v>
      </c>
      <c r="M24" s="85"/>
    </row>
    <row r="25" spans="2:15" ht="15" thickBot="1" x14ac:dyDescent="0.35">
      <c r="B25" s="80" t="s">
        <v>228</v>
      </c>
      <c r="C25" s="59">
        <v>41</v>
      </c>
      <c r="D25" s="59">
        <v>41</v>
      </c>
      <c r="E25" s="59">
        <v>41</v>
      </c>
      <c r="F25" s="59">
        <v>41</v>
      </c>
      <c r="G25" s="59">
        <v>37</v>
      </c>
      <c r="H25" s="59">
        <v>41</v>
      </c>
      <c r="I25" s="65">
        <v>33.300000000000004</v>
      </c>
      <c r="J25" s="59">
        <v>41</v>
      </c>
      <c r="K25" s="59" t="s">
        <v>225</v>
      </c>
      <c r="L25" s="59">
        <v>6</v>
      </c>
    </row>
    <row r="26" spans="2:15" ht="15" thickBot="1" x14ac:dyDescent="0.35">
      <c r="B26" s="80" t="s">
        <v>227</v>
      </c>
      <c r="C26" s="59">
        <v>88</v>
      </c>
      <c r="D26" s="59">
        <v>88</v>
      </c>
      <c r="E26" s="59">
        <v>88</v>
      </c>
      <c r="F26" s="59">
        <v>88</v>
      </c>
      <c r="G26" s="59">
        <v>85</v>
      </c>
      <c r="H26" s="59">
        <v>88</v>
      </c>
      <c r="I26" s="65">
        <v>76.5</v>
      </c>
      <c r="J26" s="59">
        <v>88</v>
      </c>
      <c r="K26" s="59" t="s">
        <v>225</v>
      </c>
      <c r="L26" s="59">
        <v>6</v>
      </c>
      <c r="M26" s="88"/>
    </row>
    <row r="27" spans="2:15" ht="15" thickBot="1" x14ac:dyDescent="0.35">
      <c r="B27" s="80" t="s">
        <v>226</v>
      </c>
      <c r="C27" s="59" t="s">
        <v>156</v>
      </c>
      <c r="D27" s="59" t="s">
        <v>156</v>
      </c>
      <c r="E27" s="59" t="s">
        <v>156</v>
      </c>
      <c r="F27" s="59" t="s">
        <v>156</v>
      </c>
      <c r="G27" s="59" t="s">
        <v>156</v>
      </c>
      <c r="H27" s="59" t="s">
        <v>156</v>
      </c>
      <c r="I27" s="59" t="s">
        <v>156</v>
      </c>
      <c r="J27" s="59" t="s">
        <v>156</v>
      </c>
      <c r="K27" s="59" t="s">
        <v>225</v>
      </c>
      <c r="L27" s="59"/>
    </row>
    <row r="28" spans="2:15" ht="15" thickBot="1" x14ac:dyDescent="0.35">
      <c r="B28" s="80" t="s">
        <v>224</v>
      </c>
      <c r="C28" s="59">
        <v>11500</v>
      </c>
      <c r="D28" s="59">
        <v>11500</v>
      </c>
      <c r="E28" s="59">
        <v>11500</v>
      </c>
      <c r="F28" s="59">
        <v>11500</v>
      </c>
      <c r="G28" s="65">
        <v>10994</v>
      </c>
      <c r="H28" s="59">
        <v>11500</v>
      </c>
      <c r="I28" s="65">
        <v>10510.263999999999</v>
      </c>
      <c r="J28" s="59">
        <v>11500</v>
      </c>
      <c r="K28" s="59" t="s">
        <v>223</v>
      </c>
      <c r="L28" s="59">
        <v>6</v>
      </c>
    </row>
    <row r="29" spans="2:15" ht="15" thickBot="1" x14ac:dyDescent="0.35">
      <c r="B29" s="80" t="s">
        <v>164</v>
      </c>
      <c r="C29" s="59">
        <v>38000</v>
      </c>
      <c r="D29" s="59">
        <v>38000</v>
      </c>
      <c r="E29" s="59">
        <v>38000</v>
      </c>
      <c r="F29" s="59">
        <v>38000</v>
      </c>
      <c r="G29" s="59">
        <v>36328</v>
      </c>
      <c r="H29" s="59">
        <v>38000</v>
      </c>
      <c r="I29" s="65">
        <v>34729.567999999999</v>
      </c>
      <c r="J29" s="59">
        <v>38000</v>
      </c>
      <c r="K29" s="59" t="s">
        <v>125</v>
      </c>
      <c r="L29" s="59">
        <v>6</v>
      </c>
    </row>
    <row r="30" spans="2:15" ht="15" thickBot="1" x14ac:dyDescent="0.35">
      <c r="B30" s="80" t="s">
        <v>162</v>
      </c>
      <c r="C30" s="59" t="s">
        <v>156</v>
      </c>
      <c r="D30" s="59" t="s">
        <v>156</v>
      </c>
      <c r="E30" s="59" t="s">
        <v>156</v>
      </c>
      <c r="F30" s="59" t="s">
        <v>156</v>
      </c>
      <c r="G30" s="59" t="s">
        <v>156</v>
      </c>
      <c r="H30" s="59" t="s">
        <v>156</v>
      </c>
      <c r="I30" s="59" t="s">
        <v>156</v>
      </c>
      <c r="J30" s="59" t="s">
        <v>156</v>
      </c>
      <c r="K30" s="59"/>
      <c r="L30" s="59"/>
      <c r="M30" s="81"/>
    </row>
    <row r="31" spans="2:15" ht="15" thickBot="1" x14ac:dyDescent="0.35">
      <c r="B31" s="80" t="s">
        <v>222</v>
      </c>
      <c r="C31" s="64">
        <v>0.8</v>
      </c>
      <c r="D31" s="64">
        <v>0.8</v>
      </c>
      <c r="E31" s="64">
        <v>0.8</v>
      </c>
      <c r="F31" s="64">
        <v>0.8</v>
      </c>
      <c r="G31" s="64">
        <v>0.78</v>
      </c>
      <c r="H31" s="64">
        <v>0.8</v>
      </c>
      <c r="I31" s="64">
        <v>0.78</v>
      </c>
      <c r="J31" s="64">
        <v>0.8</v>
      </c>
      <c r="K31" s="59" t="s">
        <v>123</v>
      </c>
      <c r="L31" s="59">
        <v>6</v>
      </c>
    </row>
    <row r="32" spans="2:15" ht="15" thickBot="1" x14ac:dyDescent="0.35">
      <c r="B32" s="80" t="s">
        <v>221</v>
      </c>
      <c r="C32" s="64">
        <v>0.2</v>
      </c>
      <c r="D32" s="64">
        <v>0.2</v>
      </c>
      <c r="E32" s="64">
        <v>0.2</v>
      </c>
      <c r="F32" s="64">
        <v>0.2</v>
      </c>
      <c r="G32" s="64">
        <v>0.22</v>
      </c>
      <c r="H32" s="64">
        <v>0.2</v>
      </c>
      <c r="I32" s="64">
        <v>0.22</v>
      </c>
      <c r="J32" s="64">
        <v>0.2</v>
      </c>
      <c r="K32" s="59" t="s">
        <v>123</v>
      </c>
      <c r="L32" s="59">
        <v>6</v>
      </c>
    </row>
    <row r="33" spans="1:12" ht="15" thickBot="1" x14ac:dyDescent="0.35">
      <c r="B33" s="80" t="s">
        <v>220</v>
      </c>
      <c r="C33" s="64">
        <v>0.14000000000000001</v>
      </c>
      <c r="D33" s="64">
        <v>0.14000000000000001</v>
      </c>
      <c r="E33" s="64">
        <v>0.14000000000000001</v>
      </c>
      <c r="F33" s="64">
        <v>0.14000000000000001</v>
      </c>
      <c r="G33" s="64">
        <v>0.13</v>
      </c>
      <c r="H33" s="64">
        <v>0.14000000000000001</v>
      </c>
      <c r="I33" s="64">
        <v>0.13</v>
      </c>
      <c r="J33" s="64">
        <v>0.14000000000000001</v>
      </c>
      <c r="K33" s="59" t="s">
        <v>123</v>
      </c>
      <c r="L33" s="59">
        <v>6</v>
      </c>
    </row>
    <row r="34" spans="1:12" ht="15" thickBot="1" x14ac:dyDescent="0.35">
      <c r="B34" s="80" t="s">
        <v>219</v>
      </c>
      <c r="C34" s="64">
        <v>0.86</v>
      </c>
      <c r="D34" s="64">
        <v>0.86</v>
      </c>
      <c r="E34" s="64">
        <v>0.86</v>
      </c>
      <c r="F34" s="64">
        <v>0.86</v>
      </c>
      <c r="G34" s="64">
        <v>0.87</v>
      </c>
      <c r="H34" s="64">
        <v>0.86</v>
      </c>
      <c r="I34" s="64">
        <v>0.87</v>
      </c>
      <c r="J34" s="64">
        <v>0.86</v>
      </c>
      <c r="K34" s="59" t="s">
        <v>123</v>
      </c>
      <c r="L34" s="59">
        <v>6</v>
      </c>
    </row>
    <row r="35" spans="1:12" ht="15" thickBot="1" x14ac:dyDescent="0.35">
      <c r="B35" s="80" t="s">
        <v>218</v>
      </c>
      <c r="C35" s="65">
        <v>1358.2776315789476</v>
      </c>
      <c r="D35" s="65">
        <v>1339.2617447368423</v>
      </c>
      <c r="E35" s="65">
        <v>1320.5120803105265</v>
      </c>
      <c r="F35" s="65">
        <v>1302.024911186179</v>
      </c>
      <c r="G35" s="65">
        <v>1333.8286342105266</v>
      </c>
      <c r="H35" s="65">
        <v>1358.2776315789476</v>
      </c>
      <c r="I35" s="65">
        <v>1286.2429638564317</v>
      </c>
      <c r="J35" s="65">
        <v>1358.2776315789476</v>
      </c>
      <c r="K35" s="59" t="s">
        <v>121</v>
      </c>
      <c r="L35" s="59">
        <v>7</v>
      </c>
    </row>
    <row r="36" spans="1:12" ht="15" thickBot="1" x14ac:dyDescent="0.35">
      <c r="B36" s="80" t="s">
        <v>217</v>
      </c>
      <c r="C36" s="59" t="s">
        <v>156</v>
      </c>
      <c r="D36" s="59" t="s">
        <v>156</v>
      </c>
      <c r="E36" s="59" t="s">
        <v>156</v>
      </c>
      <c r="F36" s="59" t="s">
        <v>156</v>
      </c>
      <c r="G36" s="59" t="s">
        <v>156</v>
      </c>
      <c r="H36" s="59" t="s">
        <v>156</v>
      </c>
      <c r="I36" s="59" t="s">
        <v>156</v>
      </c>
      <c r="J36" s="59" t="s">
        <v>156</v>
      </c>
      <c r="K36" s="59" t="s">
        <v>119</v>
      </c>
      <c r="L36" s="59"/>
    </row>
    <row r="37" spans="1:12" ht="15" thickBot="1" x14ac:dyDescent="0.35">
      <c r="B37" s="61"/>
      <c r="C37" s="59"/>
      <c r="D37" s="59"/>
      <c r="E37" s="59"/>
      <c r="F37" s="59"/>
      <c r="G37" s="59"/>
      <c r="H37" s="59"/>
      <c r="I37" s="59"/>
      <c r="J37" s="59"/>
      <c r="K37" s="59"/>
      <c r="L37" s="59"/>
    </row>
    <row r="38" spans="1:12" ht="15" thickBot="1" x14ac:dyDescent="0.35">
      <c r="B38" s="62" t="s">
        <v>155</v>
      </c>
      <c r="C38" s="59"/>
      <c r="D38" s="59"/>
      <c r="E38" s="59"/>
      <c r="F38" s="59"/>
      <c r="G38" s="59"/>
      <c r="H38" s="59"/>
      <c r="I38" s="59"/>
      <c r="J38" s="59"/>
      <c r="K38" s="59"/>
      <c r="L38" s="59"/>
    </row>
    <row r="39" spans="1:12" ht="15" thickBot="1" x14ac:dyDescent="0.35">
      <c r="B39" s="61"/>
      <c r="C39" s="59"/>
      <c r="D39" s="59"/>
      <c r="E39" s="59"/>
      <c r="F39" s="59"/>
      <c r="G39" s="59"/>
      <c r="H39" s="59"/>
      <c r="I39" s="59"/>
      <c r="J39" s="59"/>
      <c r="K39" s="59"/>
      <c r="L39" s="59"/>
    </row>
    <row r="40" spans="1:12" ht="15" thickBot="1" x14ac:dyDescent="0.35">
      <c r="B40" s="60"/>
      <c r="C40" s="59"/>
      <c r="D40" s="59"/>
      <c r="E40" s="59"/>
      <c r="F40" s="59"/>
      <c r="G40" s="59"/>
      <c r="H40" s="59"/>
      <c r="I40" s="59"/>
      <c r="J40" s="59"/>
      <c r="K40" s="59"/>
      <c r="L40" s="59"/>
    </row>
    <row r="41" spans="1:12" x14ac:dyDescent="0.3">
      <c r="B41" s="58"/>
      <c r="C41" s="57"/>
      <c r="D41" s="57"/>
      <c r="E41" s="57"/>
      <c r="F41" s="57"/>
      <c r="G41" s="57"/>
      <c r="H41" s="57"/>
      <c r="I41" s="57"/>
      <c r="J41" s="57"/>
      <c r="K41" s="57"/>
      <c r="L41" s="57"/>
    </row>
    <row r="42" spans="1:12" x14ac:dyDescent="0.3">
      <c r="B42" s="55" t="s">
        <v>154</v>
      </c>
    </row>
    <row r="43" spans="1:12" x14ac:dyDescent="0.3">
      <c r="A43" s="53">
        <v>1</v>
      </c>
      <c r="B43" s="56" t="s">
        <v>216</v>
      </c>
    </row>
    <row r="44" spans="1:12" x14ac:dyDescent="0.3">
      <c r="A44" s="53">
        <v>2</v>
      </c>
      <c r="B44" s="56" t="s">
        <v>215</v>
      </c>
    </row>
    <row r="45" spans="1:12" x14ac:dyDescent="0.3">
      <c r="A45" s="53">
        <v>3</v>
      </c>
      <c r="B45" s="56" t="s">
        <v>150</v>
      </c>
    </row>
    <row r="46" spans="1:12" x14ac:dyDescent="0.3">
      <c r="A46" s="53">
        <v>4</v>
      </c>
      <c r="B46" s="56" t="s">
        <v>214</v>
      </c>
    </row>
    <row r="47" spans="1:12" x14ac:dyDescent="0.3">
      <c r="A47" s="53">
        <v>5</v>
      </c>
      <c r="B47" s="56" t="s">
        <v>213</v>
      </c>
    </row>
    <row r="48" spans="1:12" x14ac:dyDescent="0.3">
      <c r="A48" s="53">
        <v>6</v>
      </c>
      <c r="B48" s="56" t="s">
        <v>148</v>
      </c>
    </row>
    <row r="49" spans="1:13" x14ac:dyDescent="0.3">
      <c r="A49" s="53">
        <v>7</v>
      </c>
      <c r="B49" s="56" t="s">
        <v>145</v>
      </c>
    </row>
    <row r="51" spans="1:13" x14ac:dyDescent="0.3">
      <c r="B51" s="55" t="s">
        <v>144</v>
      </c>
      <c r="C51" s="54"/>
      <c r="D51" s="56"/>
      <c r="E51" s="54"/>
      <c r="F51" s="54"/>
      <c r="G51" s="54"/>
      <c r="H51" s="54"/>
      <c r="I51" s="54"/>
      <c r="J51" s="54"/>
      <c r="K51" s="54"/>
      <c r="L51" s="54"/>
      <c r="M51" s="54"/>
    </row>
    <row r="52" spans="1:13" ht="24.75" customHeight="1" x14ac:dyDescent="0.3">
      <c r="A52" s="53" t="s">
        <v>143</v>
      </c>
      <c r="B52" s="188" t="s">
        <v>212</v>
      </c>
      <c r="C52" s="188"/>
      <c r="D52" s="188"/>
      <c r="E52" s="188"/>
      <c r="F52" s="188"/>
      <c r="G52" s="188"/>
      <c r="H52" s="188"/>
      <c r="I52" s="188"/>
      <c r="J52" s="188"/>
      <c r="K52" s="188"/>
      <c r="L52" s="188"/>
      <c r="M52" s="188"/>
    </row>
    <row r="53" spans="1:13" ht="24.75" customHeight="1" x14ac:dyDescent="0.3">
      <c r="A53" s="53" t="s">
        <v>141</v>
      </c>
      <c r="B53" s="191" t="s">
        <v>211</v>
      </c>
      <c r="C53" s="191"/>
      <c r="D53" s="191"/>
      <c r="E53" s="191"/>
      <c r="F53" s="191"/>
      <c r="G53" s="191"/>
      <c r="H53" s="191"/>
      <c r="I53" s="191"/>
      <c r="J53" s="191"/>
      <c r="K53" s="191"/>
      <c r="L53" s="191"/>
      <c r="M53" s="191"/>
    </row>
    <row r="54" spans="1:13" ht="24" customHeight="1" x14ac:dyDescent="0.3">
      <c r="A54" s="53" t="s">
        <v>139</v>
      </c>
      <c r="B54" s="191" t="s">
        <v>210</v>
      </c>
      <c r="C54" s="191"/>
      <c r="D54" s="191"/>
      <c r="E54" s="191"/>
      <c r="F54" s="191"/>
      <c r="G54" s="191"/>
      <c r="H54" s="191"/>
      <c r="I54" s="191"/>
      <c r="J54" s="191"/>
      <c r="K54" s="191"/>
      <c r="L54" s="191"/>
      <c r="M54" s="191"/>
    </row>
    <row r="55" spans="1:13" ht="35.25" customHeight="1" x14ac:dyDescent="0.3">
      <c r="A55" s="53" t="s">
        <v>137</v>
      </c>
      <c r="B55" s="191" t="s">
        <v>269</v>
      </c>
      <c r="C55" s="191"/>
      <c r="D55" s="191"/>
      <c r="E55" s="191"/>
      <c r="F55" s="191"/>
      <c r="G55" s="191"/>
      <c r="H55" s="191"/>
      <c r="I55" s="191"/>
      <c r="J55" s="191"/>
      <c r="K55" s="191"/>
      <c r="L55" s="191"/>
      <c r="M55" s="191"/>
    </row>
    <row r="56" spans="1:13" ht="73.5" customHeight="1" x14ac:dyDescent="0.3">
      <c r="A56" s="53" t="s">
        <v>135</v>
      </c>
      <c r="B56" s="191" t="s">
        <v>208</v>
      </c>
      <c r="C56" s="194"/>
      <c r="D56" s="194"/>
      <c r="E56" s="194"/>
      <c r="F56" s="194"/>
      <c r="G56" s="194"/>
      <c r="H56" s="194"/>
      <c r="I56" s="194"/>
      <c r="J56" s="194"/>
      <c r="K56" s="194"/>
      <c r="L56" s="194"/>
      <c r="M56" s="194"/>
    </row>
    <row r="57" spans="1:13" ht="38.25" customHeight="1" x14ac:dyDescent="0.3">
      <c r="A57" s="53" t="s">
        <v>133</v>
      </c>
      <c r="B57" s="188" t="s">
        <v>130</v>
      </c>
      <c r="C57" s="188"/>
      <c r="D57" s="188"/>
      <c r="E57" s="188"/>
      <c r="F57" s="188"/>
      <c r="G57" s="188"/>
      <c r="H57" s="188"/>
      <c r="I57" s="188"/>
      <c r="J57" s="188"/>
      <c r="K57" s="188"/>
      <c r="L57" s="188"/>
      <c r="M57" s="188"/>
    </row>
    <row r="58" spans="1:13" ht="38.25" customHeight="1" x14ac:dyDescent="0.3">
      <c r="A58" s="53" t="s">
        <v>131</v>
      </c>
      <c r="B58" s="191" t="s">
        <v>207</v>
      </c>
      <c r="C58" s="194"/>
      <c r="D58" s="194"/>
      <c r="E58" s="194"/>
      <c r="F58" s="194"/>
      <c r="G58" s="194"/>
      <c r="H58" s="194"/>
      <c r="I58" s="194"/>
      <c r="J58" s="194"/>
      <c r="K58" s="194"/>
      <c r="L58" s="194"/>
      <c r="M58" s="194"/>
    </row>
    <row r="59" spans="1:13" ht="62.25" customHeight="1" x14ac:dyDescent="0.3">
      <c r="A59" s="53" t="s">
        <v>129</v>
      </c>
      <c r="B59" s="195" t="s">
        <v>206</v>
      </c>
      <c r="C59" s="195"/>
      <c r="D59" s="195"/>
      <c r="E59" s="195"/>
      <c r="F59" s="195"/>
      <c r="G59" s="195"/>
      <c r="H59" s="195"/>
      <c r="I59" s="195"/>
      <c r="J59" s="195"/>
      <c r="K59" s="195"/>
      <c r="L59" s="195"/>
      <c r="M59" s="195"/>
    </row>
    <row r="60" spans="1:13" ht="38.25" customHeight="1" x14ac:dyDescent="0.3">
      <c r="A60" s="53" t="s">
        <v>127</v>
      </c>
      <c r="B60" s="188" t="s">
        <v>254</v>
      </c>
      <c r="C60" s="188"/>
      <c r="D60" s="188"/>
      <c r="E60" s="188"/>
      <c r="F60" s="188"/>
      <c r="G60" s="188"/>
      <c r="H60" s="188"/>
      <c r="I60" s="188"/>
      <c r="J60" s="188"/>
      <c r="K60" s="188"/>
      <c r="L60" s="188"/>
      <c r="M60" s="188"/>
    </row>
    <row r="61" spans="1:13" ht="63" customHeight="1" x14ac:dyDescent="0.3">
      <c r="A61" s="53" t="s">
        <v>125</v>
      </c>
      <c r="B61" s="191" t="s">
        <v>253</v>
      </c>
      <c r="C61" s="191"/>
      <c r="D61" s="191"/>
      <c r="E61" s="191"/>
      <c r="F61" s="191"/>
      <c r="G61" s="191"/>
      <c r="H61" s="191"/>
      <c r="I61" s="191"/>
      <c r="J61" s="191"/>
      <c r="K61" s="191"/>
      <c r="L61" s="191"/>
      <c r="M61" s="191"/>
    </row>
    <row r="62" spans="1:13" ht="39" customHeight="1" x14ac:dyDescent="0.3">
      <c r="A62" s="53" t="s">
        <v>123</v>
      </c>
      <c r="B62" s="191" t="s">
        <v>268</v>
      </c>
      <c r="C62" s="191"/>
      <c r="D62" s="191"/>
      <c r="E62" s="191"/>
      <c r="F62" s="191"/>
      <c r="G62" s="191"/>
      <c r="H62" s="191"/>
      <c r="I62" s="191"/>
      <c r="J62" s="191"/>
      <c r="K62" s="191"/>
      <c r="L62" s="191"/>
      <c r="M62" s="191"/>
    </row>
    <row r="63" spans="1:13" ht="37.5" customHeight="1" x14ac:dyDescent="0.3">
      <c r="A63" s="53" t="s">
        <v>121</v>
      </c>
      <c r="B63" s="188" t="s">
        <v>202</v>
      </c>
      <c r="C63" s="188"/>
      <c r="D63" s="188"/>
      <c r="E63" s="188"/>
      <c r="F63" s="188"/>
      <c r="G63" s="188"/>
      <c r="H63" s="188"/>
      <c r="I63" s="188"/>
      <c r="J63" s="188"/>
      <c r="K63" s="188"/>
      <c r="L63" s="188"/>
      <c r="M63" s="188"/>
    </row>
    <row r="64" spans="1:13" x14ac:dyDescent="0.3">
      <c r="A64" s="53" t="s">
        <v>119</v>
      </c>
      <c r="B64" s="188" t="s">
        <v>251</v>
      </c>
      <c r="C64" s="189"/>
      <c r="D64" s="189"/>
      <c r="E64" s="189"/>
      <c r="F64" s="189"/>
      <c r="G64" s="189"/>
      <c r="H64" s="189"/>
      <c r="I64" s="189"/>
      <c r="J64" s="189"/>
      <c r="K64" s="189"/>
      <c r="L64" s="189"/>
      <c r="M64" s="189"/>
    </row>
    <row r="65" spans="1:13" x14ac:dyDescent="0.3">
      <c r="A65" s="53" t="s">
        <v>200</v>
      </c>
      <c r="B65" s="188" t="s">
        <v>199</v>
      </c>
      <c r="C65" s="189"/>
      <c r="D65" s="189"/>
      <c r="E65" s="189"/>
      <c r="F65" s="189"/>
      <c r="G65" s="189"/>
      <c r="H65" s="189"/>
      <c r="I65" s="189"/>
      <c r="J65" s="189"/>
      <c r="K65" s="189"/>
      <c r="L65" s="189"/>
      <c r="M65" s="189"/>
    </row>
    <row r="66" spans="1:13" x14ac:dyDescent="0.3">
      <c r="A66" s="53"/>
      <c r="M66" s="79"/>
    </row>
    <row r="67" spans="1:13" x14ac:dyDescent="0.3">
      <c r="A67" s="53"/>
      <c r="B67" s="191"/>
      <c r="C67" s="194"/>
      <c r="D67" s="194"/>
      <c r="E67" s="194"/>
      <c r="F67" s="194"/>
      <c r="G67" s="194"/>
      <c r="H67" s="194"/>
      <c r="I67" s="194"/>
      <c r="J67" s="194"/>
      <c r="K67" s="194"/>
      <c r="L67" s="194"/>
      <c r="M67" s="79"/>
    </row>
    <row r="68" spans="1:13" x14ac:dyDescent="0.3">
      <c r="A68" s="53"/>
      <c r="B68" s="191"/>
      <c r="C68" s="194"/>
      <c r="D68" s="194"/>
      <c r="E68" s="194"/>
      <c r="F68" s="194"/>
      <c r="G68" s="194"/>
      <c r="H68" s="194"/>
      <c r="I68" s="194"/>
      <c r="J68" s="194"/>
      <c r="K68" s="194"/>
      <c r="L68" s="194"/>
      <c r="M68" s="79"/>
    </row>
    <row r="69" spans="1:13" x14ac:dyDescent="0.3">
      <c r="A69" s="53"/>
      <c r="B69" s="191"/>
      <c r="C69" s="194"/>
      <c r="D69" s="194"/>
      <c r="E69" s="194"/>
      <c r="F69" s="194"/>
      <c r="G69" s="194"/>
      <c r="H69" s="194"/>
      <c r="I69" s="194"/>
      <c r="J69" s="194"/>
      <c r="K69" s="194"/>
      <c r="L69" s="194"/>
      <c r="M69" s="194"/>
    </row>
    <row r="70" spans="1:13" x14ac:dyDescent="0.3">
      <c r="B70" s="191"/>
      <c r="C70" s="194"/>
      <c r="D70" s="194"/>
      <c r="E70" s="194"/>
      <c r="F70" s="194"/>
      <c r="G70" s="194"/>
      <c r="H70" s="194"/>
      <c r="I70" s="194"/>
      <c r="J70" s="194"/>
      <c r="K70" s="194"/>
      <c r="L70" s="194"/>
      <c r="M70" s="194"/>
    </row>
    <row r="72" spans="1:13" x14ac:dyDescent="0.3">
      <c r="A72" s="78"/>
    </row>
    <row r="73" spans="1:13" x14ac:dyDescent="0.3">
      <c r="A73" s="77"/>
      <c r="B73" s="188"/>
      <c r="C73" s="188"/>
      <c r="D73" s="188"/>
      <c r="E73" s="188"/>
      <c r="F73" s="188"/>
      <c r="G73" s="188"/>
      <c r="H73" s="188"/>
      <c r="I73" s="188"/>
      <c r="J73" s="188"/>
      <c r="K73" s="188"/>
      <c r="L73" s="188"/>
      <c r="M73" s="188"/>
    </row>
  </sheetData>
  <mergeCells count="29">
    <mergeCell ref="B63:M63"/>
    <mergeCell ref="B73:M73"/>
    <mergeCell ref="B64:M64"/>
    <mergeCell ref="B65:M65"/>
    <mergeCell ref="B67:L67"/>
    <mergeCell ref="B68:L68"/>
    <mergeCell ref="B69:M69"/>
    <mergeCell ref="B70:M70"/>
    <mergeCell ref="B54:M54"/>
    <mergeCell ref="B55:M55"/>
    <mergeCell ref="B56:M56"/>
    <mergeCell ref="B61:M61"/>
    <mergeCell ref="B62:M62"/>
    <mergeCell ref="B57:M57"/>
    <mergeCell ref="B58:M58"/>
    <mergeCell ref="B59:M59"/>
    <mergeCell ref="B60:M60"/>
    <mergeCell ref="B52:M52"/>
    <mergeCell ref="B53:M53"/>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New developed areas" xr:uid="{F78F0C34-D094-40B9-BCB6-7CD0AD5ED5BD}"/>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F5849-D3BC-4B81-8A19-35E738B9A1F4}">
  <sheetPr>
    <pageSetUpPr fitToPage="1"/>
  </sheetPr>
  <dimension ref="A1:R62"/>
  <sheetViews>
    <sheetView topLeftCell="A5" zoomScaleNormal="100" workbookViewId="0">
      <selection activeCell="D14" sqref="D14"/>
    </sheetView>
  </sheetViews>
  <sheetFormatPr defaultColWidth="9.109375" defaultRowHeight="14.4" x14ac:dyDescent="0.3"/>
  <cols>
    <col min="1" max="1" width="2.33203125" style="90" bestFit="1" customWidth="1"/>
    <col min="2" max="2" width="42" style="90" customWidth="1"/>
    <col min="3" max="3" width="9.109375" style="91"/>
    <col min="4" max="6" width="9.109375" style="90"/>
    <col min="7" max="8" width="10" style="90" bestFit="1" customWidth="1"/>
    <col min="9" max="17" width="9.109375" style="90"/>
    <col min="18" max="18" width="30.88671875" style="90" customWidth="1"/>
    <col min="19" max="19" width="18.5546875" style="90" customWidth="1"/>
    <col min="20" max="20" width="14.44140625" style="90" customWidth="1"/>
    <col min="21" max="21" width="10.33203125" style="90" customWidth="1"/>
    <col min="22" max="22" width="34.5546875" style="90" customWidth="1"/>
    <col min="23" max="23" width="45.88671875" style="90" customWidth="1"/>
    <col min="24" max="16384" width="9.109375" style="90"/>
  </cols>
  <sheetData>
    <row r="1" spans="2:18" ht="39" customHeight="1" thickBot="1" x14ac:dyDescent="0.35">
      <c r="B1" s="75" t="s">
        <v>293</v>
      </c>
    </row>
    <row r="2" spans="2:18" ht="30" customHeight="1" thickBot="1" x14ac:dyDescent="0.35">
      <c r="B2" s="110" t="s">
        <v>197</v>
      </c>
      <c r="C2" s="177" t="s">
        <v>292</v>
      </c>
      <c r="D2" s="196"/>
      <c r="E2" s="196"/>
      <c r="F2" s="196"/>
      <c r="G2" s="196"/>
      <c r="H2" s="196"/>
      <c r="I2" s="196"/>
      <c r="J2" s="196"/>
      <c r="K2" s="196"/>
      <c r="L2" s="197"/>
      <c r="N2" s="109"/>
    </row>
    <row r="3" spans="2:18" x14ac:dyDescent="0.3">
      <c r="B3" s="198"/>
      <c r="C3" s="200">
        <v>2015</v>
      </c>
      <c r="D3" s="200">
        <v>2020</v>
      </c>
      <c r="E3" s="200">
        <v>2030</v>
      </c>
      <c r="F3" s="200">
        <v>2050</v>
      </c>
      <c r="G3" s="202" t="s">
        <v>195</v>
      </c>
      <c r="H3" s="203"/>
      <c r="I3" s="202" t="s">
        <v>194</v>
      </c>
      <c r="J3" s="203"/>
      <c r="K3" s="200" t="s">
        <v>193</v>
      </c>
      <c r="L3" s="200" t="s">
        <v>192</v>
      </c>
      <c r="N3" s="106"/>
      <c r="R3" s="106"/>
    </row>
    <row r="4" spans="2:18" ht="15" thickBot="1" x14ac:dyDescent="0.35">
      <c r="B4" s="199"/>
      <c r="C4" s="201"/>
      <c r="D4" s="201"/>
      <c r="E4" s="201"/>
      <c r="F4" s="201"/>
      <c r="G4" s="204"/>
      <c r="H4" s="205"/>
      <c r="I4" s="204"/>
      <c r="J4" s="205"/>
      <c r="K4" s="201"/>
      <c r="L4" s="201"/>
      <c r="R4" s="106"/>
    </row>
    <row r="5" spans="2:18" ht="15" thickBot="1" x14ac:dyDescent="0.35">
      <c r="B5" s="97" t="s">
        <v>191</v>
      </c>
      <c r="C5" s="104"/>
      <c r="D5" s="104"/>
      <c r="E5" s="104"/>
      <c r="F5" s="104"/>
      <c r="G5" s="108" t="s">
        <v>190</v>
      </c>
      <c r="H5" s="108" t="s">
        <v>189</v>
      </c>
      <c r="I5" s="108" t="s">
        <v>190</v>
      </c>
      <c r="J5" s="108" t="s">
        <v>189</v>
      </c>
      <c r="K5" s="104"/>
      <c r="L5" s="103"/>
      <c r="R5" s="106"/>
    </row>
    <row r="6" spans="2:18" ht="15" thickBot="1" x14ac:dyDescent="0.35">
      <c r="B6" s="95" t="s">
        <v>188</v>
      </c>
      <c r="C6" s="93">
        <v>0.1</v>
      </c>
      <c r="D6" s="93">
        <v>0.1</v>
      </c>
      <c r="E6" s="93">
        <v>0.1</v>
      </c>
      <c r="F6" s="93">
        <v>0.1</v>
      </c>
      <c r="G6" s="93">
        <v>0.01</v>
      </c>
      <c r="H6" s="93">
        <v>0.15</v>
      </c>
      <c r="I6" s="93">
        <v>0.01</v>
      </c>
      <c r="J6" s="93">
        <v>0.15</v>
      </c>
      <c r="K6" s="93" t="s">
        <v>143</v>
      </c>
      <c r="L6" s="93">
        <v>1</v>
      </c>
      <c r="R6" s="106"/>
    </row>
    <row r="7" spans="2:18" ht="15" thickBot="1" x14ac:dyDescent="0.35">
      <c r="B7" s="95" t="s">
        <v>187</v>
      </c>
      <c r="C7" s="93">
        <v>0.1</v>
      </c>
      <c r="D7" s="93">
        <v>0.1</v>
      </c>
      <c r="E7" s="93">
        <v>0.1</v>
      </c>
      <c r="F7" s="93">
        <v>0.1</v>
      </c>
      <c r="G7" s="93">
        <v>0.01</v>
      </c>
      <c r="H7" s="93">
        <v>0.15</v>
      </c>
      <c r="I7" s="93">
        <v>0.01</v>
      </c>
      <c r="J7" s="93">
        <v>0.15</v>
      </c>
      <c r="K7" s="93" t="s">
        <v>143</v>
      </c>
      <c r="L7" s="93"/>
      <c r="R7" s="106"/>
    </row>
    <row r="8" spans="2:18" ht="15" thickBot="1" x14ac:dyDescent="0.35">
      <c r="B8" s="95" t="s">
        <v>186</v>
      </c>
      <c r="C8" s="93">
        <v>0.1</v>
      </c>
      <c r="D8" s="93">
        <v>0.1</v>
      </c>
      <c r="E8" s="93">
        <v>0.1</v>
      </c>
      <c r="F8" s="93">
        <v>0.1</v>
      </c>
      <c r="G8" s="93">
        <v>0.01</v>
      </c>
      <c r="H8" s="93">
        <v>0.15</v>
      </c>
      <c r="I8" s="93">
        <v>0.01</v>
      </c>
      <c r="J8" s="93">
        <v>0.15</v>
      </c>
      <c r="K8" s="93" t="s">
        <v>143</v>
      </c>
      <c r="L8" s="93"/>
      <c r="R8" s="106"/>
    </row>
    <row r="9" spans="2:18" ht="15" thickBot="1" x14ac:dyDescent="0.35">
      <c r="B9" s="95" t="s">
        <v>185</v>
      </c>
      <c r="C9" s="101" t="s">
        <v>287</v>
      </c>
      <c r="D9" s="101" t="s">
        <v>287</v>
      </c>
      <c r="E9" s="101" t="s">
        <v>287</v>
      </c>
      <c r="F9" s="101" t="s">
        <v>287</v>
      </c>
      <c r="G9" s="101" t="s">
        <v>287</v>
      </c>
      <c r="H9" s="101" t="s">
        <v>287</v>
      </c>
      <c r="I9" s="101" t="s">
        <v>287</v>
      </c>
      <c r="J9" s="101" t="s">
        <v>287</v>
      </c>
      <c r="K9" s="93" t="s">
        <v>141</v>
      </c>
      <c r="L9" s="93"/>
      <c r="R9" s="106"/>
    </row>
    <row r="10" spans="2:18" ht="15" thickBot="1" x14ac:dyDescent="0.35">
      <c r="B10" s="95" t="s">
        <v>182</v>
      </c>
      <c r="C10" s="99">
        <v>0.1</v>
      </c>
      <c r="D10" s="99">
        <v>0.1</v>
      </c>
      <c r="E10" s="99">
        <v>0.1</v>
      </c>
      <c r="F10" s="99">
        <v>0.1</v>
      </c>
      <c r="G10" s="93">
        <v>0</v>
      </c>
      <c r="H10" s="93">
        <v>0.12</v>
      </c>
      <c r="I10" s="93">
        <v>0</v>
      </c>
      <c r="J10" s="93">
        <v>0.12</v>
      </c>
      <c r="K10" s="93" t="s">
        <v>139</v>
      </c>
      <c r="L10" s="93">
        <v>2</v>
      </c>
      <c r="R10" s="106"/>
    </row>
    <row r="11" spans="2:18" ht="15" thickBot="1" x14ac:dyDescent="0.35">
      <c r="B11" s="95" t="s">
        <v>181</v>
      </c>
      <c r="C11" s="93">
        <v>5.0000000000000001E-3</v>
      </c>
      <c r="D11" s="93">
        <v>5.0000000000000001E-3</v>
      </c>
      <c r="E11" s="93">
        <v>5.0000000000000001E-3</v>
      </c>
      <c r="F11" s="93">
        <v>5.0000000000000001E-3</v>
      </c>
      <c r="G11" s="107">
        <v>4.2500000000000003E-3</v>
      </c>
      <c r="H11" s="107">
        <v>5.7499999999999999E-3</v>
      </c>
      <c r="I11" s="107">
        <v>4.2500000000000003E-3</v>
      </c>
      <c r="J11" s="107">
        <v>5.7499999999999999E-3</v>
      </c>
      <c r="K11" s="93"/>
      <c r="L11" s="93">
        <v>2</v>
      </c>
      <c r="R11" s="106"/>
    </row>
    <row r="12" spans="2:18" ht="15" thickBot="1" x14ac:dyDescent="0.35">
      <c r="B12" s="95" t="s">
        <v>179</v>
      </c>
      <c r="C12" s="93">
        <v>50</v>
      </c>
      <c r="D12" s="93">
        <v>50</v>
      </c>
      <c r="E12" s="93">
        <v>50</v>
      </c>
      <c r="F12" s="93">
        <v>50</v>
      </c>
      <c r="G12" s="93">
        <v>50</v>
      </c>
      <c r="H12" s="93">
        <v>80</v>
      </c>
      <c r="I12" s="93">
        <v>50</v>
      </c>
      <c r="J12" s="93">
        <v>80</v>
      </c>
      <c r="K12" s="93"/>
      <c r="L12" s="93">
        <v>2</v>
      </c>
      <c r="R12" s="106"/>
    </row>
    <row r="13" spans="2:18" ht="15" thickBot="1" x14ac:dyDescent="0.35">
      <c r="B13" s="95" t="s">
        <v>178</v>
      </c>
      <c r="C13" s="93">
        <v>0.2</v>
      </c>
      <c r="D13" s="93">
        <v>0.2</v>
      </c>
      <c r="E13" s="93">
        <v>0.2</v>
      </c>
      <c r="F13" s="93">
        <v>0.2</v>
      </c>
      <c r="G13" s="93">
        <v>0.05</v>
      </c>
      <c r="H13" s="93">
        <v>0.4</v>
      </c>
      <c r="I13" s="93">
        <v>0.05</v>
      </c>
      <c r="J13" s="93">
        <v>0.4</v>
      </c>
      <c r="K13" s="93"/>
      <c r="L13" s="93">
        <v>2</v>
      </c>
      <c r="N13" s="106"/>
    </row>
    <row r="14" spans="2:18" ht="15" thickBot="1" x14ac:dyDescent="0.35">
      <c r="B14" s="95" t="s">
        <v>177</v>
      </c>
      <c r="C14" s="93">
        <v>1</v>
      </c>
      <c r="D14" s="93">
        <v>1</v>
      </c>
      <c r="E14" s="93">
        <v>1</v>
      </c>
      <c r="F14" s="93">
        <v>1</v>
      </c>
      <c r="G14" s="93">
        <v>0.7</v>
      </c>
      <c r="H14" s="93">
        <v>1.5</v>
      </c>
      <c r="I14" s="93">
        <v>0.7</v>
      </c>
      <c r="J14" s="93">
        <v>1.5</v>
      </c>
      <c r="K14" s="93" t="s">
        <v>137</v>
      </c>
      <c r="L14" s="93">
        <v>2</v>
      </c>
      <c r="N14" s="106"/>
    </row>
    <row r="15" spans="2:18" ht="15" thickBot="1" x14ac:dyDescent="0.35">
      <c r="B15" s="97" t="s">
        <v>176</v>
      </c>
      <c r="C15" s="94"/>
      <c r="D15" s="104"/>
      <c r="E15" s="104"/>
      <c r="F15" s="104"/>
      <c r="G15" s="104"/>
      <c r="H15" s="104"/>
      <c r="I15" s="104"/>
      <c r="J15" s="104"/>
      <c r="K15" s="104"/>
      <c r="L15" s="103"/>
      <c r="N15" s="106"/>
    </row>
    <row r="16" spans="2:18" ht="15" thickBot="1" x14ac:dyDescent="0.35">
      <c r="B16" s="105" t="s">
        <v>291</v>
      </c>
      <c r="C16" s="94"/>
      <c r="D16" s="104"/>
      <c r="E16" s="104"/>
      <c r="F16" s="104"/>
      <c r="G16" s="104"/>
      <c r="H16" s="104"/>
      <c r="I16" s="104"/>
      <c r="J16" s="104"/>
      <c r="K16" s="104"/>
      <c r="L16" s="103"/>
    </row>
    <row r="17" spans="2:12" ht="15" thickBot="1" x14ac:dyDescent="0.35">
      <c r="B17" s="60" t="s">
        <v>175</v>
      </c>
      <c r="C17" s="100">
        <v>10.8</v>
      </c>
      <c r="D17" s="100">
        <v>10.8</v>
      </c>
      <c r="E17" s="100">
        <v>10.8</v>
      </c>
      <c r="F17" s="100">
        <v>10.8</v>
      </c>
      <c r="G17" s="100">
        <v>8.64</v>
      </c>
      <c r="H17" s="100">
        <v>12.96</v>
      </c>
      <c r="I17" s="100">
        <v>8.64</v>
      </c>
      <c r="J17" s="100">
        <v>12.96</v>
      </c>
      <c r="K17" s="93" t="s">
        <v>290</v>
      </c>
      <c r="L17" s="93">
        <v>2</v>
      </c>
    </row>
    <row r="18" spans="2:12" ht="15" thickBot="1" x14ac:dyDescent="0.35">
      <c r="B18" s="60" t="s">
        <v>173</v>
      </c>
      <c r="C18" s="102">
        <v>4.2</v>
      </c>
      <c r="D18" s="100">
        <v>4.2</v>
      </c>
      <c r="E18" s="100">
        <v>4.2</v>
      </c>
      <c r="F18" s="100">
        <v>4.2</v>
      </c>
      <c r="G18" s="102">
        <v>3.3600000000000003</v>
      </c>
      <c r="H18" s="102">
        <v>5.04</v>
      </c>
      <c r="I18" s="102">
        <v>3.3600000000000003</v>
      </c>
      <c r="J18" s="102">
        <v>5.04</v>
      </c>
      <c r="K18" s="93" t="s">
        <v>289</v>
      </c>
      <c r="L18" s="93">
        <v>2</v>
      </c>
    </row>
    <row r="19" spans="2:12" ht="15" thickBot="1" x14ac:dyDescent="0.35">
      <c r="B19" s="60" t="s">
        <v>171</v>
      </c>
      <c r="C19" s="102">
        <v>2.2400000000000002</v>
      </c>
      <c r="D19" s="100">
        <v>2.2400000000000002</v>
      </c>
      <c r="E19" s="100">
        <v>2.2400000000000002</v>
      </c>
      <c r="F19" s="100">
        <v>2.2400000000000002</v>
      </c>
      <c r="G19" s="102">
        <v>1.7920000000000003</v>
      </c>
      <c r="H19" s="102">
        <v>2.6880000000000002</v>
      </c>
      <c r="I19" s="102">
        <v>1.7920000000000003</v>
      </c>
      <c r="J19" s="102">
        <v>2.6880000000000002</v>
      </c>
      <c r="K19" s="93" t="s">
        <v>289</v>
      </c>
      <c r="L19" s="93">
        <v>2</v>
      </c>
    </row>
    <row r="20" spans="2:12" ht="15" thickBot="1" x14ac:dyDescent="0.35">
      <c r="B20" s="60" t="s">
        <v>169</v>
      </c>
      <c r="C20" s="102">
        <v>1.17</v>
      </c>
      <c r="D20" s="100">
        <v>1.17</v>
      </c>
      <c r="E20" s="100">
        <v>1.17</v>
      </c>
      <c r="F20" s="100">
        <v>1.17</v>
      </c>
      <c r="G20" s="102">
        <v>0.93599999999999994</v>
      </c>
      <c r="H20" s="102">
        <v>1.4039999999999999</v>
      </c>
      <c r="I20" s="102">
        <v>0.93599999999999994</v>
      </c>
      <c r="J20" s="102">
        <v>1.4039999999999999</v>
      </c>
      <c r="K20" s="93" t="s">
        <v>289</v>
      </c>
      <c r="L20" s="93">
        <v>2</v>
      </c>
    </row>
    <row r="21" spans="2:12" ht="15" thickBot="1" x14ac:dyDescent="0.35">
      <c r="B21" s="60" t="s">
        <v>168</v>
      </c>
      <c r="C21" s="102">
        <v>0.67999999999999994</v>
      </c>
      <c r="D21" s="100">
        <v>0.67999999999999994</v>
      </c>
      <c r="E21" s="100">
        <v>0.67999999999999994</v>
      </c>
      <c r="F21" s="100">
        <v>0.67999999999999994</v>
      </c>
      <c r="G21" s="102">
        <v>0.54399999999999993</v>
      </c>
      <c r="H21" s="102">
        <v>0.81599999999999995</v>
      </c>
      <c r="I21" s="102">
        <v>0.54399999999999993</v>
      </c>
      <c r="J21" s="102">
        <v>0.81599999999999995</v>
      </c>
      <c r="K21" s="93" t="s">
        <v>289</v>
      </c>
      <c r="L21" s="93">
        <v>1</v>
      </c>
    </row>
    <row r="22" spans="2:12" ht="15.75" customHeight="1" thickBot="1" x14ac:dyDescent="0.35">
      <c r="B22" s="60" t="s">
        <v>167</v>
      </c>
      <c r="C22" s="101" t="s">
        <v>287</v>
      </c>
      <c r="D22" s="101" t="s">
        <v>287</v>
      </c>
      <c r="E22" s="101" t="s">
        <v>287</v>
      </c>
      <c r="F22" s="101" t="s">
        <v>287</v>
      </c>
      <c r="G22" s="101" t="s">
        <v>287</v>
      </c>
      <c r="H22" s="101" t="s">
        <v>287</v>
      </c>
      <c r="I22" s="101" t="s">
        <v>287</v>
      </c>
      <c r="J22" s="101" t="s">
        <v>287</v>
      </c>
      <c r="K22" s="93" t="s">
        <v>288</v>
      </c>
      <c r="L22" s="93"/>
    </row>
    <row r="23" spans="2:12" ht="15" thickBot="1" x14ac:dyDescent="0.35">
      <c r="B23" s="60" t="s">
        <v>166</v>
      </c>
      <c r="C23" s="101" t="s">
        <v>287</v>
      </c>
      <c r="D23" s="101" t="s">
        <v>287</v>
      </c>
      <c r="E23" s="101" t="s">
        <v>287</v>
      </c>
      <c r="F23" s="101" t="s">
        <v>287</v>
      </c>
      <c r="G23" s="101" t="s">
        <v>287</v>
      </c>
      <c r="H23" s="101" t="s">
        <v>287</v>
      </c>
      <c r="I23" s="101" t="s">
        <v>287</v>
      </c>
      <c r="J23" s="101" t="s">
        <v>287</v>
      </c>
      <c r="K23" s="93" t="s">
        <v>129</v>
      </c>
      <c r="L23" s="93"/>
    </row>
    <row r="24" spans="2:12" ht="15" thickBot="1" x14ac:dyDescent="0.35">
      <c r="B24" s="60" t="s">
        <v>164</v>
      </c>
      <c r="C24" s="101" t="s">
        <v>287</v>
      </c>
      <c r="D24" s="101" t="s">
        <v>287</v>
      </c>
      <c r="E24" s="101" t="s">
        <v>287</v>
      </c>
      <c r="F24" s="101" t="s">
        <v>287</v>
      </c>
      <c r="G24" s="101" t="s">
        <v>287</v>
      </c>
      <c r="H24" s="101" t="s">
        <v>287</v>
      </c>
      <c r="I24" s="101" t="s">
        <v>287</v>
      </c>
      <c r="J24" s="101" t="s">
        <v>287</v>
      </c>
      <c r="K24" s="93" t="s">
        <v>286</v>
      </c>
      <c r="L24" s="93"/>
    </row>
    <row r="25" spans="2:12" ht="15" thickBot="1" x14ac:dyDescent="0.35">
      <c r="B25" s="60" t="s">
        <v>162</v>
      </c>
      <c r="C25" s="93">
        <v>27000</v>
      </c>
      <c r="D25" s="100">
        <v>27000</v>
      </c>
      <c r="E25" s="100">
        <v>27000</v>
      </c>
      <c r="F25" s="100">
        <v>27000</v>
      </c>
      <c r="G25" s="93">
        <v>7000</v>
      </c>
      <c r="H25" s="93">
        <v>45000</v>
      </c>
      <c r="I25" s="93">
        <v>0</v>
      </c>
      <c r="J25" s="93">
        <v>0</v>
      </c>
      <c r="K25" s="93" t="s">
        <v>285</v>
      </c>
      <c r="L25" s="93">
        <v>2</v>
      </c>
    </row>
    <row r="26" spans="2:12" ht="15" thickBot="1" x14ac:dyDescent="0.35">
      <c r="B26" s="60" t="s">
        <v>160</v>
      </c>
      <c r="C26" s="93">
        <v>75</v>
      </c>
      <c r="D26" s="100">
        <v>75</v>
      </c>
      <c r="E26" s="100">
        <v>75</v>
      </c>
      <c r="F26" s="100">
        <v>75</v>
      </c>
      <c r="G26" s="93">
        <v>65</v>
      </c>
      <c r="H26" s="93">
        <v>85</v>
      </c>
      <c r="I26" s="93">
        <v>65</v>
      </c>
      <c r="J26" s="93">
        <v>85</v>
      </c>
      <c r="K26" s="93"/>
      <c r="L26" s="93">
        <v>2</v>
      </c>
    </row>
    <row r="27" spans="2:12" ht="15" thickBot="1" x14ac:dyDescent="0.35">
      <c r="B27" s="60" t="s">
        <v>159</v>
      </c>
      <c r="C27" s="93">
        <v>25</v>
      </c>
      <c r="D27" s="100">
        <v>25</v>
      </c>
      <c r="E27" s="100">
        <v>25</v>
      </c>
      <c r="F27" s="100">
        <v>25</v>
      </c>
      <c r="G27" s="93">
        <v>15</v>
      </c>
      <c r="H27" s="93">
        <v>35</v>
      </c>
      <c r="I27" s="93">
        <v>15</v>
      </c>
      <c r="J27" s="93">
        <v>35</v>
      </c>
      <c r="K27" s="93"/>
      <c r="L27" s="93">
        <v>2</v>
      </c>
    </row>
    <row r="28" spans="2:12" ht="15" thickBot="1" x14ac:dyDescent="0.35">
      <c r="B28" s="60" t="s">
        <v>158</v>
      </c>
      <c r="C28" s="99">
        <v>0.12098684056929733</v>
      </c>
      <c r="D28" s="99">
        <v>0.12098684056929733</v>
      </c>
      <c r="E28" s="99">
        <v>0.12098684056929733</v>
      </c>
      <c r="F28" s="99">
        <v>0.12098684056929733</v>
      </c>
      <c r="G28" s="99">
        <v>9.6789472455437869E-2</v>
      </c>
      <c r="H28" s="99">
        <v>0.14518420868315679</v>
      </c>
      <c r="I28" s="99">
        <v>9.6789472455437869E-2</v>
      </c>
      <c r="J28" s="99">
        <v>0.14518420868315679</v>
      </c>
      <c r="K28" s="93"/>
      <c r="L28" s="93">
        <v>2</v>
      </c>
    </row>
    <row r="29" spans="2:12" ht="15" thickBot="1" x14ac:dyDescent="0.35">
      <c r="B29" s="60" t="s">
        <v>157</v>
      </c>
      <c r="C29" s="98">
        <v>1.1254665500690311E-5</v>
      </c>
      <c r="D29" s="98">
        <v>1.1254665500690311E-5</v>
      </c>
      <c r="E29" s="98">
        <v>1.1254665500690311E-5</v>
      </c>
      <c r="F29" s="98">
        <v>1.1254665500690311E-5</v>
      </c>
      <c r="G29" s="98">
        <v>9.0037324005522491E-6</v>
      </c>
      <c r="H29" s="98">
        <v>1.3505598600828374E-5</v>
      </c>
      <c r="I29" s="98">
        <v>9.0037324005522491E-6</v>
      </c>
      <c r="J29" s="98">
        <v>1.3505598600828374E-5</v>
      </c>
      <c r="K29" s="93"/>
      <c r="L29" s="93">
        <v>2</v>
      </c>
    </row>
    <row r="30" spans="2:12" ht="15" thickBot="1" x14ac:dyDescent="0.35">
      <c r="B30" s="96"/>
      <c r="C30" s="94"/>
      <c r="D30" s="93"/>
      <c r="E30" s="93"/>
      <c r="F30" s="93"/>
      <c r="G30" s="93"/>
      <c r="H30" s="93"/>
      <c r="I30" s="93"/>
      <c r="J30" s="93"/>
      <c r="K30" s="93"/>
      <c r="L30" s="93"/>
    </row>
    <row r="31" spans="2:12" ht="15" thickBot="1" x14ac:dyDescent="0.35">
      <c r="B31" s="97" t="s">
        <v>155</v>
      </c>
      <c r="C31" s="94"/>
      <c r="D31" s="93"/>
      <c r="E31" s="93"/>
      <c r="F31" s="93"/>
      <c r="G31" s="93"/>
      <c r="H31" s="93"/>
      <c r="I31" s="93"/>
      <c r="J31" s="93"/>
      <c r="K31" s="93"/>
      <c r="L31" s="93"/>
    </row>
    <row r="32" spans="2:12" ht="15" thickBot="1" x14ac:dyDescent="0.35">
      <c r="B32" s="96"/>
      <c r="C32" s="94"/>
      <c r="D32" s="93"/>
      <c r="E32" s="93"/>
      <c r="F32" s="93"/>
      <c r="G32" s="93"/>
      <c r="H32" s="93"/>
      <c r="I32" s="93"/>
      <c r="J32" s="93"/>
      <c r="K32" s="93"/>
      <c r="L32" s="93"/>
    </row>
    <row r="33" spans="1:13" ht="15" thickBot="1" x14ac:dyDescent="0.35">
      <c r="B33" s="95"/>
      <c r="C33" s="94"/>
      <c r="D33" s="93"/>
      <c r="E33" s="93"/>
      <c r="F33" s="93"/>
      <c r="G33" s="93"/>
      <c r="H33" s="93"/>
      <c r="I33" s="93"/>
      <c r="J33" s="93"/>
      <c r="K33" s="93"/>
      <c r="L33" s="93"/>
    </row>
    <row r="34" spans="1:13" x14ac:dyDescent="0.3">
      <c r="B34" s="55" t="s">
        <v>154</v>
      </c>
    </row>
    <row r="35" spans="1:13" x14ac:dyDescent="0.3">
      <c r="A35" s="53">
        <v>1</v>
      </c>
      <c r="B35" s="188" t="s">
        <v>284</v>
      </c>
      <c r="C35" s="188"/>
      <c r="D35" s="188"/>
      <c r="E35" s="188"/>
      <c r="F35" s="188"/>
      <c r="G35" s="188"/>
      <c r="H35" s="188"/>
      <c r="I35" s="188"/>
      <c r="J35" s="188"/>
      <c r="K35" s="188"/>
      <c r="L35" s="188"/>
    </row>
    <row r="36" spans="1:13" x14ac:dyDescent="0.3">
      <c r="A36" s="53">
        <v>2</v>
      </c>
      <c r="B36" s="188" t="s">
        <v>283</v>
      </c>
      <c r="C36" s="188"/>
      <c r="D36" s="188"/>
      <c r="E36" s="188"/>
      <c r="F36" s="188"/>
      <c r="G36" s="188"/>
      <c r="H36" s="188"/>
      <c r="I36" s="188"/>
      <c r="J36" s="188"/>
      <c r="K36" s="188"/>
      <c r="L36" s="188"/>
    </row>
    <row r="37" spans="1:13" x14ac:dyDescent="0.3">
      <c r="A37" s="53"/>
      <c r="B37" s="188"/>
      <c r="C37" s="188"/>
      <c r="D37" s="188"/>
      <c r="E37" s="188"/>
      <c r="F37" s="188"/>
      <c r="G37" s="188"/>
      <c r="H37" s="188"/>
      <c r="I37" s="188"/>
      <c r="J37" s="188"/>
      <c r="K37" s="188"/>
      <c r="L37" s="188"/>
    </row>
    <row r="38" spans="1:13" x14ac:dyDescent="0.3">
      <c r="A38" s="53"/>
      <c r="B38" s="55" t="s">
        <v>144</v>
      </c>
      <c r="C38" s="86"/>
      <c r="D38" s="54"/>
      <c r="E38" s="54"/>
      <c r="F38" s="54"/>
      <c r="G38" s="54"/>
      <c r="H38" s="54"/>
      <c r="I38" s="54"/>
      <c r="J38" s="54"/>
      <c r="K38" s="54"/>
      <c r="L38" s="54"/>
      <c r="M38" s="54"/>
    </row>
    <row r="39" spans="1:13" s="91" customFormat="1" ht="40.5" customHeight="1" x14ac:dyDescent="0.3">
      <c r="A39" s="92" t="s">
        <v>143</v>
      </c>
      <c r="B39" s="188" t="s">
        <v>282</v>
      </c>
      <c r="C39" s="188"/>
      <c r="D39" s="188"/>
      <c r="E39" s="188"/>
      <c r="F39" s="188"/>
      <c r="G39" s="188"/>
      <c r="H39" s="188"/>
      <c r="I39" s="188"/>
      <c r="J39" s="188"/>
      <c r="K39" s="188"/>
      <c r="L39" s="188"/>
    </row>
    <row r="40" spans="1:13" s="91" customFormat="1" ht="15" customHeight="1" x14ac:dyDescent="0.3">
      <c r="A40" s="92" t="s">
        <v>141</v>
      </c>
      <c r="B40" s="188" t="s">
        <v>274</v>
      </c>
      <c r="C40" s="188"/>
      <c r="D40" s="188"/>
      <c r="E40" s="188"/>
      <c r="F40" s="188"/>
      <c r="G40" s="188"/>
      <c r="H40" s="188"/>
      <c r="I40" s="188"/>
      <c r="J40" s="188"/>
      <c r="K40" s="188"/>
      <c r="L40" s="188"/>
    </row>
    <row r="41" spans="1:13" s="91" customFormat="1" ht="23.25" customHeight="1" x14ac:dyDescent="0.3">
      <c r="A41" s="92" t="s">
        <v>139</v>
      </c>
      <c r="B41" s="188" t="s">
        <v>281</v>
      </c>
      <c r="C41" s="188"/>
      <c r="D41" s="188"/>
      <c r="E41" s="188"/>
      <c r="F41" s="188"/>
      <c r="G41" s="188"/>
      <c r="H41" s="188"/>
      <c r="I41" s="188"/>
      <c r="J41" s="188"/>
      <c r="K41" s="188"/>
      <c r="L41" s="188"/>
    </row>
    <row r="42" spans="1:13" s="91" customFormat="1" ht="12.75" customHeight="1" x14ac:dyDescent="0.3">
      <c r="A42" s="92" t="s">
        <v>137</v>
      </c>
      <c r="B42" s="188" t="s">
        <v>280</v>
      </c>
      <c r="C42" s="188"/>
      <c r="D42" s="188"/>
      <c r="E42" s="188"/>
      <c r="F42" s="188"/>
      <c r="G42" s="188"/>
      <c r="H42" s="188"/>
      <c r="I42" s="188"/>
      <c r="J42" s="188"/>
      <c r="K42" s="188"/>
      <c r="L42" s="188"/>
    </row>
    <row r="43" spans="1:13" s="91" customFormat="1" ht="12.75" customHeight="1" x14ac:dyDescent="0.3">
      <c r="A43" s="92" t="s">
        <v>135</v>
      </c>
      <c r="B43" s="188" t="s">
        <v>279</v>
      </c>
      <c r="C43" s="188"/>
      <c r="D43" s="188"/>
      <c r="E43" s="188"/>
      <c r="F43" s="188"/>
      <c r="G43" s="188"/>
      <c r="H43" s="188"/>
      <c r="I43" s="188"/>
      <c r="J43" s="188"/>
      <c r="K43" s="188"/>
      <c r="L43" s="188"/>
    </row>
    <row r="44" spans="1:13" s="91" customFormat="1" x14ac:dyDescent="0.3">
      <c r="A44" s="92" t="s">
        <v>133</v>
      </c>
      <c r="B44" s="188" t="s">
        <v>278</v>
      </c>
      <c r="C44" s="188"/>
      <c r="D44" s="188"/>
      <c r="E44" s="188"/>
      <c r="F44" s="188"/>
      <c r="G44" s="188"/>
      <c r="H44" s="188"/>
      <c r="I44" s="188"/>
      <c r="J44" s="188"/>
      <c r="K44" s="188"/>
      <c r="L44" s="188"/>
    </row>
    <row r="45" spans="1:13" s="91" customFormat="1" ht="15" customHeight="1" x14ac:dyDescent="0.3">
      <c r="A45" s="92" t="s">
        <v>131</v>
      </c>
      <c r="B45" s="188" t="s">
        <v>277</v>
      </c>
      <c r="C45" s="188"/>
      <c r="D45" s="188"/>
      <c r="E45" s="188"/>
      <c r="F45" s="188"/>
      <c r="G45" s="188"/>
      <c r="H45" s="188"/>
      <c r="I45" s="188"/>
      <c r="J45" s="188"/>
      <c r="K45" s="188"/>
      <c r="L45" s="188"/>
    </row>
    <row r="46" spans="1:13" s="91" customFormat="1" ht="15" customHeight="1" x14ac:dyDescent="0.3">
      <c r="A46" s="92" t="s">
        <v>129</v>
      </c>
      <c r="B46" s="188" t="s">
        <v>276</v>
      </c>
      <c r="C46" s="188"/>
      <c r="D46" s="188"/>
      <c r="E46" s="188"/>
      <c r="F46" s="188"/>
      <c r="G46" s="188"/>
      <c r="H46" s="188"/>
      <c r="I46" s="188"/>
      <c r="J46" s="188"/>
      <c r="K46" s="188"/>
      <c r="L46" s="188"/>
    </row>
    <row r="47" spans="1:13" s="91" customFormat="1" x14ac:dyDescent="0.3">
      <c r="A47" s="92" t="s">
        <v>127</v>
      </c>
      <c r="B47" s="188" t="s">
        <v>275</v>
      </c>
      <c r="C47" s="188"/>
      <c r="D47" s="188"/>
      <c r="E47" s="188"/>
      <c r="F47" s="188"/>
      <c r="G47" s="188"/>
      <c r="H47" s="188"/>
      <c r="I47" s="188"/>
      <c r="J47" s="188"/>
      <c r="K47" s="188"/>
      <c r="L47" s="188"/>
    </row>
    <row r="48" spans="1:13" s="91" customFormat="1" ht="15" customHeight="1" x14ac:dyDescent="0.3">
      <c r="A48" s="92" t="s">
        <v>125</v>
      </c>
      <c r="B48" s="188" t="s">
        <v>274</v>
      </c>
      <c r="C48" s="188"/>
      <c r="D48" s="188"/>
      <c r="E48" s="188"/>
      <c r="F48" s="188"/>
      <c r="G48" s="188"/>
      <c r="H48" s="188"/>
      <c r="I48" s="188"/>
      <c r="J48" s="188"/>
      <c r="K48" s="188"/>
      <c r="L48" s="188"/>
    </row>
    <row r="49" spans="1:13" s="91" customFormat="1" ht="39.75" customHeight="1" x14ac:dyDescent="0.3">
      <c r="A49" s="92" t="s">
        <v>123</v>
      </c>
      <c r="B49" s="188" t="s">
        <v>273</v>
      </c>
      <c r="C49" s="188"/>
      <c r="D49" s="188"/>
      <c r="E49" s="188"/>
      <c r="F49" s="188"/>
      <c r="G49" s="188"/>
      <c r="H49" s="188"/>
      <c r="I49" s="188"/>
      <c r="J49" s="188"/>
      <c r="K49" s="188"/>
      <c r="L49" s="188"/>
    </row>
    <row r="50" spans="1:13" x14ac:dyDescent="0.3">
      <c r="A50" s="53"/>
    </row>
    <row r="51" spans="1:13" ht="36.75" customHeight="1" x14ac:dyDescent="0.3">
      <c r="A51" s="53"/>
      <c r="C51" s="188"/>
      <c r="D51" s="188"/>
      <c r="E51" s="188"/>
      <c r="F51" s="188"/>
      <c r="G51" s="188"/>
      <c r="H51" s="188"/>
      <c r="I51" s="188"/>
      <c r="J51" s="188"/>
      <c r="K51" s="188"/>
      <c r="L51" s="188"/>
      <c r="M51" s="188"/>
    </row>
    <row r="52" spans="1:13" ht="39" customHeight="1" x14ac:dyDescent="0.3">
      <c r="A52" s="53"/>
      <c r="C52" s="188"/>
      <c r="D52" s="188"/>
      <c r="E52" s="188"/>
      <c r="F52" s="188"/>
      <c r="G52" s="188"/>
      <c r="H52" s="188"/>
      <c r="I52" s="188"/>
      <c r="J52" s="188"/>
      <c r="K52" s="188"/>
      <c r="L52" s="188"/>
      <c r="M52" s="188"/>
    </row>
    <row r="53" spans="1:13" x14ac:dyDescent="0.3">
      <c r="A53" s="53"/>
    </row>
    <row r="54" spans="1:13" x14ac:dyDescent="0.3">
      <c r="A54" s="53"/>
    </row>
    <row r="55" spans="1:13" x14ac:dyDescent="0.3">
      <c r="A55" s="53"/>
    </row>
    <row r="56" spans="1:13" x14ac:dyDescent="0.3">
      <c r="A56" s="53"/>
    </row>
    <row r="57" spans="1:13" x14ac:dyDescent="0.3">
      <c r="A57" s="53"/>
    </row>
    <row r="58" spans="1:13" x14ac:dyDescent="0.3">
      <c r="A58" s="53"/>
    </row>
    <row r="59" spans="1:13" x14ac:dyDescent="0.3">
      <c r="A59" s="53"/>
    </row>
    <row r="60" spans="1:13" x14ac:dyDescent="0.3">
      <c r="A60" s="53"/>
    </row>
    <row r="61" spans="1:13" x14ac:dyDescent="0.3">
      <c r="A61" s="53"/>
    </row>
    <row r="62" spans="1:13" x14ac:dyDescent="0.3">
      <c r="A62" s="53"/>
    </row>
  </sheetData>
  <mergeCells count="26">
    <mergeCell ref="B48:L48"/>
    <mergeCell ref="B49:L49"/>
    <mergeCell ref="C51:M51"/>
    <mergeCell ref="C52:M52"/>
    <mergeCell ref="B42:L42"/>
    <mergeCell ref="B43:L43"/>
    <mergeCell ref="B44:L44"/>
    <mergeCell ref="B45:L45"/>
    <mergeCell ref="B46:L46"/>
    <mergeCell ref="B47:L47"/>
    <mergeCell ref="B39:L39"/>
    <mergeCell ref="B40:L40"/>
    <mergeCell ref="B41:L41"/>
    <mergeCell ref="C2:L2"/>
    <mergeCell ref="B3:B4"/>
    <mergeCell ref="C3:C4"/>
    <mergeCell ref="D3:D4"/>
    <mergeCell ref="E3:E4"/>
    <mergeCell ref="F3:F4"/>
    <mergeCell ref="G3:H4"/>
    <mergeCell ref="I3:J4"/>
    <mergeCell ref="K3:K4"/>
    <mergeCell ref="L3:L4"/>
    <mergeCell ref="B35:L35"/>
    <mergeCell ref="B36:L36"/>
    <mergeCell ref="B37:L37"/>
  </mergeCells>
  <hyperlinks>
    <hyperlink ref="C2" location="INDEX" display="Energy Transport, Natural Gas Main distribution line" xr:uid="{078A6B54-5FCA-4D73-86F5-3C2ECBBCAFD4}"/>
  </hyperlinks>
  <pageMargins left="0.7" right="0.7" top="0.75" bottom="0.75" header="0.3" footer="0.3"/>
  <pageSetup paperSize="9" scale="24"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E6D0-0759-4D96-A020-552A02B9BA0A}">
  <dimension ref="A1:N51"/>
  <sheetViews>
    <sheetView workbookViewId="0">
      <selection activeCell="M12" sqref="M12"/>
    </sheetView>
  </sheetViews>
  <sheetFormatPr defaultColWidth="9.109375" defaultRowHeight="14.4" x14ac:dyDescent="0.3"/>
  <cols>
    <col min="1" max="1" width="2.33203125" style="90" bestFit="1" customWidth="1"/>
    <col min="2" max="2" width="41" style="90" customWidth="1"/>
    <col min="3" max="3" width="9.5546875" style="90" customWidth="1"/>
    <col min="4" max="6" width="9.109375" style="90"/>
    <col min="7" max="8" width="10" style="90" bestFit="1" customWidth="1"/>
    <col min="9" max="10" width="9.109375" style="90"/>
    <col min="11" max="11" width="12.5546875" style="90" customWidth="1"/>
    <col min="12" max="13" width="9.109375" style="90"/>
    <col min="14" max="14" width="32.33203125" style="90" customWidth="1"/>
    <col min="15" max="15" width="29.109375" style="90" customWidth="1"/>
    <col min="16" max="18" width="9.109375" style="90"/>
    <col min="19" max="19" width="30.6640625" style="90" customWidth="1"/>
    <col min="20" max="20" width="29.33203125" style="90" customWidth="1"/>
    <col min="21" max="16384" width="9.109375" style="90"/>
  </cols>
  <sheetData>
    <row r="1" spans="2:14" ht="15" thickBot="1" x14ac:dyDescent="0.35">
      <c r="B1" s="75" t="s">
        <v>308</v>
      </c>
    </row>
    <row r="2" spans="2:14" ht="33.75" customHeight="1" thickBot="1" x14ac:dyDescent="0.35">
      <c r="B2" s="110" t="s">
        <v>197</v>
      </c>
      <c r="C2" s="177" t="s">
        <v>307</v>
      </c>
      <c r="D2" s="206"/>
      <c r="E2" s="206"/>
      <c r="F2" s="206"/>
      <c r="G2" s="206"/>
      <c r="H2" s="206"/>
      <c r="I2" s="206"/>
      <c r="J2" s="206"/>
      <c r="K2" s="206"/>
      <c r="L2" s="207"/>
      <c r="N2" s="109"/>
    </row>
    <row r="3" spans="2:14" x14ac:dyDescent="0.3">
      <c r="B3" s="198"/>
      <c r="C3" s="200">
        <v>2015</v>
      </c>
      <c r="D3" s="200">
        <v>2020</v>
      </c>
      <c r="E3" s="200">
        <v>2030</v>
      </c>
      <c r="F3" s="200">
        <v>2050</v>
      </c>
      <c r="G3" s="202" t="s">
        <v>195</v>
      </c>
      <c r="H3" s="203"/>
      <c r="I3" s="202" t="s">
        <v>194</v>
      </c>
      <c r="J3" s="203"/>
      <c r="K3" s="200" t="s">
        <v>193</v>
      </c>
      <c r="L3" s="200" t="s">
        <v>192</v>
      </c>
    </row>
    <row r="4" spans="2:14" ht="15" thickBot="1" x14ac:dyDescent="0.35">
      <c r="B4" s="199"/>
      <c r="C4" s="201"/>
      <c r="D4" s="201"/>
      <c r="E4" s="201"/>
      <c r="F4" s="201"/>
      <c r="G4" s="204"/>
      <c r="H4" s="205"/>
      <c r="I4" s="204"/>
      <c r="J4" s="205"/>
      <c r="K4" s="201"/>
      <c r="L4" s="201"/>
    </row>
    <row r="5" spans="2:14" ht="15" thickBot="1" x14ac:dyDescent="0.35">
      <c r="B5" s="97" t="s">
        <v>191</v>
      </c>
      <c r="C5" s="104"/>
      <c r="D5" s="104"/>
      <c r="E5" s="104"/>
      <c r="F5" s="104"/>
      <c r="G5" s="108" t="s">
        <v>190</v>
      </c>
      <c r="H5" s="108" t="s">
        <v>189</v>
      </c>
      <c r="I5" s="108" t="s">
        <v>190</v>
      </c>
      <c r="J5" s="108" t="s">
        <v>189</v>
      </c>
      <c r="K5" s="104"/>
      <c r="L5" s="103"/>
    </row>
    <row r="6" spans="2:14" ht="15" thickBot="1" x14ac:dyDescent="0.35">
      <c r="B6" s="95" t="s">
        <v>248</v>
      </c>
      <c r="C6" s="99">
        <v>0.26307448603264283</v>
      </c>
      <c r="D6" s="99">
        <v>0.26307448603264283</v>
      </c>
      <c r="E6" s="99">
        <v>0.26307448603264283</v>
      </c>
      <c r="F6" s="99">
        <v>0.26307448603264283</v>
      </c>
      <c r="G6" s="93">
        <v>0.05</v>
      </c>
      <c r="H6" s="93">
        <v>0.3</v>
      </c>
      <c r="I6" s="93">
        <v>0.05</v>
      </c>
      <c r="J6" s="93">
        <v>0.3</v>
      </c>
      <c r="K6" s="93" t="s">
        <v>143</v>
      </c>
      <c r="L6" s="93">
        <v>1</v>
      </c>
    </row>
    <row r="7" spans="2:14" ht="15" thickBot="1" x14ac:dyDescent="0.35">
      <c r="B7" s="95" t="s">
        <v>247</v>
      </c>
      <c r="C7" s="115" t="s">
        <v>287</v>
      </c>
      <c r="D7" s="115" t="s">
        <v>287</v>
      </c>
      <c r="E7" s="115" t="s">
        <v>287</v>
      </c>
      <c r="F7" s="115" t="s">
        <v>287</v>
      </c>
      <c r="G7" s="115" t="s">
        <v>287</v>
      </c>
      <c r="H7" s="115" t="s">
        <v>287</v>
      </c>
      <c r="I7" s="115" t="s">
        <v>287</v>
      </c>
      <c r="J7" s="115" t="s">
        <v>287</v>
      </c>
      <c r="K7" s="93" t="s">
        <v>141</v>
      </c>
      <c r="L7" s="93"/>
    </row>
    <row r="8" spans="2:14" ht="15" thickBot="1" x14ac:dyDescent="0.35">
      <c r="B8" s="95" t="s">
        <v>246</v>
      </c>
      <c r="C8" s="93">
        <v>0</v>
      </c>
      <c r="D8" s="93">
        <v>0</v>
      </c>
      <c r="E8" s="93">
        <v>0</v>
      </c>
      <c r="F8" s="93">
        <v>0</v>
      </c>
      <c r="G8" s="93">
        <v>0</v>
      </c>
      <c r="H8" s="93">
        <v>0</v>
      </c>
      <c r="I8" s="93">
        <v>0</v>
      </c>
      <c r="J8" s="93">
        <v>0</v>
      </c>
      <c r="K8" s="93" t="s">
        <v>139</v>
      </c>
      <c r="L8" s="93"/>
    </row>
    <row r="9" spans="2:14" ht="15" thickBot="1" x14ac:dyDescent="0.35">
      <c r="B9" s="95" t="s">
        <v>179</v>
      </c>
      <c r="C9" s="93">
        <v>50</v>
      </c>
      <c r="D9" s="93">
        <v>50</v>
      </c>
      <c r="E9" s="93">
        <v>50</v>
      </c>
      <c r="F9" s="93">
        <v>50</v>
      </c>
      <c r="G9" s="93">
        <v>50</v>
      </c>
      <c r="H9" s="93">
        <v>80</v>
      </c>
      <c r="I9" s="93">
        <v>50</v>
      </c>
      <c r="J9" s="93">
        <v>80</v>
      </c>
      <c r="K9" s="93"/>
      <c r="L9" s="93">
        <v>2</v>
      </c>
    </row>
    <row r="10" spans="2:14" ht="15" thickBot="1" x14ac:dyDescent="0.35">
      <c r="B10" s="95" t="s">
        <v>178</v>
      </c>
      <c r="C10" s="93"/>
      <c r="D10" s="93"/>
      <c r="E10" s="93"/>
      <c r="F10" s="93"/>
      <c r="G10" s="93"/>
      <c r="H10" s="93"/>
      <c r="I10" s="93"/>
      <c r="J10" s="93"/>
      <c r="K10" s="93" t="s">
        <v>137</v>
      </c>
      <c r="L10" s="93"/>
    </row>
    <row r="11" spans="2:14" ht="15" thickBot="1" x14ac:dyDescent="0.35">
      <c r="B11" s="113" t="s">
        <v>242</v>
      </c>
      <c r="C11" s="93">
        <v>0.2</v>
      </c>
      <c r="D11" s="93">
        <f>C11</f>
        <v>0.2</v>
      </c>
      <c r="E11" s="93">
        <f>D11</f>
        <v>0.2</v>
      </c>
      <c r="F11" s="93">
        <f>E11</f>
        <v>0.2</v>
      </c>
      <c r="G11" s="93">
        <v>0.15</v>
      </c>
      <c r="H11" s="93">
        <v>0.25</v>
      </c>
      <c r="I11" s="93">
        <v>0.15</v>
      </c>
      <c r="J11" s="93">
        <v>0.25</v>
      </c>
      <c r="K11" s="93" t="s">
        <v>137</v>
      </c>
      <c r="L11" s="93"/>
    </row>
    <row r="12" spans="2:14" ht="15" thickBot="1" x14ac:dyDescent="0.35">
      <c r="B12" s="113" t="s">
        <v>260</v>
      </c>
      <c r="C12" s="93" t="s">
        <v>156</v>
      </c>
      <c r="D12" s="114" t="s">
        <v>156</v>
      </c>
      <c r="E12" s="114" t="s">
        <v>156</v>
      </c>
      <c r="F12" s="114" t="s">
        <v>156</v>
      </c>
      <c r="G12" s="93"/>
      <c r="H12" s="93"/>
      <c r="I12" s="93"/>
      <c r="J12" s="93"/>
      <c r="K12" s="93" t="s">
        <v>137</v>
      </c>
      <c r="L12" s="93"/>
    </row>
    <row r="13" spans="2:14" ht="15" thickBot="1" x14ac:dyDescent="0.35">
      <c r="B13" s="113" t="s">
        <v>177</v>
      </c>
      <c r="C13" s="93">
        <v>0.4</v>
      </c>
      <c r="D13" s="93">
        <v>0.4</v>
      </c>
      <c r="E13" s="93">
        <v>0.4</v>
      </c>
      <c r="F13" s="93">
        <v>0.4</v>
      </c>
      <c r="G13" s="93">
        <v>0.3</v>
      </c>
      <c r="H13" s="93">
        <v>0.5</v>
      </c>
      <c r="I13" s="93">
        <v>0.3</v>
      </c>
      <c r="J13" s="93">
        <v>0.5</v>
      </c>
      <c r="K13" s="93"/>
      <c r="L13" s="93">
        <v>2</v>
      </c>
    </row>
    <row r="14" spans="2:14" ht="15" thickBot="1" x14ac:dyDescent="0.35">
      <c r="B14" s="95"/>
      <c r="C14" s="94"/>
      <c r="D14" s="93"/>
      <c r="E14" s="93"/>
      <c r="F14" s="93"/>
      <c r="G14" s="93"/>
      <c r="H14" s="93"/>
      <c r="I14" s="93"/>
      <c r="J14" s="93"/>
      <c r="K14" s="93"/>
      <c r="L14" s="93"/>
    </row>
    <row r="15" spans="2:14" ht="15" thickBot="1" x14ac:dyDescent="0.35">
      <c r="B15" s="97" t="s">
        <v>176</v>
      </c>
      <c r="C15" s="94"/>
      <c r="D15" s="104"/>
      <c r="E15" s="104"/>
      <c r="F15" s="104"/>
      <c r="G15" s="104"/>
      <c r="H15" s="104"/>
      <c r="I15" s="104"/>
      <c r="J15" s="104"/>
      <c r="K15" s="104"/>
      <c r="L15" s="103"/>
    </row>
    <row r="16" spans="2:14" ht="15" thickBot="1" x14ac:dyDescent="0.35">
      <c r="B16" s="80" t="s">
        <v>306</v>
      </c>
      <c r="C16" s="93">
        <v>140</v>
      </c>
      <c r="D16" s="93">
        <v>140</v>
      </c>
      <c r="E16" s="93">
        <v>140</v>
      </c>
      <c r="F16" s="93">
        <v>140</v>
      </c>
      <c r="G16" s="93">
        <v>130</v>
      </c>
      <c r="H16" s="93">
        <v>150</v>
      </c>
      <c r="I16" s="93">
        <v>130</v>
      </c>
      <c r="J16" s="93">
        <v>150</v>
      </c>
      <c r="K16" s="93"/>
      <c r="L16" s="93">
        <v>2</v>
      </c>
    </row>
    <row r="17" spans="2:12" ht="15" customHeight="1" thickBot="1" x14ac:dyDescent="0.35">
      <c r="B17" s="80" t="s">
        <v>237</v>
      </c>
      <c r="C17" s="93">
        <v>1600</v>
      </c>
      <c r="D17" s="93">
        <v>1600</v>
      </c>
      <c r="E17" s="93">
        <v>1600</v>
      </c>
      <c r="F17" s="93">
        <v>1600</v>
      </c>
      <c r="G17" s="93">
        <v>1400</v>
      </c>
      <c r="H17" s="93">
        <v>1800</v>
      </c>
      <c r="I17" s="93">
        <v>1400</v>
      </c>
      <c r="J17" s="93">
        <v>1800</v>
      </c>
      <c r="K17" s="93"/>
      <c r="L17" s="93">
        <v>2</v>
      </c>
    </row>
    <row r="18" spans="2:12" ht="15" customHeight="1" thickBot="1" x14ac:dyDescent="0.35">
      <c r="B18" s="80" t="s">
        <v>236</v>
      </c>
      <c r="C18" s="93" t="s">
        <v>287</v>
      </c>
      <c r="D18" s="93" t="s">
        <v>287</v>
      </c>
      <c r="E18" s="93" t="s">
        <v>287</v>
      </c>
      <c r="F18" s="93" t="s">
        <v>287</v>
      </c>
      <c r="G18" s="93" t="s">
        <v>287</v>
      </c>
      <c r="H18" s="93" t="s">
        <v>287</v>
      </c>
      <c r="I18" s="93" t="s">
        <v>287</v>
      </c>
      <c r="J18" s="93" t="s">
        <v>287</v>
      </c>
      <c r="K18" s="93" t="s">
        <v>135</v>
      </c>
      <c r="L18" s="93"/>
    </row>
    <row r="19" spans="2:12" ht="15" thickBot="1" x14ac:dyDescent="0.35">
      <c r="B19" s="80" t="s">
        <v>235</v>
      </c>
      <c r="C19" s="93" t="s">
        <v>287</v>
      </c>
      <c r="D19" s="93" t="s">
        <v>287</v>
      </c>
      <c r="E19" s="93" t="s">
        <v>287</v>
      </c>
      <c r="F19" s="93" t="s">
        <v>287</v>
      </c>
      <c r="G19" s="93" t="s">
        <v>287</v>
      </c>
      <c r="H19" s="93" t="s">
        <v>287</v>
      </c>
      <c r="I19" s="93" t="s">
        <v>287</v>
      </c>
      <c r="J19" s="93" t="s">
        <v>287</v>
      </c>
      <c r="K19" s="93" t="s">
        <v>135</v>
      </c>
      <c r="L19" s="93"/>
    </row>
    <row r="20" spans="2:12" ht="15" thickBot="1" x14ac:dyDescent="0.35">
      <c r="B20" s="80" t="s">
        <v>234</v>
      </c>
      <c r="C20" s="93" t="s">
        <v>287</v>
      </c>
      <c r="D20" s="93" t="s">
        <v>287</v>
      </c>
      <c r="E20" s="93" t="s">
        <v>287</v>
      </c>
      <c r="F20" s="93" t="s">
        <v>287</v>
      </c>
      <c r="G20" s="93" t="s">
        <v>287</v>
      </c>
      <c r="H20" s="93" t="s">
        <v>287</v>
      </c>
      <c r="I20" s="93" t="s">
        <v>287</v>
      </c>
      <c r="J20" s="93" t="s">
        <v>287</v>
      </c>
      <c r="K20" s="93" t="s">
        <v>135</v>
      </c>
      <c r="L20" s="93"/>
    </row>
    <row r="21" spans="2:12" ht="15" thickBot="1" x14ac:dyDescent="0.35">
      <c r="B21" s="80" t="s">
        <v>232</v>
      </c>
      <c r="C21" s="100">
        <v>50</v>
      </c>
      <c r="D21" s="100">
        <v>50</v>
      </c>
      <c r="E21" s="100">
        <v>50</v>
      </c>
      <c r="F21" s="100">
        <v>50</v>
      </c>
      <c r="G21" s="93">
        <v>45</v>
      </c>
      <c r="H21" s="100">
        <v>55.000000000000007</v>
      </c>
      <c r="I21" s="93">
        <v>45</v>
      </c>
      <c r="J21" s="100">
        <v>55.000000000000007</v>
      </c>
      <c r="K21" s="93" t="s">
        <v>133</v>
      </c>
      <c r="L21" s="93"/>
    </row>
    <row r="22" spans="2:12" ht="15" thickBot="1" x14ac:dyDescent="0.35">
      <c r="B22" s="80" t="s">
        <v>231</v>
      </c>
      <c r="C22" s="112">
        <v>50</v>
      </c>
      <c r="D22" s="100">
        <v>50</v>
      </c>
      <c r="E22" s="100">
        <v>50</v>
      </c>
      <c r="F22" s="100">
        <v>50</v>
      </c>
      <c r="G22" s="93">
        <v>45</v>
      </c>
      <c r="H22" s="100">
        <v>55.000000000000007</v>
      </c>
      <c r="I22" s="93">
        <v>45</v>
      </c>
      <c r="J22" s="100">
        <v>55.000000000000007</v>
      </c>
      <c r="K22" s="93" t="s">
        <v>133</v>
      </c>
      <c r="L22" s="93"/>
    </row>
    <row r="23" spans="2:12" ht="15" thickBot="1" x14ac:dyDescent="0.35">
      <c r="B23" s="80" t="s">
        <v>230</v>
      </c>
      <c r="C23" s="100">
        <v>50</v>
      </c>
      <c r="D23" s="100">
        <v>50</v>
      </c>
      <c r="E23" s="100">
        <v>50</v>
      </c>
      <c r="F23" s="100">
        <v>50</v>
      </c>
      <c r="G23" s="93">
        <v>45</v>
      </c>
      <c r="H23" s="100">
        <v>55.000000000000007</v>
      </c>
      <c r="I23" s="93">
        <v>45</v>
      </c>
      <c r="J23" s="100">
        <v>55.000000000000007</v>
      </c>
      <c r="K23" s="93" t="s">
        <v>133</v>
      </c>
      <c r="L23" s="93"/>
    </row>
    <row r="24" spans="2:12" ht="15" thickBot="1" x14ac:dyDescent="0.35">
      <c r="B24" s="80" t="s">
        <v>229</v>
      </c>
      <c r="C24" s="100">
        <v>50</v>
      </c>
      <c r="D24" s="100">
        <v>50</v>
      </c>
      <c r="E24" s="100">
        <v>50</v>
      </c>
      <c r="F24" s="100">
        <v>50</v>
      </c>
      <c r="G24" s="93">
        <v>45</v>
      </c>
      <c r="H24" s="100">
        <v>55.000000000000007</v>
      </c>
      <c r="I24" s="93">
        <v>45</v>
      </c>
      <c r="J24" s="100">
        <v>55.000000000000007</v>
      </c>
      <c r="K24" s="93" t="s">
        <v>133</v>
      </c>
      <c r="L24" s="93"/>
    </row>
    <row r="25" spans="2:12" ht="15" thickBot="1" x14ac:dyDescent="0.35">
      <c r="B25" s="80" t="s">
        <v>228</v>
      </c>
      <c r="C25" s="100">
        <v>53.333333333333336</v>
      </c>
      <c r="D25" s="100">
        <v>53.333333333333336</v>
      </c>
      <c r="E25" s="100">
        <v>53.333333333333336</v>
      </c>
      <c r="F25" s="100">
        <v>53.333333333333336</v>
      </c>
      <c r="G25" s="93">
        <v>48</v>
      </c>
      <c r="H25" s="100">
        <v>58.666666666666671</v>
      </c>
      <c r="I25" s="93">
        <v>48</v>
      </c>
      <c r="J25" s="100">
        <v>58.666666666666671</v>
      </c>
      <c r="K25" s="93" t="s">
        <v>131</v>
      </c>
      <c r="L25" s="93"/>
    </row>
    <row r="26" spans="2:12" ht="15" thickBot="1" x14ac:dyDescent="0.35">
      <c r="B26" s="80" t="s">
        <v>227</v>
      </c>
      <c r="C26" s="100">
        <v>68.333333333333343</v>
      </c>
      <c r="D26" s="100">
        <v>68.333333333333343</v>
      </c>
      <c r="E26" s="100">
        <v>68.333333333333343</v>
      </c>
      <c r="F26" s="100">
        <v>68.333333333333343</v>
      </c>
      <c r="G26" s="100">
        <v>61.500000000000007</v>
      </c>
      <c r="H26" s="100">
        <v>75.166666666666686</v>
      </c>
      <c r="I26" s="100">
        <v>61.500000000000007</v>
      </c>
      <c r="J26" s="100">
        <v>75.166666666666686</v>
      </c>
      <c r="K26" s="93" t="s">
        <v>131</v>
      </c>
      <c r="L26" s="93"/>
    </row>
    <row r="27" spans="2:12" ht="15" thickBot="1" x14ac:dyDescent="0.35">
      <c r="B27" s="80" t="s">
        <v>226</v>
      </c>
      <c r="C27" s="93" t="s">
        <v>287</v>
      </c>
      <c r="D27" s="93" t="s">
        <v>287</v>
      </c>
      <c r="E27" s="93" t="s">
        <v>287</v>
      </c>
      <c r="F27" s="93" t="s">
        <v>287</v>
      </c>
      <c r="G27" s="93" t="s">
        <v>287</v>
      </c>
      <c r="H27" s="93" t="s">
        <v>287</v>
      </c>
      <c r="I27" s="93" t="s">
        <v>287</v>
      </c>
      <c r="J27" s="93" t="s">
        <v>287</v>
      </c>
      <c r="K27" s="93"/>
      <c r="L27" s="93"/>
    </row>
    <row r="28" spans="2:12" ht="15" thickBot="1" x14ac:dyDescent="0.35">
      <c r="B28" s="80" t="s">
        <v>166</v>
      </c>
      <c r="C28" s="93" t="s">
        <v>287</v>
      </c>
      <c r="D28" s="93" t="s">
        <v>287</v>
      </c>
      <c r="E28" s="93" t="s">
        <v>287</v>
      </c>
      <c r="F28" s="93" t="s">
        <v>287</v>
      </c>
      <c r="G28" s="93" t="s">
        <v>287</v>
      </c>
      <c r="H28" s="93" t="s">
        <v>287</v>
      </c>
      <c r="I28" s="93" t="s">
        <v>287</v>
      </c>
      <c r="J28" s="93" t="s">
        <v>287</v>
      </c>
      <c r="K28" s="93" t="s">
        <v>129</v>
      </c>
      <c r="L28" s="93"/>
    </row>
    <row r="29" spans="2:12" ht="15" thickBot="1" x14ac:dyDescent="0.35">
      <c r="B29" s="80" t="s">
        <v>305</v>
      </c>
      <c r="C29" s="93" t="s">
        <v>287</v>
      </c>
      <c r="D29" s="93" t="s">
        <v>287</v>
      </c>
      <c r="E29" s="93" t="s">
        <v>287</v>
      </c>
      <c r="F29" s="93" t="s">
        <v>287</v>
      </c>
      <c r="G29" s="93" t="s">
        <v>287</v>
      </c>
      <c r="H29" s="93" t="s">
        <v>287</v>
      </c>
      <c r="I29" s="93" t="s">
        <v>287</v>
      </c>
      <c r="J29" s="93" t="s">
        <v>287</v>
      </c>
      <c r="K29" s="93" t="s">
        <v>127</v>
      </c>
      <c r="L29" s="93"/>
    </row>
    <row r="30" spans="2:12" ht="15" customHeight="1" thickBot="1" x14ac:dyDescent="0.35">
      <c r="B30" s="80" t="s">
        <v>304</v>
      </c>
      <c r="C30" s="93" t="s">
        <v>287</v>
      </c>
      <c r="D30" s="93" t="s">
        <v>287</v>
      </c>
      <c r="E30" s="93" t="s">
        <v>287</v>
      </c>
      <c r="F30" s="93" t="s">
        <v>287</v>
      </c>
      <c r="G30" s="93" t="s">
        <v>287</v>
      </c>
      <c r="H30" s="93" t="s">
        <v>287</v>
      </c>
      <c r="I30" s="93" t="s">
        <v>287</v>
      </c>
      <c r="J30" s="93" t="s">
        <v>287</v>
      </c>
      <c r="K30" s="93" t="s">
        <v>127</v>
      </c>
      <c r="L30" s="93"/>
    </row>
    <row r="31" spans="2:12" ht="15" thickBot="1" x14ac:dyDescent="0.35">
      <c r="B31" s="80" t="s">
        <v>160</v>
      </c>
      <c r="C31" s="111">
        <v>0.8</v>
      </c>
      <c r="D31" s="111">
        <v>0.8</v>
      </c>
      <c r="E31" s="111">
        <v>0.8</v>
      </c>
      <c r="F31" s="111">
        <v>0.8</v>
      </c>
      <c r="G31" s="111">
        <v>0.7</v>
      </c>
      <c r="H31" s="111">
        <v>0.9</v>
      </c>
      <c r="I31" s="111">
        <v>0.7</v>
      </c>
      <c r="J31" s="111">
        <v>0.9</v>
      </c>
      <c r="K31" s="93"/>
      <c r="L31" s="93">
        <v>2</v>
      </c>
    </row>
    <row r="32" spans="2:12" ht="15" thickBot="1" x14ac:dyDescent="0.35">
      <c r="B32" s="80" t="s">
        <v>159</v>
      </c>
      <c r="C32" s="111">
        <v>0.2</v>
      </c>
      <c r="D32" s="111">
        <v>0.2</v>
      </c>
      <c r="E32" s="111">
        <v>0.2</v>
      </c>
      <c r="F32" s="111">
        <v>0.2</v>
      </c>
      <c r="G32" s="111">
        <v>0.1</v>
      </c>
      <c r="H32" s="111">
        <v>0.3</v>
      </c>
      <c r="I32" s="111">
        <v>0.1</v>
      </c>
      <c r="J32" s="111">
        <v>0.3</v>
      </c>
      <c r="K32" s="93"/>
      <c r="L32" s="93">
        <v>2</v>
      </c>
    </row>
    <row r="33" spans="1:13" ht="15" customHeight="1" thickBot="1" x14ac:dyDescent="0.35">
      <c r="B33" s="80" t="s">
        <v>218</v>
      </c>
      <c r="C33" s="100">
        <v>750</v>
      </c>
      <c r="D33" s="100">
        <v>750</v>
      </c>
      <c r="E33" s="100">
        <v>750</v>
      </c>
      <c r="F33" s="100">
        <v>750</v>
      </c>
      <c r="G33" s="93">
        <v>600</v>
      </c>
      <c r="H33" s="93">
        <v>900</v>
      </c>
      <c r="I33" s="93">
        <v>600</v>
      </c>
      <c r="J33" s="93">
        <v>900</v>
      </c>
      <c r="K33" s="93"/>
      <c r="L33" s="93">
        <v>2</v>
      </c>
    </row>
    <row r="34" spans="1:13" ht="15" thickBot="1" x14ac:dyDescent="0.35">
      <c r="B34" s="80" t="s">
        <v>217</v>
      </c>
      <c r="C34" s="93">
        <v>0</v>
      </c>
      <c r="D34" s="93">
        <v>0</v>
      </c>
      <c r="E34" s="93">
        <v>0</v>
      </c>
      <c r="F34" s="93">
        <v>0</v>
      </c>
      <c r="G34" s="93">
        <v>0</v>
      </c>
      <c r="H34" s="93">
        <v>0</v>
      </c>
      <c r="I34" s="93">
        <v>0</v>
      </c>
      <c r="J34" s="93">
        <v>0</v>
      </c>
      <c r="K34" s="93"/>
      <c r="L34" s="93">
        <v>2</v>
      </c>
    </row>
    <row r="35" spans="1:13" ht="15" thickBot="1" x14ac:dyDescent="0.35">
      <c r="B35" s="96"/>
      <c r="C35" s="94"/>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96"/>
      <c r="C37" s="93"/>
      <c r="D37" s="93"/>
      <c r="E37" s="93"/>
      <c r="F37" s="93"/>
      <c r="G37" s="93"/>
      <c r="H37" s="93"/>
      <c r="I37" s="93"/>
      <c r="J37" s="93"/>
      <c r="K37" s="93"/>
      <c r="L37" s="93"/>
    </row>
    <row r="38" spans="1:13" ht="15" thickBot="1" x14ac:dyDescent="0.35">
      <c r="B38" s="95"/>
      <c r="C38" s="93"/>
      <c r="D38" s="93"/>
      <c r="E38" s="93"/>
      <c r="F38" s="93"/>
      <c r="G38" s="93"/>
      <c r="H38" s="93"/>
      <c r="I38" s="93"/>
      <c r="J38" s="93"/>
      <c r="K38" s="93"/>
      <c r="L38" s="93"/>
    </row>
    <row r="39" spans="1:13" x14ac:dyDescent="0.3">
      <c r="B39" s="55" t="s">
        <v>154</v>
      </c>
    </row>
    <row r="40" spans="1:13" ht="15" customHeight="1" x14ac:dyDescent="0.3">
      <c r="A40" s="53">
        <v>1</v>
      </c>
      <c r="B40" s="208" t="s">
        <v>284</v>
      </c>
      <c r="C40" s="208"/>
      <c r="D40" s="208"/>
      <c r="E40" s="208"/>
      <c r="F40" s="208"/>
      <c r="G40" s="208"/>
      <c r="H40" s="208"/>
      <c r="I40" s="208"/>
      <c r="J40" s="208"/>
      <c r="K40" s="208"/>
      <c r="L40" s="208"/>
    </row>
    <row r="41" spans="1:13" x14ac:dyDescent="0.3">
      <c r="A41" s="53">
        <v>2</v>
      </c>
      <c r="B41" s="208" t="s">
        <v>283</v>
      </c>
      <c r="C41" s="208"/>
      <c r="D41" s="208"/>
      <c r="E41" s="208"/>
      <c r="F41" s="208"/>
      <c r="G41" s="208"/>
      <c r="H41" s="208"/>
      <c r="I41" s="208"/>
      <c r="J41" s="208"/>
      <c r="K41" s="208"/>
      <c r="L41" s="208"/>
    </row>
    <row r="42" spans="1:13" ht="23.25" customHeight="1" x14ac:dyDescent="0.3">
      <c r="A42" s="53"/>
      <c r="B42" s="55" t="s">
        <v>144</v>
      </c>
      <c r="C42" s="54"/>
      <c r="D42" s="54"/>
      <c r="E42" s="54"/>
      <c r="F42" s="54"/>
      <c r="G42" s="54"/>
      <c r="H42" s="54"/>
      <c r="I42" s="54"/>
      <c r="J42" s="54"/>
      <c r="K42" s="54"/>
      <c r="L42" s="54"/>
      <c r="M42" s="54"/>
    </row>
    <row r="43" spans="1:13" ht="26.25" customHeight="1" x14ac:dyDescent="0.3">
      <c r="A43" s="92" t="s">
        <v>143</v>
      </c>
      <c r="B43" s="188" t="s">
        <v>303</v>
      </c>
      <c r="C43" s="188"/>
      <c r="D43" s="188"/>
      <c r="E43" s="188"/>
      <c r="F43" s="188"/>
      <c r="G43" s="188"/>
      <c r="H43" s="188"/>
      <c r="I43" s="188"/>
      <c r="J43" s="188"/>
      <c r="K43" s="188"/>
      <c r="L43" s="188"/>
      <c r="M43" s="79"/>
    </row>
    <row r="44" spans="1:13" ht="15" customHeight="1" x14ac:dyDescent="0.3">
      <c r="A44" s="92" t="s">
        <v>141</v>
      </c>
      <c r="B44" s="188" t="s">
        <v>302</v>
      </c>
      <c r="C44" s="188"/>
      <c r="D44" s="188"/>
      <c r="E44" s="188"/>
      <c r="F44" s="188"/>
      <c r="G44" s="188"/>
      <c r="H44" s="188"/>
      <c r="I44" s="188"/>
      <c r="J44" s="188"/>
      <c r="K44" s="188"/>
      <c r="L44" s="188"/>
      <c r="M44" s="79"/>
    </row>
    <row r="45" spans="1:13" ht="15" customHeight="1" x14ac:dyDescent="0.3">
      <c r="A45" s="92" t="s">
        <v>139</v>
      </c>
      <c r="B45" s="188" t="s">
        <v>301</v>
      </c>
      <c r="C45" s="188"/>
      <c r="D45" s="188"/>
      <c r="E45" s="188"/>
      <c r="F45" s="188"/>
      <c r="G45" s="188"/>
      <c r="H45" s="188"/>
      <c r="I45" s="188"/>
      <c r="J45" s="188"/>
      <c r="K45" s="188"/>
      <c r="L45" s="188"/>
      <c r="M45" s="79"/>
    </row>
    <row r="46" spans="1:13" x14ac:dyDescent="0.3">
      <c r="A46" s="92" t="s">
        <v>137</v>
      </c>
      <c r="B46" s="188" t="s">
        <v>300</v>
      </c>
      <c r="C46" s="188"/>
      <c r="D46" s="188"/>
      <c r="E46" s="188"/>
      <c r="F46" s="188"/>
      <c r="G46" s="188"/>
      <c r="H46" s="188"/>
      <c r="I46" s="188"/>
      <c r="J46" s="188"/>
      <c r="K46" s="188"/>
      <c r="L46" s="188"/>
      <c r="M46" s="79"/>
    </row>
    <row r="47" spans="1:13" x14ac:dyDescent="0.3">
      <c r="A47" s="92" t="s">
        <v>135</v>
      </c>
      <c r="B47" s="188" t="s">
        <v>299</v>
      </c>
      <c r="C47" s="188"/>
      <c r="D47" s="188"/>
      <c r="E47" s="188"/>
      <c r="F47" s="188"/>
      <c r="G47" s="188"/>
      <c r="H47" s="188"/>
      <c r="I47" s="188"/>
      <c r="J47" s="188"/>
      <c r="K47" s="188"/>
      <c r="L47" s="188"/>
      <c r="M47" s="79"/>
    </row>
    <row r="48" spans="1:13" ht="14.25" customHeight="1" x14ac:dyDescent="0.3">
      <c r="A48" s="92" t="s">
        <v>133</v>
      </c>
      <c r="B48" s="188" t="s">
        <v>298</v>
      </c>
      <c r="C48" s="188"/>
      <c r="D48" s="188"/>
      <c r="E48" s="188"/>
      <c r="F48" s="188"/>
      <c r="G48" s="188"/>
      <c r="H48" s="188"/>
      <c r="I48" s="188"/>
      <c r="J48" s="188"/>
      <c r="K48" s="188"/>
      <c r="L48" s="188"/>
      <c r="M48" s="79"/>
    </row>
    <row r="49" spans="1:14" ht="15" customHeight="1" x14ac:dyDescent="0.3">
      <c r="A49" s="92" t="s">
        <v>131</v>
      </c>
      <c r="B49" s="188" t="s">
        <v>297</v>
      </c>
      <c r="C49" s="188"/>
      <c r="D49" s="188"/>
      <c r="E49" s="188"/>
      <c r="F49" s="188"/>
      <c r="G49" s="188"/>
      <c r="H49" s="188"/>
      <c r="I49" s="188"/>
      <c r="J49" s="188"/>
      <c r="K49" s="188"/>
      <c r="L49" s="188"/>
      <c r="M49" s="79"/>
    </row>
    <row r="50" spans="1:14" x14ac:dyDescent="0.3">
      <c r="A50" s="92" t="s">
        <v>129</v>
      </c>
      <c r="B50" s="188" t="s">
        <v>296</v>
      </c>
      <c r="C50" s="188"/>
      <c r="D50" s="188"/>
      <c r="E50" s="188"/>
      <c r="F50" s="188"/>
      <c r="G50" s="188"/>
      <c r="H50" s="188"/>
      <c r="I50" s="188"/>
      <c r="J50" s="188"/>
      <c r="K50" s="188"/>
      <c r="L50" s="188"/>
      <c r="M50" s="79"/>
      <c r="N50" s="90" t="s">
        <v>295</v>
      </c>
    </row>
    <row r="51" spans="1:14" ht="15" customHeight="1" x14ac:dyDescent="0.3">
      <c r="A51" s="92" t="s">
        <v>127</v>
      </c>
      <c r="B51" s="188" t="s">
        <v>294</v>
      </c>
      <c r="C51" s="188"/>
      <c r="D51" s="188"/>
      <c r="E51" s="188"/>
      <c r="F51" s="188"/>
      <c r="G51" s="188"/>
      <c r="H51" s="188"/>
      <c r="I51" s="188"/>
      <c r="J51" s="188"/>
      <c r="K51" s="188"/>
      <c r="L51" s="188"/>
      <c r="M51" s="79"/>
    </row>
  </sheetData>
  <mergeCells count="21">
    <mergeCell ref="L3:L4"/>
    <mergeCell ref="B40:L40"/>
    <mergeCell ref="B41:L41"/>
    <mergeCell ref="B43:L43"/>
    <mergeCell ref="B44:L44"/>
    <mergeCell ref="B50:L50"/>
    <mergeCell ref="B51:L51"/>
    <mergeCell ref="C2:L2"/>
    <mergeCell ref="B3:B4"/>
    <mergeCell ref="C3:C4"/>
    <mergeCell ref="D3:D4"/>
    <mergeCell ref="E3:E4"/>
    <mergeCell ref="F3:F4"/>
    <mergeCell ref="G3:H4"/>
    <mergeCell ref="I3:J4"/>
    <mergeCell ref="K3:K4"/>
    <mergeCell ref="B45:L45"/>
    <mergeCell ref="B46:L46"/>
    <mergeCell ref="B47:L47"/>
    <mergeCell ref="B48:L48"/>
    <mergeCell ref="B49:L49"/>
  </mergeCells>
  <hyperlinks>
    <hyperlink ref="C2" location="INDEX" display="Energy Transport Natural Gas Distribution, New distribution in existing rual areas" xr:uid="{469DBBC8-6E71-49E8-8222-4A360AFFEF9D}"/>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7978-3643-49A9-B647-7BFCE7B1F829}">
  <dimension ref="A1:N55"/>
  <sheetViews>
    <sheetView workbookViewId="0">
      <selection activeCell="D19" sqref="D19"/>
    </sheetView>
  </sheetViews>
  <sheetFormatPr defaultColWidth="9.109375" defaultRowHeight="14.4" x14ac:dyDescent="0.3"/>
  <cols>
    <col min="1" max="1" width="2.33203125" style="90" bestFit="1" customWidth="1"/>
    <col min="2" max="2" width="41" style="90" customWidth="1"/>
    <col min="3" max="6" width="9.109375" style="90"/>
    <col min="7" max="8" width="10" style="90" bestFit="1" customWidth="1"/>
    <col min="9" max="10" width="9.109375" style="90"/>
    <col min="11" max="11" width="12.5546875" style="90" customWidth="1"/>
    <col min="12" max="13" width="9.109375" style="90"/>
    <col min="14" max="14" width="32.33203125" style="90" customWidth="1"/>
    <col min="15" max="15" width="29.109375" style="90" customWidth="1"/>
    <col min="16" max="18" width="9.109375" style="90"/>
    <col min="19" max="19" width="30.6640625" style="90" customWidth="1"/>
    <col min="20" max="20" width="29.33203125" style="90" customWidth="1"/>
    <col min="21" max="16384" width="9.109375" style="90"/>
  </cols>
  <sheetData>
    <row r="1" spans="2:14" ht="15" thickBot="1" x14ac:dyDescent="0.35">
      <c r="B1" s="75" t="s">
        <v>314</v>
      </c>
    </row>
    <row r="2" spans="2:14" ht="33.75" customHeight="1" thickBot="1" x14ac:dyDescent="0.35">
      <c r="B2" s="110" t="s">
        <v>197</v>
      </c>
      <c r="C2" s="177" t="s">
        <v>313</v>
      </c>
      <c r="D2" s="206"/>
      <c r="E2" s="206"/>
      <c r="F2" s="206"/>
      <c r="G2" s="206"/>
      <c r="H2" s="206"/>
      <c r="I2" s="206"/>
      <c r="J2" s="206"/>
      <c r="K2" s="206"/>
      <c r="L2" s="207"/>
      <c r="N2" s="109"/>
    </row>
    <row r="3" spans="2:14" x14ac:dyDescent="0.3">
      <c r="B3" s="198"/>
      <c r="C3" s="200">
        <v>2015</v>
      </c>
      <c r="D3" s="200">
        <v>2020</v>
      </c>
      <c r="E3" s="200">
        <v>2030</v>
      </c>
      <c r="F3" s="200">
        <v>2050</v>
      </c>
      <c r="G3" s="202" t="s">
        <v>195</v>
      </c>
      <c r="H3" s="203"/>
      <c r="I3" s="202" t="s">
        <v>194</v>
      </c>
      <c r="J3" s="203"/>
      <c r="K3" s="200" t="s">
        <v>193</v>
      </c>
      <c r="L3" s="200" t="s">
        <v>192</v>
      </c>
    </row>
    <row r="4" spans="2:14" ht="15" thickBot="1" x14ac:dyDescent="0.35">
      <c r="B4" s="199"/>
      <c r="C4" s="201"/>
      <c r="D4" s="201"/>
      <c r="E4" s="201"/>
      <c r="F4" s="201"/>
      <c r="G4" s="204"/>
      <c r="H4" s="205"/>
      <c r="I4" s="204"/>
      <c r="J4" s="205"/>
      <c r="K4" s="201"/>
      <c r="L4" s="201"/>
    </row>
    <row r="5" spans="2:14" ht="15" thickBot="1" x14ac:dyDescent="0.35">
      <c r="B5" s="97" t="s">
        <v>191</v>
      </c>
      <c r="C5" s="104"/>
      <c r="D5" s="104"/>
      <c r="E5" s="104"/>
      <c r="F5" s="104"/>
      <c r="G5" s="108" t="s">
        <v>190</v>
      </c>
      <c r="H5" s="108" t="s">
        <v>189</v>
      </c>
      <c r="I5" s="108" t="s">
        <v>190</v>
      </c>
      <c r="J5" s="108" t="s">
        <v>189</v>
      </c>
      <c r="K5" s="104"/>
      <c r="L5" s="103"/>
    </row>
    <row r="6" spans="2:14" ht="15" thickBot="1" x14ac:dyDescent="0.35">
      <c r="B6" s="95" t="s">
        <v>248</v>
      </c>
      <c r="C6" s="99">
        <v>0.26307448603264283</v>
      </c>
      <c r="D6" s="99">
        <v>0.26307448603264283</v>
      </c>
      <c r="E6" s="99">
        <v>0.26307448603264283</v>
      </c>
      <c r="F6" s="99">
        <v>0.26307448603264283</v>
      </c>
      <c r="G6" s="93">
        <v>0.05</v>
      </c>
      <c r="H6" s="93">
        <v>0.3</v>
      </c>
      <c r="I6" s="93">
        <v>0.05</v>
      </c>
      <c r="J6" s="93">
        <v>0.3</v>
      </c>
      <c r="K6" s="93" t="s">
        <v>143</v>
      </c>
      <c r="L6" s="93">
        <v>1</v>
      </c>
    </row>
    <row r="7" spans="2:14" ht="15" thickBot="1" x14ac:dyDescent="0.35">
      <c r="B7" s="95" t="s">
        <v>247</v>
      </c>
      <c r="C7" s="115" t="s">
        <v>287</v>
      </c>
      <c r="D7" s="115" t="s">
        <v>287</v>
      </c>
      <c r="E7" s="115" t="s">
        <v>287</v>
      </c>
      <c r="F7" s="115" t="s">
        <v>287</v>
      </c>
      <c r="G7" s="115" t="s">
        <v>287</v>
      </c>
      <c r="H7" s="115" t="s">
        <v>287</v>
      </c>
      <c r="I7" s="115" t="s">
        <v>287</v>
      </c>
      <c r="J7" s="115" t="s">
        <v>287</v>
      </c>
      <c r="K7" s="93" t="s">
        <v>141</v>
      </c>
      <c r="L7" s="93"/>
    </row>
    <row r="8" spans="2:14" ht="15" thickBot="1" x14ac:dyDescent="0.35">
      <c r="B8" s="95" t="s">
        <v>246</v>
      </c>
      <c r="C8" s="93">
        <v>0</v>
      </c>
      <c r="D8" s="93">
        <v>0</v>
      </c>
      <c r="E8" s="93">
        <v>0</v>
      </c>
      <c r="F8" s="93">
        <v>0</v>
      </c>
      <c r="G8" s="93">
        <v>0</v>
      </c>
      <c r="H8" s="93">
        <v>0</v>
      </c>
      <c r="I8" s="93">
        <v>0</v>
      </c>
      <c r="J8" s="93">
        <v>0</v>
      </c>
      <c r="K8" s="93" t="s">
        <v>139</v>
      </c>
      <c r="L8" s="93"/>
    </row>
    <row r="9" spans="2:14" ht="15" thickBot="1" x14ac:dyDescent="0.35">
      <c r="B9" s="95" t="s">
        <v>179</v>
      </c>
      <c r="C9" s="93">
        <v>50</v>
      </c>
      <c r="D9" s="93">
        <v>50</v>
      </c>
      <c r="E9" s="93">
        <v>50</v>
      </c>
      <c r="F9" s="93">
        <v>50</v>
      </c>
      <c r="G9" s="93">
        <v>50</v>
      </c>
      <c r="H9" s="93">
        <v>80</v>
      </c>
      <c r="I9" s="93">
        <v>50</v>
      </c>
      <c r="J9" s="93">
        <v>80</v>
      </c>
      <c r="K9" s="93"/>
      <c r="L9" s="93">
        <v>2</v>
      </c>
    </row>
    <row r="10" spans="2:14" ht="15" thickBot="1" x14ac:dyDescent="0.35">
      <c r="B10" s="95" t="s">
        <v>178</v>
      </c>
      <c r="C10" s="115" t="s">
        <v>287</v>
      </c>
      <c r="D10" s="115" t="s">
        <v>287</v>
      </c>
      <c r="E10" s="115" t="s">
        <v>287</v>
      </c>
      <c r="F10" s="115" t="s">
        <v>287</v>
      </c>
      <c r="G10" s="115" t="s">
        <v>287</v>
      </c>
      <c r="H10" s="115" t="s">
        <v>287</v>
      </c>
      <c r="I10" s="115" t="s">
        <v>287</v>
      </c>
      <c r="J10" s="115" t="s">
        <v>287</v>
      </c>
      <c r="K10" s="93"/>
      <c r="L10" s="93"/>
    </row>
    <row r="11" spans="2:14" ht="15" thickBot="1" x14ac:dyDescent="0.35">
      <c r="B11" s="113" t="s">
        <v>242</v>
      </c>
      <c r="C11" s="93">
        <v>0.2</v>
      </c>
      <c r="D11" s="93">
        <f>C11</f>
        <v>0.2</v>
      </c>
      <c r="E11" s="93">
        <f>D11</f>
        <v>0.2</v>
      </c>
      <c r="F11" s="93">
        <f>E11</f>
        <v>0.2</v>
      </c>
      <c r="G11" s="93">
        <v>0.15</v>
      </c>
      <c r="H11" s="93">
        <v>0.25</v>
      </c>
      <c r="I11" s="93">
        <v>0.15</v>
      </c>
      <c r="J11" s="93">
        <v>0.25</v>
      </c>
      <c r="K11" s="93" t="s">
        <v>137</v>
      </c>
      <c r="L11" s="93"/>
    </row>
    <row r="12" spans="2:14" ht="15" thickBot="1" x14ac:dyDescent="0.35">
      <c r="B12" s="113" t="s">
        <v>260</v>
      </c>
      <c r="C12" s="114" t="s">
        <v>156</v>
      </c>
      <c r="D12" s="114" t="s">
        <v>156</v>
      </c>
      <c r="E12" s="114" t="s">
        <v>156</v>
      </c>
      <c r="F12" s="114" t="s">
        <v>156</v>
      </c>
      <c r="G12" s="93"/>
      <c r="H12" s="93"/>
      <c r="I12" s="93"/>
      <c r="J12" s="93"/>
      <c r="K12" s="93" t="s">
        <v>137</v>
      </c>
      <c r="L12" s="93"/>
    </row>
    <row r="13" spans="2:14" ht="15" thickBot="1" x14ac:dyDescent="0.35">
      <c r="B13" s="113" t="s">
        <v>177</v>
      </c>
      <c r="C13" s="93">
        <v>0.4</v>
      </c>
      <c r="D13" s="93">
        <v>0.4</v>
      </c>
      <c r="E13" s="93">
        <v>0.4</v>
      </c>
      <c r="F13" s="93">
        <v>0.4</v>
      </c>
      <c r="G13" s="93">
        <v>0.3</v>
      </c>
      <c r="H13" s="93">
        <v>0.5</v>
      </c>
      <c r="I13" s="93">
        <v>0.3</v>
      </c>
      <c r="J13" s="93">
        <v>0.5</v>
      </c>
      <c r="K13" s="93"/>
      <c r="L13" s="93">
        <v>2</v>
      </c>
    </row>
    <row r="14" spans="2:14" ht="15" thickBot="1" x14ac:dyDescent="0.35">
      <c r="B14" s="95"/>
      <c r="C14" s="94"/>
      <c r="D14" s="93"/>
      <c r="E14" s="93"/>
      <c r="F14" s="93"/>
      <c r="G14" s="93"/>
      <c r="H14" s="93"/>
      <c r="I14" s="93"/>
      <c r="J14" s="93"/>
      <c r="K14" s="93"/>
      <c r="L14" s="93"/>
    </row>
    <row r="15" spans="2:14" ht="15" thickBot="1" x14ac:dyDescent="0.35">
      <c r="B15" s="97" t="s">
        <v>176</v>
      </c>
      <c r="C15" s="94"/>
      <c r="D15" s="104"/>
      <c r="E15" s="104"/>
      <c r="F15" s="104"/>
      <c r="G15" s="104"/>
      <c r="H15" s="104"/>
      <c r="I15" s="104"/>
      <c r="J15" s="104"/>
      <c r="K15" s="104"/>
      <c r="L15" s="103"/>
    </row>
    <row r="16" spans="2:14" ht="15" thickBot="1" x14ac:dyDescent="0.35">
      <c r="B16" s="80" t="s">
        <v>259</v>
      </c>
      <c r="C16" s="93">
        <v>150</v>
      </c>
      <c r="D16" s="93">
        <v>150</v>
      </c>
      <c r="E16" s="93">
        <v>150</v>
      </c>
      <c r="F16" s="93">
        <v>150</v>
      </c>
      <c r="G16" s="93">
        <v>140</v>
      </c>
      <c r="H16" s="93">
        <v>170</v>
      </c>
      <c r="I16" s="93">
        <v>140</v>
      </c>
      <c r="J16" s="93">
        <v>170</v>
      </c>
      <c r="K16" s="93"/>
      <c r="L16" s="93">
        <v>2</v>
      </c>
    </row>
    <row r="17" spans="2:12" ht="15" customHeight="1" thickBot="1" x14ac:dyDescent="0.35">
      <c r="B17" s="80" t="s">
        <v>237</v>
      </c>
      <c r="C17" s="93">
        <v>1600</v>
      </c>
      <c r="D17" s="93">
        <v>1600</v>
      </c>
      <c r="E17" s="93">
        <v>1600</v>
      </c>
      <c r="F17" s="93">
        <v>1600</v>
      </c>
      <c r="G17" s="93">
        <v>1400</v>
      </c>
      <c r="H17" s="93">
        <v>1800</v>
      </c>
      <c r="I17" s="93">
        <v>1400</v>
      </c>
      <c r="J17" s="93">
        <v>1800</v>
      </c>
      <c r="K17" s="93"/>
      <c r="L17" s="93">
        <v>2</v>
      </c>
    </row>
    <row r="18" spans="2:12" ht="15" customHeight="1" thickBot="1" x14ac:dyDescent="0.35">
      <c r="B18" s="80" t="s">
        <v>236</v>
      </c>
      <c r="C18" s="93" t="s">
        <v>287</v>
      </c>
      <c r="D18" s="93" t="s">
        <v>287</v>
      </c>
      <c r="E18" s="93" t="s">
        <v>287</v>
      </c>
      <c r="F18" s="93" t="s">
        <v>287</v>
      </c>
      <c r="G18" s="93" t="s">
        <v>287</v>
      </c>
      <c r="H18" s="93" t="s">
        <v>287</v>
      </c>
      <c r="I18" s="93" t="s">
        <v>287</v>
      </c>
      <c r="J18" s="93" t="s">
        <v>287</v>
      </c>
      <c r="K18" s="93" t="s">
        <v>135</v>
      </c>
      <c r="L18" s="93"/>
    </row>
    <row r="19" spans="2:12" ht="15" thickBot="1" x14ac:dyDescent="0.35">
      <c r="B19" s="80" t="s">
        <v>235</v>
      </c>
      <c r="C19" s="93" t="s">
        <v>287</v>
      </c>
      <c r="D19" s="93" t="s">
        <v>287</v>
      </c>
      <c r="E19" s="93" t="s">
        <v>287</v>
      </c>
      <c r="F19" s="93" t="s">
        <v>287</v>
      </c>
      <c r="G19" s="93" t="s">
        <v>287</v>
      </c>
      <c r="H19" s="93" t="s">
        <v>287</v>
      </c>
      <c r="I19" s="93" t="s">
        <v>287</v>
      </c>
      <c r="J19" s="93" t="s">
        <v>287</v>
      </c>
      <c r="K19" s="93" t="s">
        <v>135</v>
      </c>
      <c r="L19" s="93"/>
    </row>
    <row r="20" spans="2:12" ht="15" thickBot="1" x14ac:dyDescent="0.35">
      <c r="B20" s="80" t="s">
        <v>234</v>
      </c>
      <c r="C20" s="93" t="s">
        <v>287</v>
      </c>
      <c r="D20" s="93" t="s">
        <v>287</v>
      </c>
      <c r="E20" s="93" t="s">
        <v>287</v>
      </c>
      <c r="F20" s="93" t="s">
        <v>287</v>
      </c>
      <c r="G20" s="93" t="s">
        <v>287</v>
      </c>
      <c r="H20" s="93" t="s">
        <v>287</v>
      </c>
      <c r="I20" s="93" t="s">
        <v>287</v>
      </c>
      <c r="J20" s="93" t="s">
        <v>287</v>
      </c>
      <c r="K20" s="93" t="s">
        <v>135</v>
      </c>
      <c r="L20" s="93"/>
    </row>
    <row r="21" spans="2:12" ht="15" thickBot="1" x14ac:dyDescent="0.35">
      <c r="B21" s="80" t="s">
        <v>232</v>
      </c>
      <c r="C21" s="100">
        <v>53.333333333333336</v>
      </c>
      <c r="D21" s="100">
        <v>53.333333333333336</v>
      </c>
      <c r="E21" s="100">
        <v>53.333333333333336</v>
      </c>
      <c r="F21" s="100">
        <v>53.333333333333336</v>
      </c>
      <c r="G21" s="93">
        <v>48</v>
      </c>
      <c r="H21" s="100">
        <v>58.666666666666671</v>
      </c>
      <c r="I21" s="93">
        <v>48</v>
      </c>
      <c r="J21" s="100">
        <v>58.666666666666671</v>
      </c>
      <c r="K21" s="93" t="s">
        <v>133</v>
      </c>
      <c r="L21" s="93"/>
    </row>
    <row r="22" spans="2:12" ht="15" thickBot="1" x14ac:dyDescent="0.35">
      <c r="B22" s="80" t="s">
        <v>231</v>
      </c>
      <c r="C22" s="100">
        <v>53.333333333333336</v>
      </c>
      <c r="D22" s="100">
        <v>53.333333333333336</v>
      </c>
      <c r="E22" s="100">
        <v>53.333333333333336</v>
      </c>
      <c r="F22" s="100">
        <v>53.333333333333336</v>
      </c>
      <c r="G22" s="93">
        <v>48</v>
      </c>
      <c r="H22" s="100">
        <v>58.666666666666671</v>
      </c>
      <c r="I22" s="93">
        <v>48</v>
      </c>
      <c r="J22" s="100">
        <v>58.666666666666671</v>
      </c>
      <c r="K22" s="93" t="s">
        <v>133</v>
      </c>
      <c r="L22" s="93"/>
    </row>
    <row r="23" spans="2:12" ht="15" thickBot="1" x14ac:dyDescent="0.35">
      <c r="B23" s="80" t="s">
        <v>230</v>
      </c>
      <c r="C23" s="100">
        <v>53.333333333333336</v>
      </c>
      <c r="D23" s="100">
        <v>53.333333333333336</v>
      </c>
      <c r="E23" s="100">
        <v>53.333333333333336</v>
      </c>
      <c r="F23" s="100">
        <v>53.333333333333336</v>
      </c>
      <c r="G23" s="93">
        <v>48</v>
      </c>
      <c r="H23" s="100">
        <v>58.666666666666671</v>
      </c>
      <c r="I23" s="93">
        <v>48</v>
      </c>
      <c r="J23" s="100">
        <v>58.666666666666671</v>
      </c>
      <c r="K23" s="93" t="s">
        <v>133</v>
      </c>
      <c r="L23" s="93"/>
    </row>
    <row r="24" spans="2:12" ht="15" thickBot="1" x14ac:dyDescent="0.35">
      <c r="B24" s="80" t="s">
        <v>229</v>
      </c>
      <c r="C24" s="100">
        <v>53.333333333333336</v>
      </c>
      <c r="D24" s="100">
        <v>53.333333333333336</v>
      </c>
      <c r="E24" s="100">
        <v>53.333333333333336</v>
      </c>
      <c r="F24" s="100">
        <v>53.333333333333336</v>
      </c>
      <c r="G24" s="93">
        <v>48</v>
      </c>
      <c r="H24" s="100">
        <v>58.666666666666671</v>
      </c>
      <c r="I24" s="93">
        <v>48</v>
      </c>
      <c r="J24" s="100">
        <v>58.666666666666671</v>
      </c>
      <c r="K24" s="93" t="s">
        <v>133</v>
      </c>
      <c r="L24" s="93"/>
    </row>
    <row r="25" spans="2:12" ht="15" thickBot="1" x14ac:dyDescent="0.35">
      <c r="B25" s="80" t="s">
        <v>228</v>
      </c>
      <c r="C25" s="100">
        <v>60</v>
      </c>
      <c r="D25" s="100">
        <v>60</v>
      </c>
      <c r="E25" s="100">
        <v>60</v>
      </c>
      <c r="F25" s="100">
        <v>60</v>
      </c>
      <c r="G25" s="93">
        <v>54</v>
      </c>
      <c r="H25" s="100">
        <v>66</v>
      </c>
      <c r="I25" s="93">
        <v>54</v>
      </c>
      <c r="J25" s="100">
        <v>66</v>
      </c>
      <c r="K25" s="93" t="s">
        <v>131</v>
      </c>
      <c r="L25" s="93"/>
    </row>
    <row r="26" spans="2:12" ht="15" thickBot="1" x14ac:dyDescent="0.35">
      <c r="B26" s="80" t="s">
        <v>227</v>
      </c>
      <c r="C26" s="100">
        <v>86.666666666666671</v>
      </c>
      <c r="D26" s="100">
        <v>86.666666666666671</v>
      </c>
      <c r="E26" s="100">
        <v>86.666666666666671</v>
      </c>
      <c r="F26" s="100">
        <v>86.666666666666671</v>
      </c>
      <c r="G26" s="100">
        <v>78</v>
      </c>
      <c r="H26" s="100">
        <v>95.333333333333343</v>
      </c>
      <c r="I26" s="100">
        <v>78</v>
      </c>
      <c r="J26" s="100">
        <v>95.333333333333343</v>
      </c>
      <c r="K26" s="93" t="s">
        <v>131</v>
      </c>
      <c r="L26" s="93"/>
    </row>
    <row r="27" spans="2:12" ht="15" thickBot="1" x14ac:dyDescent="0.35">
      <c r="B27" s="80" t="s">
        <v>226</v>
      </c>
      <c r="C27" s="93" t="s">
        <v>287</v>
      </c>
      <c r="D27" s="93" t="s">
        <v>287</v>
      </c>
      <c r="E27" s="93" t="s">
        <v>287</v>
      </c>
      <c r="F27" s="93" t="s">
        <v>287</v>
      </c>
      <c r="G27" s="93" t="s">
        <v>287</v>
      </c>
      <c r="H27" s="93" t="s">
        <v>287</v>
      </c>
      <c r="I27" s="93" t="s">
        <v>287</v>
      </c>
      <c r="J27" s="93" t="s">
        <v>287</v>
      </c>
      <c r="K27" s="93"/>
      <c r="L27" s="93"/>
    </row>
    <row r="28" spans="2:12" ht="15" thickBot="1" x14ac:dyDescent="0.35">
      <c r="B28" s="80" t="s">
        <v>166</v>
      </c>
      <c r="C28" s="93" t="s">
        <v>287</v>
      </c>
      <c r="D28" s="93" t="s">
        <v>287</v>
      </c>
      <c r="E28" s="93" t="s">
        <v>287</v>
      </c>
      <c r="F28" s="93" t="s">
        <v>287</v>
      </c>
      <c r="G28" s="93" t="s">
        <v>287</v>
      </c>
      <c r="H28" s="93" t="s">
        <v>287</v>
      </c>
      <c r="I28" s="93" t="s">
        <v>287</v>
      </c>
      <c r="J28" s="93" t="s">
        <v>287</v>
      </c>
      <c r="K28" s="93" t="s">
        <v>129</v>
      </c>
      <c r="L28" s="93"/>
    </row>
    <row r="29" spans="2:12" ht="15" thickBot="1" x14ac:dyDescent="0.35">
      <c r="B29" s="80" t="s">
        <v>305</v>
      </c>
      <c r="C29" s="93" t="s">
        <v>287</v>
      </c>
      <c r="D29" s="93" t="s">
        <v>287</v>
      </c>
      <c r="E29" s="93" t="s">
        <v>287</v>
      </c>
      <c r="F29" s="93" t="s">
        <v>287</v>
      </c>
      <c r="G29" s="93" t="s">
        <v>287</v>
      </c>
      <c r="H29" s="93" t="s">
        <v>287</v>
      </c>
      <c r="I29" s="93" t="s">
        <v>287</v>
      </c>
      <c r="J29" s="93" t="s">
        <v>287</v>
      </c>
      <c r="K29" s="93" t="s">
        <v>127</v>
      </c>
      <c r="L29" s="93"/>
    </row>
    <row r="30" spans="2:12" ht="15" customHeight="1" thickBot="1" x14ac:dyDescent="0.35">
      <c r="B30" s="80" t="s">
        <v>304</v>
      </c>
      <c r="C30" s="93" t="s">
        <v>287</v>
      </c>
      <c r="D30" s="93" t="s">
        <v>287</v>
      </c>
      <c r="E30" s="93" t="s">
        <v>287</v>
      </c>
      <c r="F30" s="93" t="s">
        <v>287</v>
      </c>
      <c r="G30" s="93" t="s">
        <v>287</v>
      </c>
      <c r="H30" s="93" t="s">
        <v>287</v>
      </c>
      <c r="I30" s="93" t="s">
        <v>287</v>
      </c>
      <c r="J30" s="93" t="s">
        <v>287</v>
      </c>
      <c r="K30" s="93" t="s">
        <v>127</v>
      </c>
      <c r="L30" s="93"/>
    </row>
    <row r="31" spans="2:12" ht="15" thickBot="1" x14ac:dyDescent="0.35">
      <c r="B31" s="80" t="s">
        <v>160</v>
      </c>
      <c r="C31" s="111">
        <v>0.8</v>
      </c>
      <c r="D31" s="111">
        <v>0.8</v>
      </c>
      <c r="E31" s="111">
        <v>0.8</v>
      </c>
      <c r="F31" s="111">
        <v>0.8</v>
      </c>
      <c r="G31" s="111">
        <v>0.7</v>
      </c>
      <c r="H31" s="111">
        <v>0.9</v>
      </c>
      <c r="I31" s="111">
        <v>0.7</v>
      </c>
      <c r="J31" s="111">
        <v>0.9</v>
      </c>
      <c r="K31" s="93"/>
      <c r="L31" s="93">
        <v>2</v>
      </c>
    </row>
    <row r="32" spans="2:12" ht="15" thickBot="1" x14ac:dyDescent="0.35">
      <c r="B32" s="80" t="s">
        <v>159</v>
      </c>
      <c r="C32" s="111">
        <v>0.2</v>
      </c>
      <c r="D32" s="111">
        <v>0.2</v>
      </c>
      <c r="E32" s="111">
        <v>0.2</v>
      </c>
      <c r="F32" s="111">
        <v>0.2</v>
      </c>
      <c r="G32" s="111">
        <v>0.1</v>
      </c>
      <c r="H32" s="111">
        <v>0.3</v>
      </c>
      <c r="I32" s="111">
        <v>0.1</v>
      </c>
      <c r="J32" s="111">
        <v>0.3</v>
      </c>
      <c r="K32" s="93"/>
      <c r="L32" s="93">
        <v>2</v>
      </c>
    </row>
    <row r="33" spans="1:13" ht="15" customHeight="1" thickBot="1" x14ac:dyDescent="0.35">
      <c r="B33" s="80" t="s">
        <v>218</v>
      </c>
      <c r="C33" s="100">
        <v>310</v>
      </c>
      <c r="D33" s="100">
        <v>310</v>
      </c>
      <c r="E33" s="100">
        <v>310</v>
      </c>
      <c r="F33" s="100">
        <v>310</v>
      </c>
      <c r="G33" s="93">
        <v>250</v>
      </c>
      <c r="H33" s="93">
        <v>370</v>
      </c>
      <c r="I33" s="93">
        <v>250</v>
      </c>
      <c r="J33" s="93">
        <v>370</v>
      </c>
      <c r="K33" s="93"/>
      <c r="L33" s="93">
        <v>2</v>
      </c>
    </row>
    <row r="34" spans="1:13" ht="15" thickBot="1" x14ac:dyDescent="0.35">
      <c r="B34" s="80" t="s">
        <v>217</v>
      </c>
      <c r="C34" s="93">
        <v>0</v>
      </c>
      <c r="D34" s="93">
        <v>0</v>
      </c>
      <c r="E34" s="93">
        <v>0</v>
      </c>
      <c r="F34" s="93">
        <v>0</v>
      </c>
      <c r="G34" s="93">
        <v>0</v>
      </c>
      <c r="H34" s="93">
        <v>0</v>
      </c>
      <c r="I34" s="93">
        <v>0</v>
      </c>
      <c r="J34" s="93">
        <v>0</v>
      </c>
      <c r="K34" s="93"/>
      <c r="L34" s="93">
        <v>2</v>
      </c>
    </row>
    <row r="35" spans="1:13" ht="15" thickBot="1" x14ac:dyDescent="0.35">
      <c r="B35" s="96"/>
      <c r="C35" s="94"/>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96"/>
      <c r="C37" s="93"/>
      <c r="D37" s="93"/>
      <c r="E37" s="93"/>
      <c r="F37" s="93"/>
      <c r="G37" s="93"/>
      <c r="H37" s="93"/>
      <c r="I37" s="93"/>
      <c r="J37" s="93"/>
      <c r="K37" s="93"/>
      <c r="L37" s="93"/>
    </row>
    <row r="38" spans="1:13" ht="15" thickBot="1" x14ac:dyDescent="0.35">
      <c r="B38" s="95"/>
      <c r="C38" s="93"/>
      <c r="D38" s="93"/>
      <c r="E38" s="93"/>
      <c r="F38" s="93"/>
      <c r="G38" s="93"/>
      <c r="H38" s="93"/>
      <c r="I38" s="93"/>
      <c r="J38" s="93"/>
      <c r="K38" s="93"/>
      <c r="L38" s="93"/>
    </row>
    <row r="39" spans="1:13" x14ac:dyDescent="0.3">
      <c r="B39" s="55" t="s">
        <v>154</v>
      </c>
    </row>
    <row r="40" spans="1:13" ht="15" customHeight="1" x14ac:dyDescent="0.3">
      <c r="A40" s="53">
        <v>1</v>
      </c>
      <c r="B40" s="188" t="s">
        <v>312</v>
      </c>
      <c r="C40" s="188"/>
      <c r="D40" s="188"/>
      <c r="E40" s="188"/>
      <c r="F40" s="188"/>
      <c r="G40" s="188"/>
      <c r="H40" s="188"/>
      <c r="I40" s="188"/>
      <c r="J40" s="188"/>
      <c r="K40" s="188"/>
      <c r="L40" s="188"/>
    </row>
    <row r="41" spans="1:13" x14ac:dyDescent="0.3">
      <c r="A41" s="53">
        <v>2</v>
      </c>
      <c r="B41" s="188" t="s">
        <v>283</v>
      </c>
      <c r="C41" s="188"/>
      <c r="D41" s="188"/>
      <c r="E41" s="188"/>
      <c r="F41" s="188"/>
      <c r="G41" s="188"/>
      <c r="H41" s="188"/>
      <c r="I41" s="188"/>
      <c r="J41" s="188"/>
      <c r="K41" s="188"/>
      <c r="L41" s="188"/>
    </row>
    <row r="42" spans="1:13" x14ac:dyDescent="0.3">
      <c r="A42" s="53"/>
      <c r="B42" s="79"/>
      <c r="C42" s="79"/>
      <c r="D42" s="79"/>
      <c r="E42" s="79"/>
      <c r="F42" s="79"/>
      <c r="G42" s="79"/>
      <c r="H42" s="79"/>
      <c r="I42" s="79"/>
      <c r="J42" s="79"/>
      <c r="K42" s="79"/>
      <c r="L42" s="79"/>
    </row>
    <row r="43" spans="1:13" x14ac:dyDescent="0.3">
      <c r="A43" s="53"/>
      <c r="B43" s="55" t="s">
        <v>144</v>
      </c>
      <c r="C43" s="54"/>
      <c r="D43" s="54"/>
      <c r="E43" s="54"/>
      <c r="F43" s="54"/>
      <c r="G43" s="54"/>
      <c r="H43" s="54"/>
      <c r="I43" s="54"/>
      <c r="J43" s="54"/>
      <c r="K43" s="54"/>
      <c r="L43" s="54"/>
      <c r="M43" s="54"/>
    </row>
    <row r="44" spans="1:13" ht="27" customHeight="1" x14ac:dyDescent="0.3">
      <c r="A44" s="53" t="s">
        <v>143</v>
      </c>
      <c r="B44" s="188" t="s">
        <v>311</v>
      </c>
      <c r="C44" s="188"/>
      <c r="D44" s="188"/>
      <c r="E44" s="188"/>
      <c r="F44" s="188"/>
      <c r="G44" s="188"/>
      <c r="H44" s="188"/>
      <c r="I44" s="188"/>
      <c r="J44" s="188"/>
      <c r="K44" s="188"/>
      <c r="L44" s="188"/>
      <c r="M44" s="188"/>
    </row>
    <row r="45" spans="1:13" ht="15" customHeight="1" x14ac:dyDescent="0.3">
      <c r="A45" s="53" t="s">
        <v>141</v>
      </c>
      <c r="B45" s="188" t="s">
        <v>302</v>
      </c>
      <c r="C45" s="188"/>
      <c r="D45" s="188"/>
      <c r="E45" s="188"/>
      <c r="F45" s="188"/>
      <c r="G45" s="188"/>
      <c r="H45" s="188"/>
      <c r="I45" s="188"/>
      <c r="J45" s="188"/>
      <c r="K45" s="188"/>
      <c r="L45" s="188"/>
      <c r="M45" s="188"/>
    </row>
    <row r="46" spans="1:13" x14ac:dyDescent="0.3">
      <c r="A46" s="53" t="s">
        <v>139</v>
      </c>
      <c r="B46" s="56" t="s">
        <v>301</v>
      </c>
      <c r="C46" s="79"/>
      <c r="D46" s="79"/>
      <c r="E46" s="79"/>
      <c r="F46" s="79"/>
      <c r="G46" s="79"/>
      <c r="H46" s="79"/>
      <c r="I46" s="79"/>
      <c r="J46" s="79"/>
      <c r="K46" s="79"/>
      <c r="L46" s="79"/>
      <c r="M46" s="79"/>
    </row>
    <row r="47" spans="1:13" x14ac:dyDescent="0.3">
      <c r="A47" s="53" t="s">
        <v>137</v>
      </c>
      <c r="B47" s="56" t="s">
        <v>300</v>
      </c>
      <c r="C47" s="79"/>
      <c r="D47" s="79"/>
      <c r="E47" s="79"/>
      <c r="F47" s="79"/>
      <c r="G47" s="79"/>
      <c r="H47" s="79"/>
      <c r="I47" s="79"/>
      <c r="J47" s="79"/>
      <c r="K47" s="79"/>
      <c r="L47" s="79"/>
      <c r="M47" s="79"/>
    </row>
    <row r="48" spans="1:13" x14ac:dyDescent="0.3">
      <c r="A48" s="53" t="s">
        <v>135</v>
      </c>
      <c r="B48" s="116" t="s">
        <v>299</v>
      </c>
      <c r="C48" s="116"/>
      <c r="D48" s="116"/>
      <c r="E48" s="116"/>
      <c r="F48" s="116"/>
      <c r="G48" s="116"/>
      <c r="H48" s="116"/>
      <c r="I48" s="116"/>
      <c r="J48" s="116"/>
      <c r="K48" s="116"/>
      <c r="L48" s="116"/>
      <c r="M48" s="116"/>
    </row>
    <row r="49" spans="1:13" x14ac:dyDescent="0.3">
      <c r="A49" s="53" t="s">
        <v>133</v>
      </c>
      <c r="B49" s="116" t="s">
        <v>310</v>
      </c>
      <c r="C49" s="79"/>
      <c r="D49" s="79"/>
      <c r="E49" s="79"/>
      <c r="F49" s="79"/>
      <c r="G49" s="79"/>
      <c r="H49" s="79"/>
      <c r="I49" s="79"/>
      <c r="J49" s="79"/>
      <c r="K49" s="79"/>
      <c r="L49" s="79"/>
      <c r="M49" s="79"/>
    </row>
    <row r="50" spans="1:13" x14ac:dyDescent="0.3">
      <c r="A50" s="53" t="s">
        <v>131</v>
      </c>
      <c r="B50" s="117" t="s">
        <v>309</v>
      </c>
      <c r="C50" s="116"/>
      <c r="D50" s="116"/>
      <c r="E50" s="116"/>
      <c r="F50" s="116"/>
      <c r="G50" s="116"/>
      <c r="H50" s="116"/>
      <c r="I50" s="116"/>
      <c r="J50" s="116"/>
      <c r="K50" s="116"/>
      <c r="L50" s="116"/>
      <c r="M50" s="116"/>
    </row>
    <row r="51" spans="1:13" x14ac:dyDescent="0.3">
      <c r="A51" s="53" t="s">
        <v>129</v>
      </c>
      <c r="B51" s="56" t="s">
        <v>296</v>
      </c>
      <c r="C51" s="116"/>
      <c r="D51" s="116"/>
      <c r="E51" s="116"/>
      <c r="F51" s="116"/>
      <c r="G51" s="116"/>
      <c r="H51" s="116"/>
      <c r="I51" s="116"/>
      <c r="J51" s="116"/>
      <c r="K51" s="116"/>
      <c r="L51" s="116"/>
      <c r="M51" s="116"/>
    </row>
    <row r="52" spans="1:13" x14ac:dyDescent="0.3">
      <c r="A52" s="53" t="s">
        <v>127</v>
      </c>
      <c r="B52" s="116" t="s">
        <v>294</v>
      </c>
      <c r="C52" s="116"/>
      <c r="D52" s="116"/>
      <c r="E52" s="116"/>
      <c r="F52" s="116"/>
      <c r="G52" s="116"/>
      <c r="H52" s="116"/>
      <c r="I52" s="116"/>
      <c r="J52" s="116"/>
      <c r="K52" s="116"/>
      <c r="L52" s="116"/>
      <c r="M52" s="116"/>
    </row>
    <row r="53" spans="1:13" x14ac:dyDescent="0.3">
      <c r="A53" s="53"/>
    </row>
    <row r="54" spans="1:13" x14ac:dyDescent="0.3">
      <c r="A54" s="53"/>
    </row>
    <row r="55" spans="1:13" x14ac:dyDescent="0.3">
      <c r="A55" s="53"/>
    </row>
  </sheetData>
  <mergeCells count="14">
    <mergeCell ref="B40:L40"/>
    <mergeCell ref="B41:L41"/>
    <mergeCell ref="B44:M44"/>
    <mergeCell ref="B45:M45"/>
    <mergeCell ref="C2:L2"/>
    <mergeCell ref="B3:B4"/>
    <mergeCell ref="C3:C4"/>
    <mergeCell ref="D3:D4"/>
    <mergeCell ref="E3:E4"/>
    <mergeCell ref="F3:F4"/>
    <mergeCell ref="G3:H4"/>
    <mergeCell ref="I3:J4"/>
    <mergeCell ref="K3:K4"/>
    <mergeCell ref="L3:L4"/>
  </mergeCells>
  <hyperlinks>
    <hyperlink ref="C2" location="INDEX" display="Energy Transport, Natural Gas Distribution, New distribution in existing suburban areas" xr:uid="{EAD97DAF-2144-4F62-9DD5-DE04EBCA13CD}"/>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CA78-C606-4C39-8B62-E97B227FAD48}">
  <dimension ref="A1:N51"/>
  <sheetViews>
    <sheetView workbookViewId="0">
      <selection activeCell="M12" sqref="M12"/>
    </sheetView>
  </sheetViews>
  <sheetFormatPr defaultColWidth="9.109375" defaultRowHeight="14.4" x14ac:dyDescent="0.3"/>
  <cols>
    <col min="1" max="1" width="2.33203125" style="90" bestFit="1" customWidth="1"/>
    <col min="2" max="2" width="41" style="90" customWidth="1"/>
    <col min="3" max="6" width="9.109375" style="90"/>
    <col min="7" max="8" width="10" style="90" bestFit="1" customWidth="1"/>
    <col min="9" max="10" width="9.109375" style="90"/>
    <col min="11" max="11" width="12.5546875" style="90" customWidth="1"/>
    <col min="12" max="13" width="9.109375" style="90"/>
    <col min="14" max="14" width="32.33203125" style="90" customWidth="1"/>
    <col min="15" max="15" width="29.109375" style="90" customWidth="1"/>
    <col min="16" max="18" width="9.109375" style="90"/>
    <col min="19" max="19" width="30.6640625" style="90" customWidth="1"/>
    <col min="20" max="20" width="29.33203125" style="90" customWidth="1"/>
    <col min="21" max="16384" width="9.109375" style="90"/>
  </cols>
  <sheetData>
    <row r="1" spans="2:14" ht="15" thickBot="1" x14ac:dyDescent="0.35">
      <c r="B1" s="75" t="s">
        <v>322</v>
      </c>
    </row>
    <row r="2" spans="2:14" ht="30.75" customHeight="1" thickBot="1" x14ac:dyDescent="0.35">
      <c r="B2" s="110" t="s">
        <v>197</v>
      </c>
      <c r="C2" s="177" t="s">
        <v>321</v>
      </c>
      <c r="D2" s="206"/>
      <c r="E2" s="206"/>
      <c r="F2" s="206"/>
      <c r="G2" s="206"/>
      <c r="H2" s="206"/>
      <c r="I2" s="206"/>
      <c r="J2" s="206"/>
      <c r="K2" s="206"/>
      <c r="L2" s="207"/>
      <c r="N2" s="109"/>
    </row>
    <row r="3" spans="2:14" x14ac:dyDescent="0.3">
      <c r="B3" s="198"/>
      <c r="C3" s="200">
        <v>2015</v>
      </c>
      <c r="D3" s="200">
        <v>2020</v>
      </c>
      <c r="E3" s="200">
        <v>2030</v>
      </c>
      <c r="F3" s="200">
        <v>2050</v>
      </c>
      <c r="G3" s="202" t="s">
        <v>195</v>
      </c>
      <c r="H3" s="203"/>
      <c r="I3" s="202" t="s">
        <v>194</v>
      </c>
      <c r="J3" s="203"/>
      <c r="K3" s="200" t="s">
        <v>193</v>
      </c>
      <c r="L3" s="200" t="s">
        <v>192</v>
      </c>
    </row>
    <row r="4" spans="2:14" ht="15" thickBot="1" x14ac:dyDescent="0.35">
      <c r="B4" s="199"/>
      <c r="C4" s="201"/>
      <c r="D4" s="201"/>
      <c r="E4" s="201"/>
      <c r="F4" s="201"/>
      <c r="G4" s="204"/>
      <c r="H4" s="205"/>
      <c r="I4" s="204"/>
      <c r="J4" s="205"/>
      <c r="K4" s="201"/>
      <c r="L4" s="201"/>
    </row>
    <row r="5" spans="2:14" ht="15" thickBot="1" x14ac:dyDescent="0.35">
      <c r="B5" s="97" t="s">
        <v>191</v>
      </c>
      <c r="C5" s="104"/>
      <c r="D5" s="104"/>
      <c r="E5" s="104"/>
      <c r="F5" s="104"/>
      <c r="G5" s="108" t="s">
        <v>190</v>
      </c>
      <c r="H5" s="108" t="s">
        <v>189</v>
      </c>
      <c r="I5" s="108" t="s">
        <v>190</v>
      </c>
      <c r="J5" s="108" t="s">
        <v>189</v>
      </c>
      <c r="K5" s="104"/>
      <c r="L5" s="103"/>
    </row>
    <row r="6" spans="2:14" ht="15" thickBot="1" x14ac:dyDescent="0.35">
      <c r="B6" s="95" t="s">
        <v>248</v>
      </c>
      <c r="C6" s="99" t="s">
        <v>287</v>
      </c>
      <c r="D6" s="99" t="s">
        <v>287</v>
      </c>
      <c r="E6" s="99" t="s">
        <v>287</v>
      </c>
      <c r="F6" s="99" t="s">
        <v>287</v>
      </c>
      <c r="G6" s="99" t="s">
        <v>287</v>
      </c>
      <c r="H6" s="99" t="s">
        <v>287</v>
      </c>
      <c r="I6" s="99" t="s">
        <v>287</v>
      </c>
      <c r="J6" s="99" t="s">
        <v>287</v>
      </c>
      <c r="K6" s="93" t="s">
        <v>143</v>
      </c>
      <c r="L6" s="93">
        <v>1</v>
      </c>
    </row>
    <row r="7" spans="2:14" ht="15" thickBot="1" x14ac:dyDescent="0.35">
      <c r="B7" s="95" t="s">
        <v>247</v>
      </c>
      <c r="C7" s="115" t="s">
        <v>287</v>
      </c>
      <c r="D7" s="115" t="s">
        <v>287</v>
      </c>
      <c r="E7" s="115" t="s">
        <v>287</v>
      </c>
      <c r="F7" s="115" t="s">
        <v>287</v>
      </c>
      <c r="G7" s="115" t="s">
        <v>287</v>
      </c>
      <c r="H7" s="115" t="s">
        <v>287</v>
      </c>
      <c r="I7" s="115" t="s">
        <v>287</v>
      </c>
      <c r="J7" s="115" t="s">
        <v>287</v>
      </c>
      <c r="K7" s="93" t="s">
        <v>141</v>
      </c>
      <c r="L7" s="93">
        <v>1</v>
      </c>
    </row>
    <row r="8" spans="2:14" ht="15" thickBot="1" x14ac:dyDescent="0.35">
      <c r="B8" s="95" t="s">
        <v>246</v>
      </c>
      <c r="C8" s="93">
        <v>0</v>
      </c>
      <c r="D8" s="93">
        <v>0</v>
      </c>
      <c r="E8" s="93">
        <v>0</v>
      </c>
      <c r="F8" s="93">
        <v>0</v>
      </c>
      <c r="G8" s="93">
        <v>0</v>
      </c>
      <c r="H8" s="93">
        <v>0</v>
      </c>
      <c r="I8" s="93">
        <v>0</v>
      </c>
      <c r="J8" s="93">
        <v>0</v>
      </c>
      <c r="K8" s="93" t="s">
        <v>139</v>
      </c>
      <c r="L8" s="93">
        <v>1</v>
      </c>
    </row>
    <row r="9" spans="2:14" ht="15" thickBot="1" x14ac:dyDescent="0.35">
      <c r="B9" s="95" t="s">
        <v>179</v>
      </c>
      <c r="C9" s="93">
        <v>50</v>
      </c>
      <c r="D9" s="93">
        <v>50</v>
      </c>
      <c r="E9" s="93">
        <v>50</v>
      </c>
      <c r="F9" s="93">
        <v>50</v>
      </c>
      <c r="G9" s="93">
        <v>50</v>
      </c>
      <c r="H9" s="93">
        <v>80</v>
      </c>
      <c r="I9" s="93">
        <v>50</v>
      </c>
      <c r="J9" s="93">
        <v>80</v>
      </c>
      <c r="K9" s="93"/>
      <c r="L9" s="93">
        <v>1</v>
      </c>
    </row>
    <row r="10" spans="2:14" ht="15" thickBot="1" x14ac:dyDescent="0.35">
      <c r="B10" s="95" t="s">
        <v>178</v>
      </c>
      <c r="C10" s="93"/>
      <c r="D10" s="93"/>
      <c r="E10" s="93"/>
      <c r="F10" s="93"/>
      <c r="G10" s="93"/>
      <c r="H10" s="93"/>
      <c r="I10" s="93"/>
      <c r="J10" s="93"/>
      <c r="K10" s="93" t="s">
        <v>137</v>
      </c>
      <c r="L10" s="93"/>
    </row>
    <row r="11" spans="2:14" ht="15" thickBot="1" x14ac:dyDescent="0.35">
      <c r="B11" s="113" t="s">
        <v>242</v>
      </c>
      <c r="C11" s="93">
        <v>0.2</v>
      </c>
      <c r="D11" s="93" t="s">
        <v>320</v>
      </c>
      <c r="E11" s="93" t="s">
        <v>320</v>
      </c>
      <c r="F11" s="93" t="s">
        <v>320</v>
      </c>
      <c r="G11" s="93" t="s">
        <v>319</v>
      </c>
      <c r="H11" s="93" t="s">
        <v>318</v>
      </c>
      <c r="I11" s="93" t="s">
        <v>319</v>
      </c>
      <c r="J11" s="93" t="s">
        <v>318</v>
      </c>
      <c r="K11" s="93" t="s">
        <v>137</v>
      </c>
      <c r="L11" s="93"/>
    </row>
    <row r="12" spans="2:14" ht="15" thickBot="1" x14ac:dyDescent="0.35">
      <c r="B12" s="113" t="s">
        <v>260</v>
      </c>
      <c r="C12" s="114" t="s">
        <v>156</v>
      </c>
      <c r="D12" s="114" t="s">
        <v>156</v>
      </c>
      <c r="E12" s="114" t="s">
        <v>156</v>
      </c>
      <c r="F12" s="114" t="s">
        <v>156</v>
      </c>
      <c r="G12" s="114" t="s">
        <v>156</v>
      </c>
      <c r="H12" s="114" t="s">
        <v>156</v>
      </c>
      <c r="I12" s="114" t="s">
        <v>156</v>
      </c>
      <c r="J12" s="114" t="s">
        <v>156</v>
      </c>
      <c r="K12" s="93" t="s">
        <v>137</v>
      </c>
      <c r="L12" s="93"/>
    </row>
    <row r="13" spans="2:14" ht="15" thickBot="1" x14ac:dyDescent="0.35">
      <c r="B13" s="113" t="s">
        <v>177</v>
      </c>
      <c r="C13" s="93">
        <v>0.4</v>
      </c>
      <c r="D13" s="93">
        <v>0.4</v>
      </c>
      <c r="E13" s="93">
        <v>0.4</v>
      </c>
      <c r="F13" s="93">
        <v>0.4</v>
      </c>
      <c r="G13" s="93">
        <v>0.3</v>
      </c>
      <c r="H13" s="93">
        <v>0.5</v>
      </c>
      <c r="I13" s="93">
        <v>0.3</v>
      </c>
      <c r="J13" s="93">
        <v>0.5</v>
      </c>
      <c r="K13" s="93"/>
      <c r="L13" s="93">
        <v>1</v>
      </c>
    </row>
    <row r="14" spans="2:14" ht="15" thickBot="1" x14ac:dyDescent="0.35">
      <c r="B14" s="95"/>
      <c r="C14" s="94"/>
      <c r="D14" s="93"/>
      <c r="E14" s="93"/>
      <c r="F14" s="93"/>
      <c r="G14" s="93"/>
      <c r="H14" s="93"/>
      <c r="I14" s="93"/>
      <c r="J14" s="93"/>
      <c r="K14" s="93"/>
      <c r="L14" s="93"/>
    </row>
    <row r="15" spans="2:14" ht="15" thickBot="1" x14ac:dyDescent="0.35">
      <c r="B15" s="97" t="s">
        <v>176</v>
      </c>
      <c r="C15" s="94"/>
      <c r="D15" s="104"/>
      <c r="E15" s="104"/>
      <c r="F15" s="104"/>
      <c r="G15" s="104"/>
      <c r="H15" s="104"/>
      <c r="I15" s="104"/>
      <c r="J15" s="104"/>
      <c r="K15" s="104"/>
      <c r="L15" s="103"/>
    </row>
    <row r="16" spans="2:14" ht="15" thickBot="1" x14ac:dyDescent="0.35">
      <c r="B16" s="80" t="s">
        <v>265</v>
      </c>
      <c r="C16" s="93">
        <v>10</v>
      </c>
      <c r="D16" s="93">
        <v>10</v>
      </c>
      <c r="E16" s="93">
        <v>10</v>
      </c>
      <c r="F16" s="93">
        <v>10</v>
      </c>
      <c r="G16" s="93">
        <v>10</v>
      </c>
      <c r="H16" s="93">
        <v>10</v>
      </c>
      <c r="I16" s="93">
        <v>10</v>
      </c>
      <c r="J16" s="93">
        <v>10</v>
      </c>
      <c r="K16" s="93"/>
      <c r="L16" s="93">
        <v>1</v>
      </c>
    </row>
    <row r="17" spans="2:12" ht="15" customHeight="1" thickBot="1" x14ac:dyDescent="0.35">
      <c r="B17" s="80" t="s">
        <v>237</v>
      </c>
      <c r="C17" s="99" t="s">
        <v>287</v>
      </c>
      <c r="D17" s="99" t="s">
        <v>287</v>
      </c>
      <c r="E17" s="99" t="s">
        <v>287</v>
      </c>
      <c r="F17" s="99" t="s">
        <v>287</v>
      </c>
      <c r="G17" s="99" t="s">
        <v>287</v>
      </c>
      <c r="H17" s="99" t="s">
        <v>287</v>
      </c>
      <c r="I17" s="99" t="s">
        <v>287</v>
      </c>
      <c r="J17" s="99" t="s">
        <v>287</v>
      </c>
      <c r="K17" s="93"/>
      <c r="L17" s="93"/>
    </row>
    <row r="18" spans="2:12" ht="15" customHeight="1" thickBot="1" x14ac:dyDescent="0.35">
      <c r="B18" s="80" t="s">
        <v>236</v>
      </c>
      <c r="C18" s="115" t="s">
        <v>287</v>
      </c>
      <c r="D18" s="115" t="s">
        <v>287</v>
      </c>
      <c r="E18" s="115" t="s">
        <v>287</v>
      </c>
      <c r="F18" s="115" t="s">
        <v>287</v>
      </c>
      <c r="G18" s="115" t="s">
        <v>287</v>
      </c>
      <c r="H18" s="115" t="s">
        <v>287</v>
      </c>
      <c r="I18" s="115" t="s">
        <v>287</v>
      </c>
      <c r="J18" s="115" t="s">
        <v>287</v>
      </c>
      <c r="K18" s="93"/>
      <c r="L18" s="93"/>
    </row>
    <row r="19" spans="2:12" ht="15" thickBot="1" x14ac:dyDescent="0.35">
      <c r="B19" s="80" t="s">
        <v>235</v>
      </c>
      <c r="C19" s="99" t="s">
        <v>287</v>
      </c>
      <c r="D19" s="99" t="s">
        <v>287</v>
      </c>
      <c r="E19" s="99" t="s">
        <v>287</v>
      </c>
      <c r="F19" s="99" t="s">
        <v>287</v>
      </c>
      <c r="G19" s="99" t="s">
        <v>287</v>
      </c>
      <c r="H19" s="99" t="s">
        <v>287</v>
      </c>
      <c r="I19" s="99" t="s">
        <v>287</v>
      </c>
      <c r="J19" s="99" t="s">
        <v>287</v>
      </c>
      <c r="K19" s="93"/>
      <c r="L19" s="93"/>
    </row>
    <row r="20" spans="2:12" ht="15" thickBot="1" x14ac:dyDescent="0.35">
      <c r="B20" s="80" t="s">
        <v>234</v>
      </c>
      <c r="C20" s="118">
        <v>15000</v>
      </c>
      <c r="D20" s="118">
        <v>15000</v>
      </c>
      <c r="E20" s="118">
        <v>15000</v>
      </c>
      <c r="F20" s="118">
        <v>15000</v>
      </c>
      <c r="G20" s="93">
        <v>12000</v>
      </c>
      <c r="H20" s="93">
        <v>18000</v>
      </c>
      <c r="I20" s="93">
        <v>12000</v>
      </c>
      <c r="J20" s="93">
        <v>18000</v>
      </c>
      <c r="K20" s="93" t="s">
        <v>135</v>
      </c>
      <c r="L20" s="93">
        <v>1</v>
      </c>
    </row>
    <row r="21" spans="2:12" ht="15" thickBot="1" x14ac:dyDescent="0.35">
      <c r="B21" s="80" t="s">
        <v>232</v>
      </c>
      <c r="C21" s="100">
        <v>64</v>
      </c>
      <c r="D21" s="100">
        <v>64</v>
      </c>
      <c r="E21" s="100">
        <v>64</v>
      </c>
      <c r="F21" s="100">
        <v>64</v>
      </c>
      <c r="G21" s="100">
        <v>57.599999999999994</v>
      </c>
      <c r="H21" s="100">
        <v>70.400000000000006</v>
      </c>
      <c r="I21" s="100">
        <v>57.599999999999994</v>
      </c>
      <c r="J21" s="100">
        <v>70.400000000000006</v>
      </c>
      <c r="K21" s="93"/>
      <c r="L21" s="93">
        <v>1</v>
      </c>
    </row>
    <row r="22" spans="2:12" ht="15" thickBot="1" x14ac:dyDescent="0.35">
      <c r="B22" s="80" t="s">
        <v>231</v>
      </c>
      <c r="C22" s="100">
        <v>64</v>
      </c>
      <c r="D22" s="100">
        <v>64</v>
      </c>
      <c r="E22" s="100">
        <v>64</v>
      </c>
      <c r="F22" s="100">
        <v>64</v>
      </c>
      <c r="G22" s="100">
        <v>57.599999999999994</v>
      </c>
      <c r="H22" s="100">
        <v>70.400000000000006</v>
      </c>
      <c r="I22" s="100">
        <v>57.599999999999994</v>
      </c>
      <c r="J22" s="100">
        <v>70.400000000000006</v>
      </c>
      <c r="K22" s="93"/>
      <c r="L22" s="93">
        <v>1</v>
      </c>
    </row>
    <row r="23" spans="2:12" ht="15" thickBot="1" x14ac:dyDescent="0.35">
      <c r="B23" s="80" t="s">
        <v>230</v>
      </c>
      <c r="C23" s="100">
        <v>64</v>
      </c>
      <c r="D23" s="100">
        <v>64</v>
      </c>
      <c r="E23" s="100">
        <v>64</v>
      </c>
      <c r="F23" s="100">
        <v>64</v>
      </c>
      <c r="G23" s="100">
        <v>57.599999999999994</v>
      </c>
      <c r="H23" s="100">
        <v>70.400000000000006</v>
      </c>
      <c r="I23" s="100">
        <v>57.599999999999994</v>
      </c>
      <c r="J23" s="100">
        <v>70.400000000000006</v>
      </c>
      <c r="K23" s="93"/>
      <c r="L23" s="93">
        <v>1</v>
      </c>
    </row>
    <row r="24" spans="2:12" ht="15" thickBot="1" x14ac:dyDescent="0.35">
      <c r="B24" s="80" t="s">
        <v>229</v>
      </c>
      <c r="C24" s="100">
        <v>64</v>
      </c>
      <c r="D24" s="100">
        <v>64</v>
      </c>
      <c r="E24" s="100">
        <v>64</v>
      </c>
      <c r="F24" s="100">
        <v>64</v>
      </c>
      <c r="G24" s="100">
        <v>57.599999999999994</v>
      </c>
      <c r="H24" s="100">
        <v>70.400000000000006</v>
      </c>
      <c r="I24" s="100">
        <v>57.599999999999994</v>
      </c>
      <c r="J24" s="100">
        <v>70.400000000000006</v>
      </c>
      <c r="K24" s="93"/>
      <c r="L24" s="93">
        <v>1</v>
      </c>
    </row>
    <row r="25" spans="2:12" ht="15" thickBot="1" x14ac:dyDescent="0.35">
      <c r="B25" s="80" t="s">
        <v>228</v>
      </c>
      <c r="C25" s="100">
        <v>72</v>
      </c>
      <c r="D25" s="100">
        <v>72</v>
      </c>
      <c r="E25" s="100">
        <v>72</v>
      </c>
      <c r="F25" s="100">
        <v>72</v>
      </c>
      <c r="G25" s="100">
        <v>64.8</v>
      </c>
      <c r="H25" s="100">
        <v>79.2</v>
      </c>
      <c r="I25" s="100">
        <v>64.8</v>
      </c>
      <c r="J25" s="100">
        <v>79.2</v>
      </c>
      <c r="K25" s="93"/>
      <c r="L25" s="93">
        <v>1</v>
      </c>
    </row>
    <row r="26" spans="2:12" ht="15" thickBot="1" x14ac:dyDescent="0.35">
      <c r="B26" s="80" t="s">
        <v>227</v>
      </c>
      <c r="C26" s="100">
        <v>104</v>
      </c>
      <c r="D26" s="100">
        <v>104</v>
      </c>
      <c r="E26" s="100">
        <v>104</v>
      </c>
      <c r="F26" s="100">
        <v>104</v>
      </c>
      <c r="G26" s="100">
        <v>93.6</v>
      </c>
      <c r="H26" s="100">
        <v>114.4</v>
      </c>
      <c r="I26" s="100">
        <v>93.6</v>
      </c>
      <c r="J26" s="100">
        <v>114.4</v>
      </c>
      <c r="K26" s="93"/>
      <c r="L26" s="93">
        <v>1</v>
      </c>
    </row>
    <row r="27" spans="2:12" ht="15" thickBot="1" x14ac:dyDescent="0.35">
      <c r="B27" s="80" t="s">
        <v>226</v>
      </c>
      <c r="C27" s="99" t="s">
        <v>287</v>
      </c>
      <c r="D27" s="99" t="s">
        <v>287</v>
      </c>
      <c r="E27" s="99" t="s">
        <v>287</v>
      </c>
      <c r="F27" s="99" t="s">
        <v>287</v>
      </c>
      <c r="G27" s="99" t="s">
        <v>287</v>
      </c>
      <c r="H27" s="99" t="s">
        <v>287</v>
      </c>
      <c r="I27" s="99" t="s">
        <v>287</v>
      </c>
      <c r="J27" s="99" t="s">
        <v>287</v>
      </c>
      <c r="K27" s="93" t="s">
        <v>133</v>
      </c>
      <c r="L27" s="93"/>
    </row>
    <row r="28" spans="2:12" ht="15" thickBot="1" x14ac:dyDescent="0.35">
      <c r="B28" s="80" t="s">
        <v>166</v>
      </c>
      <c r="C28" s="115" t="s">
        <v>287</v>
      </c>
      <c r="D28" s="115" t="s">
        <v>287</v>
      </c>
      <c r="E28" s="115" t="s">
        <v>287</v>
      </c>
      <c r="F28" s="115" t="s">
        <v>287</v>
      </c>
      <c r="G28" s="115" t="s">
        <v>287</v>
      </c>
      <c r="H28" s="115" t="s">
        <v>287</v>
      </c>
      <c r="I28" s="115" t="s">
        <v>287</v>
      </c>
      <c r="J28" s="115" t="s">
        <v>287</v>
      </c>
      <c r="K28" s="93" t="s">
        <v>133</v>
      </c>
      <c r="L28" s="93"/>
    </row>
    <row r="29" spans="2:12" ht="15" thickBot="1" x14ac:dyDescent="0.35">
      <c r="B29" s="80" t="s">
        <v>305</v>
      </c>
      <c r="C29" s="99" t="s">
        <v>287</v>
      </c>
      <c r="D29" s="99" t="s">
        <v>287</v>
      </c>
      <c r="E29" s="99" t="s">
        <v>287</v>
      </c>
      <c r="F29" s="99" t="s">
        <v>287</v>
      </c>
      <c r="G29" s="99" t="s">
        <v>287</v>
      </c>
      <c r="H29" s="99" t="s">
        <v>287</v>
      </c>
      <c r="I29" s="99" t="s">
        <v>287</v>
      </c>
      <c r="J29" s="99" t="s">
        <v>287</v>
      </c>
      <c r="K29" s="93" t="s">
        <v>133</v>
      </c>
      <c r="L29" s="93"/>
    </row>
    <row r="30" spans="2:12" ht="15" customHeight="1" thickBot="1" x14ac:dyDescent="0.35">
      <c r="B30" s="80" t="s">
        <v>304</v>
      </c>
      <c r="C30" s="115" t="s">
        <v>287</v>
      </c>
      <c r="D30" s="115" t="s">
        <v>287</v>
      </c>
      <c r="E30" s="115" t="s">
        <v>287</v>
      </c>
      <c r="F30" s="115" t="s">
        <v>287</v>
      </c>
      <c r="G30" s="115" t="s">
        <v>287</v>
      </c>
      <c r="H30" s="115" t="s">
        <v>287</v>
      </c>
      <c r="I30" s="115" t="s">
        <v>287</v>
      </c>
      <c r="J30" s="115" t="s">
        <v>287</v>
      </c>
      <c r="K30" s="93" t="s">
        <v>133</v>
      </c>
      <c r="L30" s="93"/>
    </row>
    <row r="31" spans="2:12" ht="15" thickBot="1" x14ac:dyDescent="0.35">
      <c r="B31" s="80" t="s">
        <v>160</v>
      </c>
      <c r="C31" s="111">
        <v>0.8</v>
      </c>
      <c r="D31" s="111">
        <v>0.8</v>
      </c>
      <c r="E31" s="111">
        <v>0.8</v>
      </c>
      <c r="F31" s="111">
        <v>0.8</v>
      </c>
      <c r="G31" s="111">
        <v>0.7</v>
      </c>
      <c r="H31" s="111">
        <v>0.9</v>
      </c>
      <c r="I31" s="111">
        <v>0.7</v>
      </c>
      <c r="J31" s="111">
        <v>0.9</v>
      </c>
      <c r="K31" s="93"/>
      <c r="L31" s="93">
        <v>1</v>
      </c>
    </row>
    <row r="32" spans="2:12" ht="15" thickBot="1" x14ac:dyDescent="0.35">
      <c r="B32" s="80" t="s">
        <v>159</v>
      </c>
      <c r="C32" s="111">
        <v>0.2</v>
      </c>
      <c r="D32" s="111">
        <v>0.2</v>
      </c>
      <c r="E32" s="111">
        <v>0.2</v>
      </c>
      <c r="F32" s="111">
        <v>0.2</v>
      </c>
      <c r="G32" s="111">
        <v>0.1</v>
      </c>
      <c r="H32" s="111">
        <v>0.3</v>
      </c>
      <c r="I32" s="111">
        <v>0.1</v>
      </c>
      <c r="J32" s="111">
        <v>0.3</v>
      </c>
      <c r="K32" s="93"/>
      <c r="L32" s="93">
        <v>1</v>
      </c>
    </row>
    <row r="33" spans="1:13" ht="15" customHeight="1" thickBot="1" x14ac:dyDescent="0.35">
      <c r="B33" s="80" t="s">
        <v>218</v>
      </c>
      <c r="C33" s="100">
        <v>20</v>
      </c>
      <c r="D33" s="100">
        <v>20</v>
      </c>
      <c r="E33" s="100">
        <v>20</v>
      </c>
      <c r="F33" s="100">
        <v>20</v>
      </c>
      <c r="G33" s="93">
        <v>16</v>
      </c>
      <c r="H33" s="93">
        <v>24</v>
      </c>
      <c r="I33" s="93">
        <v>16</v>
      </c>
      <c r="J33" s="93">
        <v>24</v>
      </c>
      <c r="K33" s="93"/>
      <c r="L33" s="93">
        <v>1</v>
      </c>
    </row>
    <row r="34" spans="1:13" ht="15" thickBot="1" x14ac:dyDescent="0.35">
      <c r="B34" s="80" t="s">
        <v>217</v>
      </c>
      <c r="C34" s="93">
        <v>0</v>
      </c>
      <c r="D34" s="93">
        <v>0</v>
      </c>
      <c r="E34" s="93">
        <v>0</v>
      </c>
      <c r="F34" s="93">
        <v>0</v>
      </c>
      <c r="G34" s="93">
        <v>0</v>
      </c>
      <c r="H34" s="93">
        <v>0</v>
      </c>
      <c r="I34" s="93">
        <v>0</v>
      </c>
      <c r="J34" s="93">
        <v>0</v>
      </c>
      <c r="K34" s="93"/>
      <c r="L34" s="93">
        <v>1</v>
      </c>
    </row>
    <row r="35" spans="1:13" ht="15" thickBot="1" x14ac:dyDescent="0.35">
      <c r="B35" s="96"/>
      <c r="C35" s="94"/>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96"/>
      <c r="C37" s="93"/>
      <c r="D37" s="93"/>
      <c r="E37" s="93"/>
      <c r="F37" s="93"/>
      <c r="G37" s="93"/>
      <c r="H37" s="93"/>
      <c r="I37" s="93"/>
      <c r="J37" s="93"/>
      <c r="K37" s="93"/>
      <c r="L37" s="93"/>
    </row>
    <row r="38" spans="1:13" ht="15" thickBot="1" x14ac:dyDescent="0.35">
      <c r="B38" s="95"/>
      <c r="C38" s="93"/>
      <c r="D38" s="93"/>
      <c r="E38" s="93"/>
      <c r="F38" s="93"/>
      <c r="G38" s="93"/>
      <c r="H38" s="93"/>
      <c r="I38" s="93"/>
      <c r="J38" s="93"/>
      <c r="K38" s="93"/>
      <c r="L38" s="93"/>
    </row>
    <row r="39" spans="1:13" x14ac:dyDescent="0.3">
      <c r="B39" s="55" t="s">
        <v>154</v>
      </c>
    </row>
    <row r="40" spans="1:13" x14ac:dyDescent="0.3">
      <c r="A40" s="53">
        <v>1</v>
      </c>
      <c r="B40" s="188" t="s">
        <v>283</v>
      </c>
      <c r="C40" s="188"/>
      <c r="D40" s="188"/>
      <c r="E40" s="188"/>
      <c r="F40" s="188"/>
      <c r="G40" s="188"/>
      <c r="H40" s="188"/>
      <c r="I40" s="188"/>
      <c r="J40" s="188"/>
      <c r="K40" s="188"/>
      <c r="L40" s="188"/>
    </row>
    <row r="41" spans="1:13" x14ac:dyDescent="0.3">
      <c r="A41" s="53"/>
      <c r="B41" s="188"/>
      <c r="C41" s="188"/>
      <c r="D41" s="188"/>
      <c r="E41" s="188"/>
      <c r="F41" s="188"/>
      <c r="G41" s="188"/>
      <c r="H41" s="188"/>
      <c r="I41" s="188"/>
      <c r="J41" s="188"/>
      <c r="K41" s="188"/>
      <c r="L41" s="188"/>
    </row>
    <row r="42" spans="1:13" x14ac:dyDescent="0.3">
      <c r="A42" s="53"/>
      <c r="B42" s="55" t="s">
        <v>144</v>
      </c>
      <c r="C42" s="54"/>
      <c r="D42" s="54"/>
      <c r="E42" s="54"/>
      <c r="F42" s="54"/>
      <c r="G42" s="54"/>
      <c r="H42" s="54"/>
      <c r="I42" s="54"/>
      <c r="J42" s="54"/>
      <c r="K42" s="54"/>
      <c r="L42" s="54"/>
      <c r="M42" s="54"/>
    </row>
    <row r="43" spans="1:13" ht="43.5" customHeight="1" x14ac:dyDescent="0.3">
      <c r="A43" s="53" t="s">
        <v>143</v>
      </c>
      <c r="B43" s="188" t="s">
        <v>317</v>
      </c>
      <c r="C43" s="188"/>
      <c r="D43" s="188"/>
      <c r="E43" s="188"/>
      <c r="F43" s="188"/>
      <c r="G43" s="188"/>
      <c r="H43" s="188"/>
      <c r="I43" s="188"/>
      <c r="J43" s="188"/>
      <c r="K43" s="188"/>
      <c r="L43" s="188"/>
      <c r="M43" s="188"/>
    </row>
    <row r="44" spans="1:13" ht="15" customHeight="1" x14ac:dyDescent="0.3">
      <c r="A44" s="53" t="s">
        <v>141</v>
      </c>
      <c r="B44" s="188" t="s">
        <v>302</v>
      </c>
      <c r="C44" s="188"/>
      <c r="D44" s="188"/>
      <c r="E44" s="188"/>
      <c r="F44" s="188"/>
      <c r="G44" s="188"/>
      <c r="H44" s="188"/>
      <c r="I44" s="188"/>
      <c r="J44" s="188"/>
      <c r="K44" s="188"/>
      <c r="L44" s="188"/>
      <c r="M44" s="188"/>
    </row>
    <row r="45" spans="1:13" x14ac:dyDescent="0.3">
      <c r="A45" s="53" t="s">
        <v>139</v>
      </c>
      <c r="B45" s="56" t="s">
        <v>301</v>
      </c>
      <c r="C45" s="79"/>
      <c r="D45" s="79"/>
      <c r="E45" s="79"/>
      <c r="F45" s="79"/>
      <c r="G45" s="79"/>
      <c r="H45" s="79"/>
      <c r="I45" s="79"/>
      <c r="J45" s="79"/>
      <c r="K45" s="79"/>
      <c r="L45" s="79"/>
      <c r="M45" s="79"/>
    </row>
    <row r="46" spans="1:13" x14ac:dyDescent="0.3">
      <c r="A46" s="53" t="s">
        <v>137</v>
      </c>
      <c r="B46" s="56" t="s">
        <v>300</v>
      </c>
      <c r="C46" s="79"/>
      <c r="D46" s="79"/>
      <c r="E46" s="79"/>
      <c r="F46" s="79"/>
      <c r="G46" s="79"/>
      <c r="H46" s="79"/>
      <c r="I46" s="79"/>
      <c r="J46" s="79"/>
      <c r="K46" s="79"/>
      <c r="L46" s="79"/>
      <c r="M46" s="79"/>
    </row>
    <row r="47" spans="1:13" x14ac:dyDescent="0.3">
      <c r="A47" s="53" t="s">
        <v>135</v>
      </c>
      <c r="B47" s="116" t="s">
        <v>316</v>
      </c>
      <c r="C47" s="116"/>
      <c r="D47" s="116"/>
      <c r="E47" s="116"/>
      <c r="F47" s="116"/>
      <c r="G47" s="116"/>
      <c r="H47" s="116"/>
      <c r="I47" s="116"/>
      <c r="J47" s="116"/>
      <c r="K47" s="116"/>
      <c r="L47" s="116"/>
      <c r="M47" s="116"/>
    </row>
    <row r="48" spans="1:13" x14ac:dyDescent="0.3">
      <c r="A48" s="53" t="s">
        <v>133</v>
      </c>
      <c r="B48" s="56" t="s">
        <v>315</v>
      </c>
      <c r="C48" s="79"/>
      <c r="D48" s="79"/>
      <c r="E48" s="79"/>
      <c r="F48" s="79"/>
      <c r="G48" s="79"/>
      <c r="H48" s="79"/>
      <c r="I48" s="79"/>
      <c r="J48" s="79"/>
      <c r="K48" s="79"/>
      <c r="L48" s="79"/>
      <c r="M48" s="79"/>
    </row>
    <row r="49" spans="1:1" x14ac:dyDescent="0.3">
      <c r="A49" s="53"/>
    </row>
    <row r="50" spans="1:1" x14ac:dyDescent="0.3">
      <c r="A50" s="53"/>
    </row>
    <row r="51" spans="1:1" x14ac:dyDescent="0.3">
      <c r="A51" s="53"/>
    </row>
  </sheetData>
  <mergeCells count="14">
    <mergeCell ref="B43:M43"/>
    <mergeCell ref="B44:M44"/>
    <mergeCell ref="C2:L2"/>
    <mergeCell ref="B3:B4"/>
    <mergeCell ref="C3:C4"/>
    <mergeCell ref="D3:D4"/>
    <mergeCell ref="E3:E4"/>
    <mergeCell ref="F3:F4"/>
    <mergeCell ref="G3:H4"/>
    <mergeCell ref="I3:J4"/>
    <mergeCell ref="K3:K4"/>
    <mergeCell ref="L3:L4"/>
    <mergeCell ref="B40:L40"/>
    <mergeCell ref="B41:L41"/>
  </mergeCells>
  <hyperlinks>
    <hyperlink ref="C2" location="INDEX" display="Energy Transport Natural Gas Distribution, New distribution in existing city areas" xr:uid="{82726EB1-0DEF-4C38-9B25-491510779D15}"/>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7828-7412-4FA2-9DDB-8E05B65C8EF9}">
  <dimension ref="A1:N56"/>
  <sheetViews>
    <sheetView workbookViewId="0">
      <selection activeCell="M12" sqref="M12"/>
    </sheetView>
  </sheetViews>
  <sheetFormatPr defaultColWidth="9.109375" defaultRowHeight="14.4" x14ac:dyDescent="0.3"/>
  <cols>
    <col min="1" max="1" width="2.33203125" style="90" bestFit="1" customWidth="1"/>
    <col min="2" max="2" width="41" style="90" customWidth="1"/>
    <col min="3" max="12" width="9.109375" style="90" customWidth="1"/>
    <col min="13" max="13" width="9.109375" style="90"/>
    <col min="14" max="14" width="32.33203125" style="90" customWidth="1"/>
    <col min="15" max="15" width="29.109375" style="90" customWidth="1"/>
    <col min="16" max="18" width="9.109375" style="90"/>
    <col min="19" max="19" width="30.6640625" style="90" customWidth="1"/>
    <col min="20" max="20" width="29.33203125" style="90" customWidth="1"/>
    <col min="21" max="16384" width="9.109375" style="90"/>
  </cols>
  <sheetData>
    <row r="1" spans="2:14" ht="15" thickBot="1" x14ac:dyDescent="0.35">
      <c r="B1" s="75" t="s">
        <v>327</v>
      </c>
    </row>
    <row r="2" spans="2:14" ht="32.25" customHeight="1" thickBot="1" x14ac:dyDescent="0.35">
      <c r="B2" s="110" t="s">
        <v>197</v>
      </c>
      <c r="C2" s="177" t="s">
        <v>326</v>
      </c>
      <c r="D2" s="206"/>
      <c r="E2" s="206"/>
      <c r="F2" s="206"/>
      <c r="G2" s="206"/>
      <c r="H2" s="206"/>
      <c r="I2" s="206"/>
      <c r="J2" s="206"/>
      <c r="K2" s="206"/>
      <c r="L2" s="207"/>
      <c r="N2" s="109"/>
    </row>
    <row r="3" spans="2:14" x14ac:dyDescent="0.3">
      <c r="B3" s="198"/>
      <c r="C3" s="200">
        <v>2015</v>
      </c>
      <c r="D3" s="200">
        <v>2020</v>
      </c>
      <c r="E3" s="200">
        <v>2030</v>
      </c>
      <c r="F3" s="200">
        <v>2050</v>
      </c>
      <c r="G3" s="202" t="s">
        <v>195</v>
      </c>
      <c r="H3" s="203"/>
      <c r="I3" s="202" t="s">
        <v>194</v>
      </c>
      <c r="J3" s="203"/>
      <c r="K3" s="200" t="s">
        <v>193</v>
      </c>
      <c r="L3" s="200" t="s">
        <v>192</v>
      </c>
    </row>
    <row r="4" spans="2:14" ht="15" thickBot="1" x14ac:dyDescent="0.35">
      <c r="B4" s="199"/>
      <c r="C4" s="201"/>
      <c r="D4" s="201"/>
      <c r="E4" s="201"/>
      <c r="F4" s="201"/>
      <c r="G4" s="204"/>
      <c r="H4" s="205"/>
      <c r="I4" s="204"/>
      <c r="J4" s="205"/>
      <c r="K4" s="201"/>
      <c r="L4" s="201"/>
    </row>
    <row r="5" spans="2:14" ht="15" thickBot="1" x14ac:dyDescent="0.35">
      <c r="B5" s="97" t="s">
        <v>191</v>
      </c>
      <c r="C5" s="104"/>
      <c r="D5" s="104"/>
      <c r="E5" s="104"/>
      <c r="F5" s="104"/>
      <c r="G5" s="108" t="s">
        <v>190</v>
      </c>
      <c r="H5" s="108" t="s">
        <v>189</v>
      </c>
      <c r="I5" s="108" t="s">
        <v>190</v>
      </c>
      <c r="J5" s="108" t="s">
        <v>189</v>
      </c>
      <c r="K5" s="104"/>
      <c r="L5" s="103"/>
    </row>
    <row r="6" spans="2:14" ht="15" thickBot="1" x14ac:dyDescent="0.35">
      <c r="B6" s="95" t="s">
        <v>248</v>
      </c>
      <c r="C6" s="99">
        <v>0.26307448603264283</v>
      </c>
      <c r="D6" s="99">
        <v>0.26307448603264283</v>
      </c>
      <c r="E6" s="99">
        <v>0.26307448603264283</v>
      </c>
      <c r="F6" s="99">
        <v>0.26307448603264283</v>
      </c>
      <c r="G6" s="93">
        <v>0.05</v>
      </c>
      <c r="H6" s="93">
        <v>0.3</v>
      </c>
      <c r="I6" s="93">
        <v>0.05</v>
      </c>
      <c r="J6" s="93">
        <v>0.3</v>
      </c>
      <c r="K6" s="93" t="s">
        <v>143</v>
      </c>
      <c r="L6" s="93">
        <v>1</v>
      </c>
    </row>
    <row r="7" spans="2:14" ht="15" thickBot="1" x14ac:dyDescent="0.35">
      <c r="B7" s="95" t="s">
        <v>247</v>
      </c>
      <c r="C7" s="115" t="s">
        <v>287</v>
      </c>
      <c r="D7" s="115" t="s">
        <v>287</v>
      </c>
      <c r="E7" s="115" t="s">
        <v>287</v>
      </c>
      <c r="F7" s="115" t="s">
        <v>287</v>
      </c>
      <c r="G7" s="115" t="s">
        <v>287</v>
      </c>
      <c r="H7" s="115" t="s">
        <v>287</v>
      </c>
      <c r="I7" s="115" t="s">
        <v>287</v>
      </c>
      <c r="J7" s="115" t="s">
        <v>287</v>
      </c>
      <c r="K7" s="93" t="s">
        <v>141</v>
      </c>
      <c r="L7" s="93"/>
    </row>
    <row r="8" spans="2:14" ht="15" thickBot="1" x14ac:dyDescent="0.35">
      <c r="B8" s="95" t="s">
        <v>246</v>
      </c>
      <c r="C8" s="93">
        <v>0</v>
      </c>
      <c r="D8" s="93">
        <v>0</v>
      </c>
      <c r="E8" s="93">
        <v>0</v>
      </c>
      <c r="F8" s="93">
        <v>0</v>
      </c>
      <c r="G8" s="93">
        <v>0</v>
      </c>
      <c r="H8" s="93">
        <v>0</v>
      </c>
      <c r="I8" s="93">
        <v>0</v>
      </c>
      <c r="J8" s="93">
        <v>0</v>
      </c>
      <c r="K8" s="93" t="s">
        <v>139</v>
      </c>
      <c r="L8" s="93"/>
    </row>
    <row r="9" spans="2:14" ht="15" thickBot="1" x14ac:dyDescent="0.35">
      <c r="B9" s="95" t="s">
        <v>179</v>
      </c>
      <c r="C9" s="93">
        <v>50</v>
      </c>
      <c r="D9" s="93">
        <v>50</v>
      </c>
      <c r="E9" s="93">
        <v>50</v>
      </c>
      <c r="F9" s="93">
        <v>50</v>
      </c>
      <c r="G9" s="93">
        <v>50</v>
      </c>
      <c r="H9" s="93">
        <v>80</v>
      </c>
      <c r="I9" s="93">
        <v>50</v>
      </c>
      <c r="J9" s="93">
        <v>80</v>
      </c>
      <c r="K9" s="93"/>
      <c r="L9" s="93">
        <v>2</v>
      </c>
    </row>
    <row r="10" spans="2:14" ht="15" thickBot="1" x14ac:dyDescent="0.35">
      <c r="B10" s="95" t="s">
        <v>178</v>
      </c>
      <c r="C10" s="115" t="s">
        <v>287</v>
      </c>
      <c r="D10" s="115" t="s">
        <v>287</v>
      </c>
      <c r="E10" s="115" t="s">
        <v>287</v>
      </c>
      <c r="F10" s="115" t="s">
        <v>287</v>
      </c>
      <c r="G10" s="115" t="s">
        <v>287</v>
      </c>
      <c r="H10" s="115" t="s">
        <v>287</v>
      </c>
      <c r="I10" s="115" t="s">
        <v>287</v>
      </c>
      <c r="J10" s="115" t="s">
        <v>287</v>
      </c>
      <c r="K10" s="93"/>
      <c r="L10" s="93"/>
    </row>
    <row r="11" spans="2:14" ht="15" thickBot="1" x14ac:dyDescent="0.35">
      <c r="B11" s="113" t="s">
        <v>242</v>
      </c>
      <c r="C11" s="93">
        <v>0.2</v>
      </c>
      <c r="D11" s="93">
        <v>0.2</v>
      </c>
      <c r="E11" s="93">
        <v>0.2</v>
      </c>
      <c r="F11" s="93">
        <v>0.2</v>
      </c>
      <c r="G11" s="93">
        <v>0.15</v>
      </c>
      <c r="H11" s="93">
        <v>0.25</v>
      </c>
      <c r="I11" s="93">
        <v>0.15</v>
      </c>
      <c r="J11" s="93">
        <v>0.25</v>
      </c>
      <c r="K11" s="93" t="s">
        <v>137</v>
      </c>
      <c r="L11" s="93"/>
    </row>
    <row r="12" spans="2:14" ht="15" thickBot="1" x14ac:dyDescent="0.35">
      <c r="B12" s="113" t="s">
        <v>260</v>
      </c>
      <c r="C12" s="93" t="s">
        <v>156</v>
      </c>
      <c r="D12" s="114" t="s">
        <v>156</v>
      </c>
      <c r="E12" s="114" t="s">
        <v>156</v>
      </c>
      <c r="F12" s="114" t="s">
        <v>156</v>
      </c>
      <c r="G12" s="93"/>
      <c r="H12" s="93"/>
      <c r="I12" s="93"/>
      <c r="J12" s="93"/>
      <c r="K12" s="93" t="s">
        <v>137</v>
      </c>
      <c r="L12" s="93"/>
    </row>
    <row r="13" spans="2:14" ht="15" thickBot="1" x14ac:dyDescent="0.35">
      <c r="B13" s="113" t="s">
        <v>177</v>
      </c>
      <c r="C13" s="93">
        <v>0.4</v>
      </c>
      <c r="D13" s="93">
        <v>0.4</v>
      </c>
      <c r="E13" s="93">
        <v>0.4</v>
      </c>
      <c r="F13" s="93">
        <v>0.4</v>
      </c>
      <c r="G13" s="93">
        <v>0.3</v>
      </c>
      <c r="H13" s="93">
        <v>0.5</v>
      </c>
      <c r="I13" s="93">
        <v>0.3</v>
      </c>
      <c r="J13" s="93">
        <v>0.5</v>
      </c>
      <c r="K13" s="93"/>
      <c r="L13" s="93">
        <v>2</v>
      </c>
    </row>
    <row r="14" spans="2:14" ht="15" thickBot="1" x14ac:dyDescent="0.35">
      <c r="B14" s="95"/>
      <c r="C14" s="94"/>
      <c r="D14" s="93"/>
      <c r="E14" s="93"/>
      <c r="F14" s="93"/>
      <c r="G14" s="93"/>
      <c r="H14" s="93"/>
      <c r="I14" s="93"/>
      <c r="J14" s="93"/>
      <c r="K14" s="93"/>
      <c r="L14" s="93"/>
    </row>
    <row r="15" spans="2:14" ht="15" thickBot="1" x14ac:dyDescent="0.35">
      <c r="B15" s="97" t="s">
        <v>176</v>
      </c>
      <c r="C15" s="94"/>
      <c r="D15" s="104"/>
      <c r="E15" s="104"/>
      <c r="F15" s="104"/>
      <c r="G15" s="104"/>
      <c r="H15" s="104"/>
      <c r="I15" s="104"/>
      <c r="J15" s="104"/>
      <c r="K15" s="104"/>
      <c r="L15" s="103"/>
    </row>
    <row r="16" spans="2:14" ht="15" thickBot="1" x14ac:dyDescent="0.35">
      <c r="B16" s="80" t="s">
        <v>265</v>
      </c>
      <c r="C16" s="93">
        <v>270</v>
      </c>
      <c r="D16" s="93">
        <v>270</v>
      </c>
      <c r="E16" s="93">
        <v>270</v>
      </c>
      <c r="F16" s="93">
        <v>270</v>
      </c>
      <c r="G16" s="93">
        <v>240</v>
      </c>
      <c r="H16" s="93">
        <v>300</v>
      </c>
      <c r="I16" s="93">
        <v>240</v>
      </c>
      <c r="J16" s="93">
        <v>300</v>
      </c>
      <c r="K16" s="93"/>
      <c r="L16" s="93">
        <v>2</v>
      </c>
    </row>
    <row r="17" spans="2:12" ht="15" customHeight="1" thickBot="1" x14ac:dyDescent="0.35">
      <c r="B17" s="80" t="s">
        <v>237</v>
      </c>
      <c r="C17" s="93">
        <v>1600</v>
      </c>
      <c r="D17" s="93">
        <v>1600</v>
      </c>
      <c r="E17" s="93">
        <v>1600</v>
      </c>
      <c r="F17" s="93">
        <v>1600</v>
      </c>
      <c r="G17" s="93">
        <v>1400</v>
      </c>
      <c r="H17" s="93">
        <v>1800</v>
      </c>
      <c r="I17" s="93">
        <v>1400</v>
      </c>
      <c r="J17" s="93">
        <v>1800</v>
      </c>
      <c r="K17" s="93"/>
      <c r="L17" s="93">
        <v>2</v>
      </c>
    </row>
    <row r="18" spans="2:12" ht="15" customHeight="1" thickBot="1" x14ac:dyDescent="0.35">
      <c r="B18" s="80" t="s">
        <v>236</v>
      </c>
      <c r="C18" s="93" t="s">
        <v>287</v>
      </c>
      <c r="D18" s="93" t="s">
        <v>287</v>
      </c>
      <c r="E18" s="93" t="s">
        <v>287</v>
      </c>
      <c r="F18" s="93" t="s">
        <v>287</v>
      </c>
      <c r="G18" s="93" t="s">
        <v>287</v>
      </c>
      <c r="H18" s="93" t="s">
        <v>287</v>
      </c>
      <c r="I18" s="93" t="s">
        <v>287</v>
      </c>
      <c r="J18" s="93" t="s">
        <v>287</v>
      </c>
      <c r="K18" s="93" t="s">
        <v>135</v>
      </c>
      <c r="L18" s="93"/>
    </row>
    <row r="19" spans="2:12" ht="15" thickBot="1" x14ac:dyDescent="0.35">
      <c r="B19" s="80" t="s">
        <v>235</v>
      </c>
      <c r="C19" s="93" t="s">
        <v>287</v>
      </c>
      <c r="D19" s="93" t="s">
        <v>287</v>
      </c>
      <c r="E19" s="93" t="s">
        <v>287</v>
      </c>
      <c r="F19" s="93" t="s">
        <v>287</v>
      </c>
      <c r="G19" s="93" t="s">
        <v>287</v>
      </c>
      <c r="H19" s="93" t="s">
        <v>287</v>
      </c>
      <c r="I19" s="93" t="s">
        <v>287</v>
      </c>
      <c r="J19" s="93" t="s">
        <v>287</v>
      </c>
      <c r="K19" s="93" t="s">
        <v>135</v>
      </c>
      <c r="L19" s="93"/>
    </row>
    <row r="20" spans="2:12" ht="15" thickBot="1" x14ac:dyDescent="0.35">
      <c r="B20" s="80" t="s">
        <v>234</v>
      </c>
      <c r="C20" s="93" t="s">
        <v>287</v>
      </c>
      <c r="D20" s="93" t="s">
        <v>287</v>
      </c>
      <c r="E20" s="93" t="s">
        <v>287</v>
      </c>
      <c r="F20" s="93" t="s">
        <v>287</v>
      </c>
      <c r="G20" s="93" t="s">
        <v>287</v>
      </c>
      <c r="H20" s="93" t="s">
        <v>287</v>
      </c>
      <c r="I20" s="93" t="s">
        <v>287</v>
      </c>
      <c r="J20" s="93" t="s">
        <v>287</v>
      </c>
      <c r="K20" s="93" t="s">
        <v>135</v>
      </c>
      <c r="L20" s="93"/>
    </row>
    <row r="21" spans="2:12" ht="15" thickBot="1" x14ac:dyDescent="0.35">
      <c r="B21" s="80" t="s">
        <v>232</v>
      </c>
      <c r="C21" s="100">
        <v>46.666666666666664</v>
      </c>
      <c r="D21" s="100">
        <v>46.666666666666664</v>
      </c>
      <c r="E21" s="100">
        <v>46.666666666666664</v>
      </c>
      <c r="F21" s="100">
        <v>46.666666666666664</v>
      </c>
      <c r="G21" s="93">
        <v>42</v>
      </c>
      <c r="H21" s="100">
        <v>51.333333333333336</v>
      </c>
      <c r="I21" s="93">
        <v>42</v>
      </c>
      <c r="J21" s="100">
        <v>51.333333333333336</v>
      </c>
      <c r="K21" s="93" t="s">
        <v>133</v>
      </c>
      <c r="L21" s="93"/>
    </row>
    <row r="22" spans="2:12" ht="15" thickBot="1" x14ac:dyDescent="0.35">
      <c r="B22" s="80" t="s">
        <v>231</v>
      </c>
      <c r="C22" s="112">
        <v>46.666666666666664</v>
      </c>
      <c r="D22" s="100">
        <v>46.666666666666664</v>
      </c>
      <c r="E22" s="100">
        <v>46.666666666666664</v>
      </c>
      <c r="F22" s="100">
        <v>46.666666666666664</v>
      </c>
      <c r="G22" s="93">
        <v>42</v>
      </c>
      <c r="H22" s="100">
        <v>51.333333333333336</v>
      </c>
      <c r="I22" s="93">
        <v>42</v>
      </c>
      <c r="J22" s="100">
        <v>51.333333333333336</v>
      </c>
      <c r="K22" s="93" t="s">
        <v>133</v>
      </c>
      <c r="L22" s="93"/>
    </row>
    <row r="23" spans="2:12" ht="15" thickBot="1" x14ac:dyDescent="0.35">
      <c r="B23" s="80" t="s">
        <v>230</v>
      </c>
      <c r="C23" s="100">
        <v>46.666666666666664</v>
      </c>
      <c r="D23" s="100">
        <v>46.666666666666664</v>
      </c>
      <c r="E23" s="100">
        <v>46.666666666666664</v>
      </c>
      <c r="F23" s="100">
        <v>46.666666666666664</v>
      </c>
      <c r="G23" s="93">
        <v>42</v>
      </c>
      <c r="H23" s="100">
        <v>51.333333333333336</v>
      </c>
      <c r="I23" s="93">
        <v>42</v>
      </c>
      <c r="J23" s="100">
        <v>51.333333333333336</v>
      </c>
      <c r="K23" s="93" t="s">
        <v>133</v>
      </c>
      <c r="L23" s="93"/>
    </row>
    <row r="24" spans="2:12" ht="15" thickBot="1" x14ac:dyDescent="0.35">
      <c r="B24" s="80" t="s">
        <v>229</v>
      </c>
      <c r="C24" s="100">
        <v>46.666666666666664</v>
      </c>
      <c r="D24" s="100">
        <v>46.666666666666664</v>
      </c>
      <c r="E24" s="100">
        <v>46.666666666666664</v>
      </c>
      <c r="F24" s="100">
        <v>46.666666666666664</v>
      </c>
      <c r="G24" s="93">
        <v>42</v>
      </c>
      <c r="H24" s="100">
        <v>51.333333333333336</v>
      </c>
      <c r="I24" s="93">
        <v>42</v>
      </c>
      <c r="J24" s="100">
        <v>51.333333333333336</v>
      </c>
      <c r="K24" s="93" t="s">
        <v>133</v>
      </c>
      <c r="L24" s="93"/>
    </row>
    <row r="25" spans="2:12" ht="15" thickBot="1" x14ac:dyDescent="0.35">
      <c r="B25" s="80" t="s">
        <v>228</v>
      </c>
      <c r="C25" s="100">
        <v>50</v>
      </c>
      <c r="D25" s="100">
        <v>50</v>
      </c>
      <c r="E25" s="100">
        <v>50</v>
      </c>
      <c r="F25" s="100">
        <v>50</v>
      </c>
      <c r="G25" s="93">
        <v>45</v>
      </c>
      <c r="H25" s="100">
        <v>55.000000000000007</v>
      </c>
      <c r="I25" s="93">
        <v>45</v>
      </c>
      <c r="J25" s="100">
        <v>55.000000000000007</v>
      </c>
      <c r="K25" s="93" t="s">
        <v>131</v>
      </c>
      <c r="L25" s="93"/>
    </row>
    <row r="26" spans="2:12" ht="15" thickBot="1" x14ac:dyDescent="0.35">
      <c r="B26" s="80" t="s">
        <v>227</v>
      </c>
      <c r="C26" s="100">
        <v>63.333333333333329</v>
      </c>
      <c r="D26" s="100">
        <v>63.333333333333329</v>
      </c>
      <c r="E26" s="100">
        <v>63.333333333333329</v>
      </c>
      <c r="F26" s="100">
        <v>63.333333333333329</v>
      </c>
      <c r="G26" s="93">
        <v>57</v>
      </c>
      <c r="H26" s="100">
        <v>69.666666666666671</v>
      </c>
      <c r="I26" s="93">
        <v>57</v>
      </c>
      <c r="J26" s="100">
        <v>69.666666666666671</v>
      </c>
      <c r="K26" s="93" t="s">
        <v>131</v>
      </c>
      <c r="L26" s="93"/>
    </row>
    <row r="27" spans="2:12" ht="15" thickBot="1" x14ac:dyDescent="0.35">
      <c r="B27" s="80" t="s">
        <v>226</v>
      </c>
      <c r="C27" s="93" t="s">
        <v>287</v>
      </c>
      <c r="D27" s="93" t="s">
        <v>287</v>
      </c>
      <c r="E27" s="93" t="s">
        <v>287</v>
      </c>
      <c r="F27" s="93" t="s">
        <v>287</v>
      </c>
      <c r="G27" s="93" t="s">
        <v>287</v>
      </c>
      <c r="H27" s="93" t="s">
        <v>287</v>
      </c>
      <c r="I27" s="93" t="s">
        <v>287</v>
      </c>
      <c r="J27" s="93" t="s">
        <v>287</v>
      </c>
      <c r="K27" s="93"/>
      <c r="L27" s="93"/>
    </row>
    <row r="28" spans="2:12" ht="15" thickBot="1" x14ac:dyDescent="0.35">
      <c r="B28" s="80" t="s">
        <v>166</v>
      </c>
      <c r="C28" s="93" t="s">
        <v>287</v>
      </c>
      <c r="D28" s="93" t="s">
        <v>287</v>
      </c>
      <c r="E28" s="93" t="s">
        <v>287</v>
      </c>
      <c r="F28" s="93" t="s">
        <v>287</v>
      </c>
      <c r="G28" s="93" t="s">
        <v>287</v>
      </c>
      <c r="H28" s="93" t="s">
        <v>287</v>
      </c>
      <c r="I28" s="93" t="s">
        <v>287</v>
      </c>
      <c r="J28" s="93" t="s">
        <v>287</v>
      </c>
      <c r="K28" s="93" t="s">
        <v>129</v>
      </c>
      <c r="L28" s="93"/>
    </row>
    <row r="29" spans="2:12" ht="15" thickBot="1" x14ac:dyDescent="0.35">
      <c r="B29" s="80" t="s">
        <v>305</v>
      </c>
      <c r="C29" s="93" t="s">
        <v>287</v>
      </c>
      <c r="D29" s="93" t="s">
        <v>287</v>
      </c>
      <c r="E29" s="93" t="s">
        <v>287</v>
      </c>
      <c r="F29" s="93" t="s">
        <v>287</v>
      </c>
      <c r="G29" s="93" t="s">
        <v>287</v>
      </c>
      <c r="H29" s="93" t="s">
        <v>287</v>
      </c>
      <c r="I29" s="93" t="s">
        <v>287</v>
      </c>
      <c r="J29" s="93" t="s">
        <v>287</v>
      </c>
      <c r="K29" s="93" t="s">
        <v>127</v>
      </c>
      <c r="L29" s="93"/>
    </row>
    <row r="30" spans="2:12" ht="15" customHeight="1" thickBot="1" x14ac:dyDescent="0.35">
      <c r="B30" s="80" t="s">
        <v>304</v>
      </c>
      <c r="C30" s="93" t="s">
        <v>287</v>
      </c>
      <c r="D30" s="93" t="s">
        <v>287</v>
      </c>
      <c r="E30" s="93" t="s">
        <v>287</v>
      </c>
      <c r="F30" s="93" t="s">
        <v>287</v>
      </c>
      <c r="G30" s="93" t="s">
        <v>287</v>
      </c>
      <c r="H30" s="93" t="s">
        <v>287</v>
      </c>
      <c r="I30" s="93" t="s">
        <v>287</v>
      </c>
      <c r="J30" s="93" t="s">
        <v>287</v>
      </c>
      <c r="K30" s="93" t="s">
        <v>127</v>
      </c>
      <c r="L30" s="93"/>
    </row>
    <row r="31" spans="2:12" ht="15" thickBot="1" x14ac:dyDescent="0.35">
      <c r="B31" s="80" t="s">
        <v>160</v>
      </c>
      <c r="C31" s="111">
        <v>0.8</v>
      </c>
      <c r="D31" s="111">
        <v>0.8</v>
      </c>
      <c r="E31" s="111">
        <v>0.8</v>
      </c>
      <c r="F31" s="111">
        <v>0.8</v>
      </c>
      <c r="G31" s="111">
        <v>0.7</v>
      </c>
      <c r="H31" s="111">
        <v>0.9</v>
      </c>
      <c r="I31" s="111">
        <v>0.7</v>
      </c>
      <c r="J31" s="111">
        <v>0.9</v>
      </c>
      <c r="K31" s="93"/>
      <c r="L31" s="93">
        <v>2</v>
      </c>
    </row>
    <row r="32" spans="2:12" ht="15" thickBot="1" x14ac:dyDescent="0.35">
      <c r="B32" s="80" t="s">
        <v>159</v>
      </c>
      <c r="C32" s="111">
        <v>0.2</v>
      </c>
      <c r="D32" s="111">
        <v>0.2</v>
      </c>
      <c r="E32" s="111">
        <v>0.2</v>
      </c>
      <c r="F32" s="111">
        <v>0.2</v>
      </c>
      <c r="G32" s="111">
        <v>0.1</v>
      </c>
      <c r="H32" s="111">
        <v>0.3</v>
      </c>
      <c r="I32" s="111">
        <v>0.1</v>
      </c>
      <c r="J32" s="111">
        <v>0.3</v>
      </c>
      <c r="K32" s="93"/>
      <c r="L32" s="93">
        <v>2</v>
      </c>
    </row>
    <row r="33" spans="1:13" ht="15" customHeight="1" thickBot="1" x14ac:dyDescent="0.35">
      <c r="B33" s="80" t="s">
        <v>218</v>
      </c>
      <c r="C33" s="100">
        <v>920</v>
      </c>
      <c r="D33" s="100">
        <v>920</v>
      </c>
      <c r="E33" s="100">
        <v>920</v>
      </c>
      <c r="F33" s="100">
        <v>920</v>
      </c>
      <c r="G33" s="100">
        <v>740</v>
      </c>
      <c r="H33" s="100">
        <v>1100</v>
      </c>
      <c r="I33" s="100">
        <v>740</v>
      </c>
      <c r="J33" s="100">
        <v>1100</v>
      </c>
      <c r="K33" s="93"/>
      <c r="L33" s="93">
        <v>2</v>
      </c>
    </row>
    <row r="34" spans="1:13" ht="15" thickBot="1" x14ac:dyDescent="0.35">
      <c r="B34" s="80" t="s">
        <v>217</v>
      </c>
      <c r="C34" s="100">
        <v>0</v>
      </c>
      <c r="D34" s="100">
        <v>0</v>
      </c>
      <c r="E34" s="100">
        <v>0</v>
      </c>
      <c r="F34" s="100">
        <v>0</v>
      </c>
      <c r="G34" s="100">
        <v>0</v>
      </c>
      <c r="H34" s="100">
        <v>0</v>
      </c>
      <c r="I34" s="100">
        <v>0</v>
      </c>
      <c r="J34" s="100">
        <v>0</v>
      </c>
      <c r="K34" s="93"/>
      <c r="L34" s="93">
        <v>2</v>
      </c>
    </row>
    <row r="35" spans="1:13" ht="15" thickBot="1" x14ac:dyDescent="0.35">
      <c r="B35" s="96"/>
      <c r="C35" s="94"/>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96"/>
      <c r="C37" s="93"/>
      <c r="D37" s="93"/>
      <c r="E37" s="93"/>
      <c r="F37" s="93"/>
      <c r="G37" s="93"/>
      <c r="H37" s="93"/>
      <c r="I37" s="93"/>
      <c r="J37" s="93"/>
      <c r="K37" s="93"/>
      <c r="L37" s="93"/>
    </row>
    <row r="38" spans="1:13" ht="15" thickBot="1" x14ac:dyDescent="0.35">
      <c r="B38" s="95"/>
      <c r="C38" s="93"/>
      <c r="D38" s="93"/>
      <c r="E38" s="93"/>
      <c r="F38" s="93"/>
      <c r="G38" s="93"/>
      <c r="H38" s="93"/>
      <c r="I38" s="93"/>
      <c r="J38" s="93"/>
      <c r="K38" s="93"/>
      <c r="L38" s="93"/>
    </row>
    <row r="39" spans="1:13" x14ac:dyDescent="0.3">
      <c r="B39" s="121"/>
      <c r="C39" s="120"/>
      <c r="D39" s="120"/>
      <c r="E39" s="120"/>
      <c r="F39" s="120"/>
      <c r="G39" s="120"/>
      <c r="H39" s="120"/>
      <c r="I39" s="120"/>
      <c r="J39" s="120"/>
      <c r="K39" s="120"/>
      <c r="L39" s="120"/>
    </row>
    <row r="40" spans="1:13" x14ac:dyDescent="0.3">
      <c r="B40" s="55" t="s">
        <v>154</v>
      </c>
    </row>
    <row r="41" spans="1:13" ht="15" customHeight="1" x14ac:dyDescent="0.3">
      <c r="A41" s="53">
        <v>1</v>
      </c>
      <c r="B41" s="208" t="s">
        <v>284</v>
      </c>
      <c r="C41" s="208"/>
      <c r="D41" s="208"/>
      <c r="E41" s="208"/>
      <c r="F41" s="208"/>
      <c r="G41" s="208"/>
      <c r="H41" s="208"/>
      <c r="I41" s="208"/>
      <c r="J41" s="208"/>
      <c r="K41" s="208"/>
      <c r="L41" s="208"/>
    </row>
    <row r="42" spans="1:13" x14ac:dyDescent="0.3">
      <c r="A42" s="53">
        <v>2</v>
      </c>
      <c r="B42" s="208" t="s">
        <v>283</v>
      </c>
      <c r="C42" s="208"/>
      <c r="D42" s="208"/>
      <c r="E42" s="208"/>
      <c r="F42" s="208"/>
      <c r="G42" s="208"/>
      <c r="H42" s="208"/>
      <c r="I42" s="208"/>
      <c r="J42" s="208"/>
      <c r="K42" s="208"/>
      <c r="L42" s="208"/>
    </row>
    <row r="43" spans="1:13" x14ac:dyDescent="0.3">
      <c r="A43" s="53"/>
      <c r="B43" s="119"/>
      <c r="C43" s="119"/>
      <c r="D43" s="119"/>
      <c r="E43" s="119"/>
      <c r="F43" s="119"/>
      <c r="G43" s="119"/>
      <c r="H43" s="119"/>
      <c r="I43" s="119"/>
      <c r="J43" s="119"/>
      <c r="K43" s="119"/>
      <c r="L43" s="119"/>
    </row>
    <row r="44" spans="1:13" x14ac:dyDescent="0.3">
      <c r="A44" s="53"/>
      <c r="B44" s="55" t="s">
        <v>144</v>
      </c>
      <c r="C44" s="54"/>
      <c r="D44" s="54"/>
      <c r="E44" s="54"/>
      <c r="F44" s="54"/>
      <c r="G44" s="54"/>
      <c r="H44" s="54"/>
      <c r="I44" s="54"/>
      <c r="J44" s="54"/>
      <c r="K44" s="54"/>
      <c r="L44" s="54"/>
      <c r="M44" s="54"/>
    </row>
    <row r="45" spans="1:13" ht="26.25" customHeight="1" x14ac:dyDescent="0.3">
      <c r="A45" s="53" t="s">
        <v>143</v>
      </c>
      <c r="B45" s="208" t="s">
        <v>325</v>
      </c>
      <c r="C45" s="208"/>
      <c r="D45" s="208"/>
      <c r="E45" s="208"/>
      <c r="F45" s="208"/>
      <c r="G45" s="208"/>
      <c r="H45" s="208"/>
      <c r="I45" s="208"/>
      <c r="J45" s="208"/>
      <c r="K45" s="208"/>
      <c r="L45" s="208"/>
      <c r="M45" s="208"/>
    </row>
    <row r="46" spans="1:13" ht="15" customHeight="1" x14ac:dyDescent="0.3">
      <c r="A46" s="53" t="s">
        <v>141</v>
      </c>
      <c r="B46" s="208" t="s">
        <v>302</v>
      </c>
      <c r="C46" s="208"/>
      <c r="D46" s="208"/>
      <c r="E46" s="208"/>
      <c r="F46" s="208"/>
      <c r="G46" s="208"/>
      <c r="H46" s="208"/>
      <c r="I46" s="208"/>
      <c r="J46" s="208"/>
      <c r="K46" s="208"/>
      <c r="L46" s="208"/>
      <c r="M46" s="208"/>
    </row>
    <row r="47" spans="1:13" x14ac:dyDescent="0.3">
      <c r="A47" s="53" t="s">
        <v>139</v>
      </c>
      <c r="B47" s="208" t="s">
        <v>324</v>
      </c>
      <c r="C47" s="208"/>
      <c r="D47" s="208"/>
      <c r="E47" s="208"/>
      <c r="F47" s="208"/>
      <c r="G47" s="208"/>
      <c r="H47" s="208"/>
      <c r="I47" s="208"/>
      <c r="J47" s="208"/>
      <c r="K47" s="208"/>
      <c r="L47" s="208"/>
      <c r="M47" s="208"/>
    </row>
    <row r="48" spans="1:13" x14ac:dyDescent="0.3">
      <c r="A48" s="53" t="s">
        <v>137</v>
      </c>
      <c r="B48" s="208" t="s">
        <v>300</v>
      </c>
      <c r="C48" s="208"/>
      <c r="D48" s="208"/>
      <c r="E48" s="208"/>
      <c r="F48" s="208"/>
      <c r="G48" s="208"/>
      <c r="H48" s="208"/>
      <c r="I48" s="208"/>
      <c r="J48" s="208"/>
      <c r="K48" s="208"/>
      <c r="L48" s="208"/>
      <c r="M48" s="208"/>
    </row>
    <row r="49" spans="1:14" x14ac:dyDescent="0.3">
      <c r="A49" s="53" t="s">
        <v>135</v>
      </c>
      <c r="B49" s="208" t="s">
        <v>299</v>
      </c>
      <c r="C49" s="208"/>
      <c r="D49" s="208"/>
      <c r="E49" s="208"/>
      <c r="F49" s="208"/>
      <c r="G49" s="208"/>
      <c r="H49" s="208"/>
      <c r="I49" s="208"/>
      <c r="J49" s="208"/>
      <c r="K49" s="208"/>
      <c r="L49" s="208"/>
      <c r="M49" s="208"/>
    </row>
    <row r="50" spans="1:14" ht="14.25" customHeight="1" x14ac:dyDescent="0.3">
      <c r="A50" s="53" t="s">
        <v>133</v>
      </c>
      <c r="B50" s="208" t="s">
        <v>323</v>
      </c>
      <c r="C50" s="208"/>
      <c r="D50" s="208"/>
      <c r="E50" s="208"/>
      <c r="F50" s="208"/>
      <c r="G50" s="208"/>
      <c r="H50" s="208"/>
      <c r="I50" s="208"/>
      <c r="J50" s="208"/>
      <c r="K50" s="208"/>
      <c r="L50" s="208"/>
      <c r="M50" s="208"/>
    </row>
    <row r="51" spans="1:14" x14ac:dyDescent="0.3">
      <c r="A51" s="53" t="s">
        <v>131</v>
      </c>
      <c r="B51" s="208" t="s">
        <v>277</v>
      </c>
      <c r="C51" s="208"/>
      <c r="D51" s="208"/>
      <c r="E51" s="208"/>
      <c r="F51" s="208"/>
      <c r="G51" s="208"/>
      <c r="H51" s="208"/>
      <c r="I51" s="208"/>
      <c r="J51" s="208"/>
      <c r="K51" s="208"/>
      <c r="L51" s="208"/>
      <c r="M51" s="208"/>
    </row>
    <row r="52" spans="1:14" x14ac:dyDescent="0.3">
      <c r="A52" s="53" t="s">
        <v>129</v>
      </c>
      <c r="B52" s="208" t="s">
        <v>296</v>
      </c>
      <c r="C52" s="208"/>
      <c r="D52" s="208"/>
      <c r="E52" s="208"/>
      <c r="F52" s="208"/>
      <c r="G52" s="208"/>
      <c r="H52" s="208"/>
      <c r="I52" s="208"/>
      <c r="J52" s="208"/>
      <c r="K52" s="208"/>
      <c r="L52" s="208"/>
      <c r="M52" s="208"/>
      <c r="N52" s="90" t="s">
        <v>295</v>
      </c>
    </row>
    <row r="53" spans="1:14" x14ac:dyDescent="0.3">
      <c r="A53" s="53" t="s">
        <v>127</v>
      </c>
      <c r="B53" s="208" t="s">
        <v>294</v>
      </c>
      <c r="C53" s="208"/>
      <c r="D53" s="208"/>
      <c r="E53" s="208"/>
      <c r="F53" s="208"/>
      <c r="G53" s="208"/>
      <c r="H53" s="208"/>
      <c r="I53" s="208"/>
      <c r="J53" s="208"/>
      <c r="K53" s="208"/>
      <c r="L53" s="208"/>
      <c r="M53" s="208"/>
    </row>
    <row r="54" spans="1:14" x14ac:dyDescent="0.3">
      <c r="A54" s="53"/>
    </row>
    <row r="55" spans="1:14" x14ac:dyDescent="0.3">
      <c r="A55" s="53"/>
    </row>
    <row r="56" spans="1:14" x14ac:dyDescent="0.3">
      <c r="A56" s="53"/>
    </row>
  </sheetData>
  <mergeCells count="21">
    <mergeCell ref="K3:K4"/>
    <mergeCell ref="L3:L4"/>
    <mergeCell ref="B41:L41"/>
    <mergeCell ref="C2:L2"/>
    <mergeCell ref="B3:B4"/>
    <mergeCell ref="C3:C4"/>
    <mergeCell ref="D3:D4"/>
    <mergeCell ref="E3:E4"/>
    <mergeCell ref="F3:F4"/>
    <mergeCell ref="G3:H4"/>
    <mergeCell ref="I3:J4"/>
    <mergeCell ref="B52:M52"/>
    <mergeCell ref="B53:M53"/>
    <mergeCell ref="B42:L42"/>
    <mergeCell ref="B47:M47"/>
    <mergeCell ref="B48:M48"/>
    <mergeCell ref="B49:M49"/>
    <mergeCell ref="B50:M50"/>
    <mergeCell ref="B51:M51"/>
    <mergeCell ref="B45:M45"/>
    <mergeCell ref="B46:M46"/>
  </mergeCells>
  <hyperlinks>
    <hyperlink ref="C2" location="INDEX" display="Energy Transport Natural Gas Distribution, New  developed residential areas" xr:uid="{4F2987F4-5661-4E58-8D5E-D52DFB0445BF}"/>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919F4-EB3D-4DB4-A397-E5C0B75E7378}">
  <dimension ref="A1:L59"/>
  <sheetViews>
    <sheetView topLeftCell="A40" workbookViewId="0">
      <selection activeCell="C25" sqref="C25"/>
    </sheetView>
  </sheetViews>
  <sheetFormatPr defaultColWidth="9.33203125" defaultRowHeight="14.4" x14ac:dyDescent="0.3"/>
  <cols>
    <col min="1" max="1" width="2.33203125" style="90" bestFit="1" customWidth="1"/>
    <col min="2" max="2" width="42.88671875" style="90" customWidth="1"/>
    <col min="3" max="12" width="9.109375" style="90" customWidth="1"/>
    <col min="13" max="16384" width="9.33203125" style="90"/>
  </cols>
  <sheetData>
    <row r="1" spans="2:12" ht="12.75" customHeight="1" thickBot="1" x14ac:dyDescent="0.35"/>
    <row r="2" spans="2:12" ht="16.5" customHeight="1" thickBot="1" x14ac:dyDescent="0.35">
      <c r="B2" s="110" t="s">
        <v>197</v>
      </c>
      <c r="C2" s="177" t="s">
        <v>352</v>
      </c>
      <c r="D2" s="196"/>
      <c r="E2" s="196"/>
      <c r="F2" s="196"/>
      <c r="G2" s="196"/>
      <c r="H2" s="196"/>
      <c r="I2" s="196"/>
      <c r="J2" s="196"/>
      <c r="K2" s="196"/>
      <c r="L2" s="19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188</v>
      </c>
      <c r="C6" s="93">
        <v>3</v>
      </c>
      <c r="D6" s="93">
        <v>3</v>
      </c>
      <c r="E6" s="93">
        <v>3</v>
      </c>
      <c r="F6" s="93">
        <v>3</v>
      </c>
      <c r="G6" s="93">
        <v>1</v>
      </c>
      <c r="H6" s="93">
        <v>5</v>
      </c>
      <c r="I6" s="93">
        <v>1</v>
      </c>
      <c r="J6" s="93">
        <v>5</v>
      </c>
      <c r="K6" s="93" t="s">
        <v>143</v>
      </c>
      <c r="L6" s="93" t="s">
        <v>348</v>
      </c>
    </row>
    <row r="7" spans="2:12" ht="15" thickBot="1" x14ac:dyDescent="0.35">
      <c r="B7" s="95" t="s">
        <v>187</v>
      </c>
      <c r="C7" s="93">
        <v>1</v>
      </c>
      <c r="D7" s="93">
        <v>1</v>
      </c>
      <c r="E7" s="93">
        <v>1</v>
      </c>
      <c r="F7" s="93">
        <v>1</v>
      </c>
      <c r="G7" s="93" t="s">
        <v>347</v>
      </c>
      <c r="H7" s="93">
        <v>2</v>
      </c>
      <c r="I7" s="93" t="s">
        <v>347</v>
      </c>
      <c r="J7" s="93">
        <v>2</v>
      </c>
      <c r="K7" s="93" t="s">
        <v>143</v>
      </c>
      <c r="L7" s="93" t="s">
        <v>348</v>
      </c>
    </row>
    <row r="8" spans="2:12" ht="15" thickBot="1" x14ac:dyDescent="0.35">
      <c r="B8" s="95" t="s">
        <v>186</v>
      </c>
      <c r="C8" s="93" t="s">
        <v>347</v>
      </c>
      <c r="D8" s="93" t="s">
        <v>347</v>
      </c>
      <c r="E8" s="93" t="s">
        <v>347</v>
      </c>
      <c r="F8" s="93" t="s">
        <v>347</v>
      </c>
      <c r="G8" s="93" t="s">
        <v>320</v>
      </c>
      <c r="H8" s="93" t="s">
        <v>351</v>
      </c>
      <c r="I8" s="93" t="s">
        <v>320</v>
      </c>
      <c r="J8" s="93" t="s">
        <v>351</v>
      </c>
      <c r="K8" s="93" t="s">
        <v>143</v>
      </c>
      <c r="L8" s="93" t="s">
        <v>348</v>
      </c>
    </row>
    <row r="9" spans="2:12" ht="15" thickBot="1" x14ac:dyDescent="0.35">
      <c r="B9" s="95" t="s">
        <v>350</v>
      </c>
      <c r="C9" s="93">
        <v>5</v>
      </c>
      <c r="D9" s="93">
        <v>5</v>
      </c>
      <c r="E9" s="93">
        <v>5</v>
      </c>
      <c r="F9" s="93">
        <v>5</v>
      </c>
      <c r="G9" s="93">
        <v>2</v>
      </c>
      <c r="H9" s="93">
        <v>7</v>
      </c>
      <c r="I9" s="93">
        <v>2</v>
      </c>
      <c r="J9" s="93">
        <v>7</v>
      </c>
      <c r="K9" s="93"/>
      <c r="L9" s="93">
        <v>1</v>
      </c>
    </row>
    <row r="10" spans="2:12" ht="15" thickBot="1" x14ac:dyDescent="0.35">
      <c r="B10" s="95" t="s">
        <v>349</v>
      </c>
      <c r="C10" s="93" t="s">
        <v>156</v>
      </c>
      <c r="D10" s="93" t="s">
        <v>156</v>
      </c>
      <c r="E10" s="93" t="s">
        <v>156</v>
      </c>
      <c r="F10" s="93" t="s">
        <v>156</v>
      </c>
      <c r="G10" s="93" t="s">
        <v>156</v>
      </c>
      <c r="H10" s="93" t="s">
        <v>156</v>
      </c>
      <c r="I10" s="93" t="s">
        <v>156</v>
      </c>
      <c r="J10" s="93" t="s">
        <v>156</v>
      </c>
      <c r="K10" s="93" t="s">
        <v>131</v>
      </c>
      <c r="L10" s="93">
        <v>1</v>
      </c>
    </row>
    <row r="11" spans="2:12" ht="15" thickBot="1" x14ac:dyDescent="0.35">
      <c r="B11" s="95" t="s">
        <v>181</v>
      </c>
      <c r="C11" s="93">
        <v>2</v>
      </c>
      <c r="D11" s="93">
        <v>2</v>
      </c>
      <c r="E11" s="93">
        <v>2</v>
      </c>
      <c r="F11" s="93">
        <v>2</v>
      </c>
      <c r="G11" s="93" t="s">
        <v>347</v>
      </c>
      <c r="H11" s="93">
        <v>5</v>
      </c>
      <c r="I11" s="93" t="s">
        <v>347</v>
      </c>
      <c r="J11" s="93">
        <v>5</v>
      </c>
      <c r="K11" s="93"/>
      <c r="L11" s="93" t="s">
        <v>338</v>
      </c>
    </row>
    <row r="12" spans="2:12" ht="15" thickBot="1" x14ac:dyDescent="0.35">
      <c r="B12" s="95" t="s">
        <v>179</v>
      </c>
      <c r="C12" s="93">
        <v>40</v>
      </c>
      <c r="D12" s="93">
        <v>40</v>
      </c>
      <c r="E12" s="93">
        <v>40</v>
      </c>
      <c r="F12" s="93">
        <v>40</v>
      </c>
      <c r="G12" s="93">
        <v>30</v>
      </c>
      <c r="H12" s="93">
        <v>50</v>
      </c>
      <c r="I12" s="93">
        <v>30</v>
      </c>
      <c r="J12" s="93">
        <v>50</v>
      </c>
      <c r="K12" s="93" t="s">
        <v>141</v>
      </c>
      <c r="L12" s="93" t="s">
        <v>348</v>
      </c>
    </row>
    <row r="13" spans="2:12" ht="15" thickBot="1" x14ac:dyDescent="0.35">
      <c r="B13" s="95" t="s">
        <v>178</v>
      </c>
      <c r="C13" s="93" t="s">
        <v>347</v>
      </c>
      <c r="D13" s="93" t="s">
        <v>347</v>
      </c>
      <c r="E13" s="93" t="s">
        <v>347</v>
      </c>
      <c r="F13" s="93" t="s">
        <v>347</v>
      </c>
      <c r="G13" s="93" t="s">
        <v>346</v>
      </c>
      <c r="H13" s="93" t="s">
        <v>345</v>
      </c>
      <c r="I13" s="93" t="s">
        <v>346</v>
      </c>
      <c r="J13" s="93" t="s">
        <v>345</v>
      </c>
      <c r="K13" s="93"/>
      <c r="L13" s="93">
        <v>1</v>
      </c>
    </row>
    <row r="14" spans="2:12" ht="15" thickBot="1" x14ac:dyDescent="0.35">
      <c r="B14" s="95" t="s">
        <v>177</v>
      </c>
      <c r="C14" s="93">
        <v>4</v>
      </c>
      <c r="D14" s="93">
        <v>4</v>
      </c>
      <c r="E14" s="93">
        <v>4</v>
      </c>
      <c r="F14" s="93">
        <v>4</v>
      </c>
      <c r="G14" s="93">
        <v>3</v>
      </c>
      <c r="H14" s="93">
        <v>5</v>
      </c>
      <c r="I14" s="93">
        <v>3</v>
      </c>
      <c r="J14" s="93">
        <v>5</v>
      </c>
      <c r="K14" s="93"/>
      <c r="L14" s="93">
        <v>1</v>
      </c>
    </row>
    <row r="15" spans="2:12" ht="15" thickBot="1" x14ac:dyDescent="0.35">
      <c r="B15" s="95"/>
      <c r="C15" s="93"/>
      <c r="D15" s="93"/>
      <c r="E15" s="93"/>
      <c r="F15" s="93"/>
      <c r="G15" s="93"/>
      <c r="H15" s="93"/>
      <c r="I15" s="93"/>
      <c r="J15" s="93"/>
      <c r="K15" s="93"/>
      <c r="L15" s="93"/>
    </row>
    <row r="16" spans="2:12" ht="15" thickBot="1" x14ac:dyDescent="0.35">
      <c r="B16" s="97" t="s">
        <v>176</v>
      </c>
      <c r="C16" s="104"/>
      <c r="D16" s="104"/>
      <c r="E16" s="104"/>
      <c r="F16" s="104"/>
      <c r="G16" s="104"/>
      <c r="H16" s="104"/>
      <c r="I16" s="104"/>
      <c r="J16" s="104"/>
      <c r="K16" s="104"/>
      <c r="L16" s="103"/>
    </row>
    <row r="17" spans="2:12" ht="15" thickBot="1" x14ac:dyDescent="0.35">
      <c r="B17" s="105" t="s">
        <v>291</v>
      </c>
      <c r="C17" s="104"/>
      <c r="D17" s="104"/>
      <c r="E17" s="104"/>
      <c r="F17" s="104"/>
      <c r="G17" s="104"/>
      <c r="H17" s="104"/>
      <c r="I17" s="104"/>
      <c r="J17" s="104"/>
      <c r="K17" s="104"/>
      <c r="L17" s="103"/>
    </row>
    <row r="18" spans="2:12" ht="15" thickBot="1" x14ac:dyDescent="0.35">
      <c r="B18" s="60" t="s">
        <v>175</v>
      </c>
      <c r="C18" s="118">
        <v>25</v>
      </c>
      <c r="D18" s="118">
        <v>25</v>
      </c>
      <c r="E18" s="118">
        <v>25</v>
      </c>
      <c r="F18" s="118">
        <v>25</v>
      </c>
      <c r="G18" s="118" t="s">
        <v>344</v>
      </c>
      <c r="H18" s="118" t="s">
        <v>344</v>
      </c>
      <c r="I18" s="118" t="s">
        <v>344</v>
      </c>
      <c r="J18" s="118" t="s">
        <v>344</v>
      </c>
      <c r="K18" s="93" t="s">
        <v>343</v>
      </c>
      <c r="L18" s="93" t="s">
        <v>342</v>
      </c>
    </row>
    <row r="19" spans="2:12" ht="15" thickBot="1" x14ac:dyDescent="0.35">
      <c r="B19" s="60" t="s">
        <v>173</v>
      </c>
      <c r="C19" s="118">
        <v>12</v>
      </c>
      <c r="D19" s="118">
        <v>12</v>
      </c>
      <c r="E19" s="118">
        <v>12</v>
      </c>
      <c r="F19" s="118">
        <v>12</v>
      </c>
      <c r="G19" s="118" t="s">
        <v>344</v>
      </c>
      <c r="H19" s="118" t="s">
        <v>344</v>
      </c>
      <c r="I19" s="118" t="s">
        <v>344</v>
      </c>
      <c r="J19" s="118" t="s">
        <v>344</v>
      </c>
      <c r="K19" s="93" t="s">
        <v>343</v>
      </c>
      <c r="L19" s="93" t="s">
        <v>342</v>
      </c>
    </row>
    <row r="20" spans="2:12" ht="15" thickBot="1" x14ac:dyDescent="0.35">
      <c r="B20" s="60" t="s">
        <v>171</v>
      </c>
      <c r="C20" s="93">
        <v>9</v>
      </c>
      <c r="D20" s="118">
        <v>9</v>
      </c>
      <c r="E20" s="118">
        <v>9</v>
      </c>
      <c r="F20" s="118">
        <v>9</v>
      </c>
      <c r="G20" s="118" t="s">
        <v>344</v>
      </c>
      <c r="H20" s="118" t="s">
        <v>344</v>
      </c>
      <c r="I20" s="118" t="s">
        <v>344</v>
      </c>
      <c r="J20" s="118" t="s">
        <v>344</v>
      </c>
      <c r="K20" s="93" t="s">
        <v>343</v>
      </c>
      <c r="L20" s="93" t="s">
        <v>342</v>
      </c>
    </row>
    <row r="21" spans="2:12" ht="15" thickBot="1" x14ac:dyDescent="0.35">
      <c r="B21" s="60" t="s">
        <v>169</v>
      </c>
      <c r="C21" s="93">
        <v>6</v>
      </c>
      <c r="D21" s="118">
        <v>6</v>
      </c>
      <c r="E21" s="118">
        <v>6</v>
      </c>
      <c r="F21" s="118">
        <v>6</v>
      </c>
      <c r="G21" s="118" t="s">
        <v>344</v>
      </c>
      <c r="H21" s="118" t="s">
        <v>344</v>
      </c>
      <c r="I21" s="118" t="s">
        <v>344</v>
      </c>
      <c r="J21" s="118" t="s">
        <v>344</v>
      </c>
      <c r="K21" s="93" t="s">
        <v>343</v>
      </c>
      <c r="L21" s="93" t="s">
        <v>342</v>
      </c>
    </row>
    <row r="22" spans="2:12" ht="15" thickBot="1" x14ac:dyDescent="0.35">
      <c r="B22" s="60" t="s">
        <v>168</v>
      </c>
      <c r="C22" s="118" t="s">
        <v>156</v>
      </c>
      <c r="D22" s="118" t="s">
        <v>156</v>
      </c>
      <c r="E22" s="118" t="s">
        <v>156</v>
      </c>
      <c r="F22" s="118" t="s">
        <v>156</v>
      </c>
      <c r="G22" s="118" t="s">
        <v>156</v>
      </c>
      <c r="H22" s="118" t="s">
        <v>156</v>
      </c>
      <c r="I22" s="118" t="s">
        <v>156</v>
      </c>
      <c r="J22" s="118" t="s">
        <v>156</v>
      </c>
      <c r="K22" s="93"/>
      <c r="L22" s="93"/>
    </row>
    <row r="23" spans="2:12" ht="15" thickBot="1" x14ac:dyDescent="0.35">
      <c r="B23" s="60" t="s">
        <v>167</v>
      </c>
      <c r="C23" s="118" t="s">
        <v>156</v>
      </c>
      <c r="D23" s="118" t="s">
        <v>156</v>
      </c>
      <c r="E23" s="118" t="s">
        <v>156</v>
      </c>
      <c r="F23" s="118" t="s">
        <v>156</v>
      </c>
      <c r="G23" s="118" t="s">
        <v>156</v>
      </c>
      <c r="H23" s="118" t="s">
        <v>156</v>
      </c>
      <c r="I23" s="118" t="s">
        <v>156</v>
      </c>
      <c r="J23" s="118" t="s">
        <v>156</v>
      </c>
      <c r="K23" s="93"/>
      <c r="L23" s="93"/>
    </row>
    <row r="24" spans="2:12" ht="15" thickBot="1" x14ac:dyDescent="0.35">
      <c r="B24" s="60" t="s">
        <v>166</v>
      </c>
      <c r="C24" s="118" t="s">
        <v>156</v>
      </c>
      <c r="D24" s="118" t="s">
        <v>156</v>
      </c>
      <c r="E24" s="118" t="s">
        <v>156</v>
      </c>
      <c r="F24" s="118" t="s">
        <v>156</v>
      </c>
      <c r="G24" s="118" t="s">
        <v>156</v>
      </c>
      <c r="H24" s="118" t="s">
        <v>156</v>
      </c>
      <c r="I24" s="118" t="s">
        <v>156</v>
      </c>
      <c r="J24" s="118" t="s">
        <v>156</v>
      </c>
      <c r="K24" s="93" t="s">
        <v>135</v>
      </c>
      <c r="L24" s="93"/>
    </row>
    <row r="25" spans="2:12" ht="15" thickBot="1" x14ac:dyDescent="0.35">
      <c r="B25" s="60" t="s">
        <v>164</v>
      </c>
      <c r="C25" s="118">
        <v>115000</v>
      </c>
      <c r="D25" s="118">
        <v>115000</v>
      </c>
      <c r="E25" s="118">
        <v>115000</v>
      </c>
      <c r="F25" s="118">
        <v>115000</v>
      </c>
      <c r="G25" s="118">
        <v>92000</v>
      </c>
      <c r="H25" s="118">
        <v>138000</v>
      </c>
      <c r="I25" s="118">
        <v>92000</v>
      </c>
      <c r="J25" s="118">
        <v>138000</v>
      </c>
      <c r="K25" s="93"/>
      <c r="L25" s="93">
        <v>1</v>
      </c>
    </row>
    <row r="26" spans="2:12" ht="15" thickBot="1" x14ac:dyDescent="0.35">
      <c r="B26" s="60" t="s">
        <v>162</v>
      </c>
      <c r="C26" s="118">
        <v>105000</v>
      </c>
      <c r="D26" s="118">
        <v>105000</v>
      </c>
      <c r="E26" s="118">
        <v>105000</v>
      </c>
      <c r="F26" s="118">
        <v>105000</v>
      </c>
      <c r="G26" s="118">
        <v>84000</v>
      </c>
      <c r="H26" s="118">
        <v>126000</v>
      </c>
      <c r="I26" s="118">
        <v>84000</v>
      </c>
      <c r="J26" s="118">
        <v>126000</v>
      </c>
      <c r="K26" s="93"/>
      <c r="L26" s="93">
        <v>1</v>
      </c>
    </row>
    <row r="27" spans="2:12" ht="15" thickBot="1" x14ac:dyDescent="0.35">
      <c r="B27" s="60" t="s">
        <v>160</v>
      </c>
      <c r="C27" s="111">
        <v>0.6</v>
      </c>
      <c r="D27" s="111">
        <v>0.6</v>
      </c>
      <c r="E27" s="111">
        <v>0.6</v>
      </c>
      <c r="F27" s="111">
        <v>0.6</v>
      </c>
      <c r="G27" s="111">
        <v>0.5</v>
      </c>
      <c r="H27" s="111">
        <v>0.75</v>
      </c>
      <c r="I27" s="111">
        <v>0.5</v>
      </c>
      <c r="J27" s="111">
        <v>0.75</v>
      </c>
      <c r="K27" s="93" t="s">
        <v>139</v>
      </c>
      <c r="L27" s="93" t="s">
        <v>342</v>
      </c>
    </row>
    <row r="28" spans="2:12" ht="15" thickBot="1" x14ac:dyDescent="0.35">
      <c r="B28" s="60" t="s">
        <v>159</v>
      </c>
      <c r="C28" s="111">
        <v>0.4</v>
      </c>
      <c r="D28" s="111">
        <v>0.4</v>
      </c>
      <c r="E28" s="111">
        <v>0.4</v>
      </c>
      <c r="F28" s="111">
        <v>0.4</v>
      </c>
      <c r="G28" s="111">
        <v>0.25</v>
      </c>
      <c r="H28" s="111">
        <v>0.5</v>
      </c>
      <c r="I28" s="111">
        <v>0.25</v>
      </c>
      <c r="J28" s="111">
        <v>0.5</v>
      </c>
      <c r="K28" s="93" t="s">
        <v>139</v>
      </c>
      <c r="L28" s="93" t="s">
        <v>342</v>
      </c>
    </row>
    <row r="29" spans="2:12" ht="15" thickBot="1" x14ac:dyDescent="0.35">
      <c r="B29" s="60" t="s">
        <v>158</v>
      </c>
      <c r="C29" s="93" t="s">
        <v>156</v>
      </c>
      <c r="D29" s="93" t="s">
        <v>156</v>
      </c>
      <c r="E29" s="93" t="s">
        <v>156</v>
      </c>
      <c r="F29" s="93" t="s">
        <v>156</v>
      </c>
      <c r="G29" s="93" t="s">
        <v>156</v>
      </c>
      <c r="H29" s="93" t="s">
        <v>156</v>
      </c>
      <c r="I29" s="93" t="s">
        <v>156</v>
      </c>
      <c r="J29" s="93" t="s">
        <v>156</v>
      </c>
      <c r="K29" s="93"/>
      <c r="L29" s="93"/>
    </row>
    <row r="30" spans="2:12" ht="15" thickBot="1" x14ac:dyDescent="0.35">
      <c r="B30" s="60" t="s">
        <v>157</v>
      </c>
      <c r="C30" s="125" t="s">
        <v>341</v>
      </c>
      <c r="D30" s="125" t="s">
        <v>341</v>
      </c>
      <c r="E30" s="125" t="s">
        <v>341</v>
      </c>
      <c r="F30" s="125" t="s">
        <v>341</v>
      </c>
      <c r="G30" s="118" t="s">
        <v>340</v>
      </c>
      <c r="H30" s="118" t="s">
        <v>339</v>
      </c>
      <c r="I30" s="118" t="s">
        <v>340</v>
      </c>
      <c r="J30" s="118" t="s">
        <v>339</v>
      </c>
      <c r="K30" s="93"/>
      <c r="L30" s="93" t="s">
        <v>338</v>
      </c>
    </row>
    <row r="31" spans="2:12" ht="15" thickBot="1" x14ac:dyDescent="0.35">
      <c r="B31" s="96"/>
      <c r="C31" s="118"/>
      <c r="D31" s="118"/>
      <c r="E31" s="118"/>
      <c r="F31" s="118"/>
      <c r="G31" s="93"/>
      <c r="H31" s="93"/>
      <c r="I31" s="93"/>
      <c r="J31" s="93"/>
      <c r="K31" s="93"/>
      <c r="L31" s="93"/>
    </row>
    <row r="32" spans="2:12" ht="15" thickBot="1" x14ac:dyDescent="0.35">
      <c r="B32" s="97" t="s">
        <v>155</v>
      </c>
      <c r="C32" s="93"/>
      <c r="D32" s="93"/>
      <c r="E32" s="93"/>
      <c r="F32" s="93"/>
      <c r="G32" s="93"/>
      <c r="H32" s="93"/>
      <c r="I32" s="93"/>
      <c r="J32" s="93"/>
      <c r="K32" s="93"/>
      <c r="L32" s="93"/>
    </row>
    <row r="33" spans="1:12" ht="15" thickBot="1" x14ac:dyDescent="0.35">
      <c r="B33" s="96"/>
      <c r="C33" s="93"/>
      <c r="D33" s="93"/>
      <c r="E33" s="93"/>
      <c r="F33" s="93"/>
      <c r="G33" s="93"/>
      <c r="H33" s="93"/>
      <c r="I33" s="93"/>
      <c r="J33" s="93"/>
      <c r="K33" s="93"/>
      <c r="L33" s="93"/>
    </row>
    <row r="34" spans="1:12" ht="15" thickBot="1" x14ac:dyDescent="0.35">
      <c r="B34" s="95"/>
      <c r="C34" s="93"/>
      <c r="D34" s="93"/>
      <c r="E34" s="93"/>
      <c r="F34" s="93"/>
      <c r="G34" s="93"/>
      <c r="H34" s="93"/>
      <c r="I34" s="93"/>
      <c r="J34" s="93"/>
      <c r="K34" s="93"/>
      <c r="L34" s="93"/>
    </row>
    <row r="35" spans="1:12" x14ac:dyDescent="0.3">
      <c r="B35" s="121"/>
      <c r="C35" s="120"/>
      <c r="D35" s="120"/>
      <c r="E35" s="120"/>
      <c r="F35" s="120"/>
      <c r="G35" s="120"/>
      <c r="H35" s="120"/>
      <c r="I35" s="120"/>
      <c r="J35" s="120"/>
      <c r="K35" s="120"/>
      <c r="L35" s="120"/>
    </row>
    <row r="36" spans="1:12" x14ac:dyDescent="0.3">
      <c r="B36" s="55" t="s">
        <v>154</v>
      </c>
    </row>
    <row r="37" spans="1:12" x14ac:dyDescent="0.3">
      <c r="A37" s="53">
        <v>1</v>
      </c>
      <c r="B37" s="116" t="s">
        <v>337</v>
      </c>
    </row>
    <row r="38" spans="1:12" x14ac:dyDescent="0.3">
      <c r="A38" s="53">
        <v>2</v>
      </c>
      <c r="B38" s="116" t="s">
        <v>336</v>
      </c>
    </row>
    <row r="39" spans="1:12" x14ac:dyDescent="0.3">
      <c r="A39" s="53">
        <v>3</v>
      </c>
      <c r="B39" s="116" t="s">
        <v>335</v>
      </c>
      <c r="C39" s="54"/>
      <c r="D39" s="54"/>
      <c r="E39" s="54"/>
      <c r="F39" s="54"/>
      <c r="G39" s="54"/>
      <c r="H39" s="54"/>
      <c r="I39" s="54"/>
      <c r="J39" s="54"/>
      <c r="K39" s="54"/>
      <c r="L39" s="54"/>
    </row>
    <row r="40" spans="1:12" ht="22.8" x14ac:dyDescent="0.3">
      <c r="A40" s="53">
        <v>4</v>
      </c>
      <c r="B40" s="124" t="s">
        <v>334</v>
      </c>
      <c r="C40" s="188"/>
      <c r="D40" s="188"/>
      <c r="E40" s="188"/>
      <c r="F40" s="188"/>
      <c r="G40" s="188"/>
      <c r="H40" s="188"/>
      <c r="I40" s="188"/>
      <c r="J40" s="188"/>
      <c r="K40" s="188"/>
      <c r="L40" s="188"/>
    </row>
    <row r="41" spans="1:12" x14ac:dyDescent="0.3">
      <c r="A41" s="53"/>
      <c r="C41" s="209"/>
      <c r="D41" s="190"/>
      <c r="E41" s="190"/>
      <c r="F41" s="190"/>
      <c r="G41" s="190"/>
      <c r="H41" s="190"/>
      <c r="I41" s="190"/>
      <c r="J41" s="190"/>
      <c r="K41" s="190"/>
      <c r="L41" s="190"/>
    </row>
    <row r="42" spans="1:12" x14ac:dyDescent="0.3">
      <c r="A42" s="53"/>
      <c r="B42" s="55" t="s">
        <v>144</v>
      </c>
      <c r="C42" s="79"/>
      <c r="D42" s="79"/>
      <c r="E42" s="79"/>
      <c r="F42" s="79"/>
      <c r="G42" s="79"/>
      <c r="H42" s="79"/>
      <c r="I42" s="79"/>
      <c r="J42" s="79"/>
      <c r="K42" s="79"/>
      <c r="L42" s="79"/>
    </row>
    <row r="43" spans="1:12" x14ac:dyDescent="0.3">
      <c r="A43" s="53" t="s">
        <v>143</v>
      </c>
      <c r="B43" s="123" t="s">
        <v>333</v>
      </c>
      <c r="C43" s="79"/>
      <c r="D43" s="79"/>
      <c r="E43" s="79"/>
      <c r="F43" s="79"/>
      <c r="G43" s="79"/>
      <c r="H43" s="79"/>
      <c r="I43" s="79"/>
      <c r="J43" s="79"/>
      <c r="K43" s="79"/>
      <c r="L43" s="79"/>
    </row>
    <row r="44" spans="1:12" ht="45.6" x14ac:dyDescent="0.3">
      <c r="A44" s="53" t="s">
        <v>141</v>
      </c>
      <c r="B44" s="124" t="s">
        <v>332</v>
      </c>
      <c r="C44" s="79"/>
      <c r="D44" s="79"/>
      <c r="E44" s="79"/>
      <c r="F44" s="79"/>
      <c r="G44" s="79"/>
      <c r="H44" s="79"/>
      <c r="I44" s="79"/>
      <c r="J44" s="79"/>
      <c r="K44" s="79"/>
      <c r="L44" s="79"/>
    </row>
    <row r="45" spans="1:12" x14ac:dyDescent="0.3">
      <c r="A45" s="53" t="s">
        <v>139</v>
      </c>
      <c r="B45" s="123" t="s">
        <v>331</v>
      </c>
      <c r="C45" s="79"/>
      <c r="D45" s="79"/>
      <c r="E45" s="79"/>
      <c r="F45" s="79"/>
      <c r="G45" s="79"/>
      <c r="H45" s="79"/>
      <c r="I45" s="79"/>
      <c r="J45" s="79"/>
      <c r="K45" s="79"/>
      <c r="L45" s="79"/>
    </row>
    <row r="46" spans="1:12" ht="50.25" customHeight="1" x14ac:dyDescent="0.3">
      <c r="A46" s="53" t="s">
        <v>137</v>
      </c>
      <c r="B46" s="122" t="s">
        <v>330</v>
      </c>
    </row>
    <row r="47" spans="1:12" ht="34.200000000000003" x14ac:dyDescent="0.3">
      <c r="A47" s="53" t="s">
        <v>135</v>
      </c>
      <c r="B47" s="122" t="s">
        <v>329</v>
      </c>
    </row>
    <row r="48" spans="1:12" ht="22.8" x14ac:dyDescent="0.3">
      <c r="A48" s="53" t="s">
        <v>131</v>
      </c>
      <c r="B48" s="122" t="s">
        <v>328</v>
      </c>
    </row>
    <row r="49" spans="1:1" x14ac:dyDescent="0.3">
      <c r="A49" s="53"/>
    </row>
    <row r="50" spans="1:1" x14ac:dyDescent="0.3">
      <c r="A50" s="53"/>
    </row>
    <row r="51" spans="1:1" x14ac:dyDescent="0.3">
      <c r="A51" s="53"/>
    </row>
    <row r="52" spans="1:1" x14ac:dyDescent="0.3">
      <c r="A52" s="53"/>
    </row>
    <row r="53" spans="1:1" x14ac:dyDescent="0.3">
      <c r="A53" s="53"/>
    </row>
    <row r="54" spans="1:1" x14ac:dyDescent="0.3">
      <c r="A54" s="53"/>
    </row>
    <row r="55" spans="1:1" x14ac:dyDescent="0.3">
      <c r="A55" s="53"/>
    </row>
    <row r="56" spans="1:1" x14ac:dyDescent="0.3">
      <c r="A56" s="53"/>
    </row>
    <row r="57" spans="1:1" x14ac:dyDescent="0.3">
      <c r="A57" s="53"/>
    </row>
    <row r="58" spans="1:1" x14ac:dyDescent="0.3">
      <c r="A58" s="53"/>
    </row>
    <row r="59" spans="1:1" x14ac:dyDescent="0.3">
      <c r="A59" s="53"/>
    </row>
  </sheetData>
  <mergeCells count="12">
    <mergeCell ref="L3:L4"/>
    <mergeCell ref="C40:L40"/>
    <mergeCell ref="C41:L41"/>
    <mergeCell ref="C2:L2"/>
    <mergeCell ref="G3:H4"/>
    <mergeCell ref="I3:J4"/>
    <mergeCell ref="K3:K4"/>
    <mergeCell ref="B3:B4"/>
    <mergeCell ref="C3:C4"/>
    <mergeCell ref="D3:D4"/>
    <mergeCell ref="E3:E4"/>
    <mergeCell ref="F3:F4"/>
  </mergeCells>
  <hyperlinks>
    <hyperlink ref="C2" location="INDEX" display="Energy Transport District Heating Transmission" xr:uid="{A093D1FC-0E39-4051-A754-0F0C29CCAFEF}"/>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8276-71EA-46D8-A9F2-D8460DD09659}">
  <dimension ref="A1:M55"/>
  <sheetViews>
    <sheetView topLeftCell="A13" workbookViewId="0">
      <selection activeCell="D6" sqref="D6"/>
    </sheetView>
  </sheetViews>
  <sheetFormatPr defaultColWidth="9.33203125" defaultRowHeight="14.4" x14ac:dyDescent="0.3"/>
  <cols>
    <col min="1" max="1" width="2.33203125" style="90" bestFit="1" customWidth="1"/>
    <col min="2" max="2" width="41" style="90" customWidth="1"/>
    <col min="3" max="12" width="9.109375" style="90" customWidth="1"/>
    <col min="13" max="16384" width="9.33203125" style="90"/>
  </cols>
  <sheetData>
    <row r="1" spans="2:12" ht="15" thickBot="1" x14ac:dyDescent="0.35">
      <c r="B1" s="75" t="s">
        <v>373</v>
      </c>
    </row>
    <row r="2" spans="2:12" ht="15" thickBot="1" x14ac:dyDescent="0.35">
      <c r="B2" s="110" t="s">
        <v>197</v>
      </c>
      <c r="C2" s="177" t="s">
        <v>372</v>
      </c>
      <c r="D2" s="206"/>
      <c r="E2" s="206"/>
      <c r="F2" s="206"/>
      <c r="G2" s="206"/>
      <c r="H2" s="206"/>
      <c r="I2" s="206"/>
      <c r="J2" s="206"/>
      <c r="K2" s="206"/>
      <c r="L2" s="20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248</v>
      </c>
      <c r="C6" s="129">
        <v>15</v>
      </c>
      <c r="D6" s="128">
        <v>15</v>
      </c>
      <c r="E6" s="128">
        <v>15</v>
      </c>
      <c r="F6" s="128">
        <v>15</v>
      </c>
      <c r="G6" s="93">
        <v>10</v>
      </c>
      <c r="H6" s="93">
        <v>20</v>
      </c>
      <c r="I6" s="93">
        <v>10</v>
      </c>
      <c r="J6" s="93">
        <v>20</v>
      </c>
      <c r="K6" s="93" t="s">
        <v>371</v>
      </c>
      <c r="L6" s="93">
        <v>1</v>
      </c>
    </row>
    <row r="7" spans="2:12" ht="15" thickBot="1" x14ac:dyDescent="0.35">
      <c r="B7" s="95" t="s">
        <v>370</v>
      </c>
      <c r="C7" s="93">
        <v>5</v>
      </c>
      <c r="D7" s="93">
        <v>5</v>
      </c>
      <c r="E7" s="93">
        <v>5</v>
      </c>
      <c r="F7" s="93">
        <v>5</v>
      </c>
      <c r="G7" s="93">
        <v>2</v>
      </c>
      <c r="H7" s="93">
        <v>7</v>
      </c>
      <c r="I7" s="93">
        <v>2</v>
      </c>
      <c r="J7" s="93">
        <v>7</v>
      </c>
      <c r="K7" s="93" t="s">
        <v>139</v>
      </c>
      <c r="L7" s="93">
        <v>2</v>
      </c>
    </row>
    <row r="8" spans="2:12" ht="15" thickBot="1" x14ac:dyDescent="0.35">
      <c r="B8" s="95" t="s">
        <v>246</v>
      </c>
      <c r="C8" s="93">
        <v>2</v>
      </c>
      <c r="D8" s="93">
        <v>2</v>
      </c>
      <c r="E8" s="93">
        <v>2</v>
      </c>
      <c r="F8" s="93">
        <v>2</v>
      </c>
      <c r="G8" s="93">
        <v>0.5</v>
      </c>
      <c r="H8" s="93">
        <v>3</v>
      </c>
      <c r="I8" s="93">
        <v>0.5</v>
      </c>
      <c r="J8" s="93">
        <v>3</v>
      </c>
      <c r="K8" s="93"/>
      <c r="L8" s="93">
        <v>2</v>
      </c>
    </row>
    <row r="9" spans="2:12" ht="15" thickBot="1" x14ac:dyDescent="0.35">
      <c r="B9" s="95" t="s">
        <v>179</v>
      </c>
      <c r="C9" s="93">
        <v>40</v>
      </c>
      <c r="D9" s="93">
        <v>40</v>
      </c>
      <c r="E9" s="93">
        <v>40</v>
      </c>
      <c r="F9" s="93">
        <v>40</v>
      </c>
      <c r="G9" s="93">
        <v>30</v>
      </c>
      <c r="H9" s="93">
        <v>50</v>
      </c>
      <c r="I9" s="93">
        <v>30</v>
      </c>
      <c r="J9" s="93">
        <v>50</v>
      </c>
      <c r="K9" s="93" t="s">
        <v>137</v>
      </c>
      <c r="L9" s="93">
        <v>1</v>
      </c>
    </row>
    <row r="10" spans="2:12" ht="15" thickBot="1" x14ac:dyDescent="0.35">
      <c r="B10" s="95" t="s">
        <v>178</v>
      </c>
      <c r="C10" s="93"/>
      <c r="D10" s="93"/>
      <c r="E10" s="93"/>
      <c r="F10" s="93"/>
      <c r="G10" s="93"/>
      <c r="H10" s="93"/>
      <c r="I10" s="93"/>
      <c r="J10" s="93"/>
      <c r="K10" s="93"/>
      <c r="L10" s="93"/>
    </row>
    <row r="11" spans="2:12" ht="15" thickBot="1" x14ac:dyDescent="0.35">
      <c r="B11" s="113" t="s">
        <v>242</v>
      </c>
      <c r="C11" s="93" t="s">
        <v>320</v>
      </c>
      <c r="D11" s="93" t="s">
        <v>320</v>
      </c>
      <c r="E11" s="93" t="s">
        <v>320</v>
      </c>
      <c r="F11" s="93" t="s">
        <v>320</v>
      </c>
      <c r="G11" s="93" t="s">
        <v>319</v>
      </c>
      <c r="H11" s="93" t="s">
        <v>318</v>
      </c>
      <c r="I11" s="93" t="s">
        <v>319</v>
      </c>
      <c r="J11" s="93" t="s">
        <v>318</v>
      </c>
      <c r="K11" s="93"/>
      <c r="L11" s="93"/>
    </row>
    <row r="12" spans="2:12" ht="15" thickBot="1" x14ac:dyDescent="0.35">
      <c r="B12" s="113" t="s">
        <v>260</v>
      </c>
      <c r="C12" s="93" t="s">
        <v>156</v>
      </c>
      <c r="D12" s="114" t="s">
        <v>156</v>
      </c>
      <c r="E12" s="114" t="s">
        <v>156</v>
      </c>
      <c r="F12" s="114" t="s">
        <v>156</v>
      </c>
      <c r="G12" s="93" t="s">
        <v>156</v>
      </c>
      <c r="H12" s="114" t="s">
        <v>156</v>
      </c>
      <c r="I12" s="114" t="s">
        <v>156</v>
      </c>
      <c r="J12" s="114" t="s">
        <v>156</v>
      </c>
      <c r="K12" s="93"/>
      <c r="L12" s="93"/>
    </row>
    <row r="13" spans="2:12" ht="15" thickBot="1" x14ac:dyDescent="0.35">
      <c r="B13" s="113" t="s">
        <v>177</v>
      </c>
      <c r="C13" s="93">
        <v>1</v>
      </c>
      <c r="D13" s="93">
        <v>1</v>
      </c>
      <c r="E13" s="93">
        <v>1</v>
      </c>
      <c r="F13" s="93">
        <v>1</v>
      </c>
      <c r="G13" s="93" t="s">
        <v>347</v>
      </c>
      <c r="H13" s="93" t="s">
        <v>339</v>
      </c>
      <c r="I13" s="93" t="s">
        <v>347</v>
      </c>
      <c r="J13" s="93" t="s">
        <v>339</v>
      </c>
      <c r="K13" s="93"/>
      <c r="L13" s="93"/>
    </row>
    <row r="14" spans="2:12" ht="15" thickBot="1" x14ac:dyDescent="0.35">
      <c r="B14" s="95"/>
      <c r="C14" s="93"/>
      <c r="D14" s="93"/>
      <c r="E14" s="93"/>
      <c r="F14" s="93"/>
      <c r="G14" s="93"/>
      <c r="H14" s="93"/>
      <c r="I14" s="93"/>
      <c r="J14" s="93"/>
      <c r="K14" s="93"/>
      <c r="L14" s="93"/>
    </row>
    <row r="15" spans="2:12" ht="15" thickBot="1" x14ac:dyDescent="0.35">
      <c r="B15" s="97" t="s">
        <v>176</v>
      </c>
      <c r="C15" s="104"/>
      <c r="D15" s="104"/>
      <c r="E15" s="104"/>
      <c r="F15" s="104"/>
      <c r="G15" s="104"/>
      <c r="H15" s="104"/>
      <c r="I15" s="104"/>
      <c r="J15" s="104"/>
      <c r="K15" s="104"/>
      <c r="L15" s="103"/>
    </row>
    <row r="16" spans="2:12" ht="15" thickBot="1" x14ac:dyDescent="0.35">
      <c r="B16" s="80" t="s">
        <v>306</v>
      </c>
      <c r="C16" s="118">
        <v>720</v>
      </c>
      <c r="D16" s="118">
        <v>720</v>
      </c>
      <c r="E16" s="118">
        <v>720</v>
      </c>
      <c r="F16" s="118">
        <v>720</v>
      </c>
      <c r="G16" s="118" t="s">
        <v>344</v>
      </c>
      <c r="H16" s="118" t="s">
        <v>344</v>
      </c>
      <c r="I16" s="118" t="s">
        <v>344</v>
      </c>
      <c r="J16" s="118" t="s">
        <v>344</v>
      </c>
      <c r="K16" s="93" t="s">
        <v>290</v>
      </c>
      <c r="L16" s="93" t="s">
        <v>367</v>
      </c>
    </row>
    <row r="17" spans="2:12" ht="15" thickBot="1" x14ac:dyDescent="0.35">
      <c r="B17" s="80" t="s">
        <v>237</v>
      </c>
      <c r="C17" s="118">
        <v>3785</v>
      </c>
      <c r="D17" s="118">
        <v>3785</v>
      </c>
      <c r="E17" s="118">
        <v>3785</v>
      </c>
      <c r="F17" s="118">
        <v>3785</v>
      </c>
      <c r="G17" s="118" t="s">
        <v>344</v>
      </c>
      <c r="H17" s="118" t="s">
        <v>344</v>
      </c>
      <c r="I17" s="118" t="s">
        <v>344</v>
      </c>
      <c r="J17" s="118" t="s">
        <v>344</v>
      </c>
      <c r="K17" s="93" t="s">
        <v>369</v>
      </c>
      <c r="L17" s="93" t="s">
        <v>367</v>
      </c>
    </row>
    <row r="18" spans="2:12" ht="15" thickBot="1" x14ac:dyDescent="0.35">
      <c r="B18" s="80" t="s">
        <v>236</v>
      </c>
      <c r="C18" s="118">
        <v>4135</v>
      </c>
      <c r="D18" s="118">
        <v>4135</v>
      </c>
      <c r="E18" s="118">
        <v>4135</v>
      </c>
      <c r="F18" s="118">
        <v>4135</v>
      </c>
      <c r="G18" s="118" t="s">
        <v>344</v>
      </c>
      <c r="H18" s="118" t="s">
        <v>344</v>
      </c>
      <c r="I18" s="118" t="s">
        <v>344</v>
      </c>
      <c r="J18" s="118" t="s">
        <v>344</v>
      </c>
      <c r="K18" s="93" t="s">
        <v>369</v>
      </c>
      <c r="L18" s="93" t="s">
        <v>367</v>
      </c>
    </row>
    <row r="19" spans="2:12" ht="15" thickBot="1" x14ac:dyDescent="0.35">
      <c r="B19" s="80" t="s">
        <v>235</v>
      </c>
      <c r="C19" s="118">
        <v>4735</v>
      </c>
      <c r="D19" s="118">
        <v>4735</v>
      </c>
      <c r="E19" s="118">
        <v>4735</v>
      </c>
      <c r="F19" s="118">
        <v>4735</v>
      </c>
      <c r="G19" s="118" t="s">
        <v>344</v>
      </c>
      <c r="H19" s="118" t="s">
        <v>344</v>
      </c>
      <c r="I19" s="118" t="s">
        <v>344</v>
      </c>
      <c r="J19" s="118" t="s">
        <v>344</v>
      </c>
      <c r="K19" s="93" t="s">
        <v>369</v>
      </c>
      <c r="L19" s="93" t="s">
        <v>367</v>
      </c>
    </row>
    <row r="20" spans="2:12" ht="15" thickBot="1" x14ac:dyDescent="0.35">
      <c r="B20" s="80" t="s">
        <v>234</v>
      </c>
      <c r="C20" s="118" t="s">
        <v>156</v>
      </c>
      <c r="D20" s="118" t="s">
        <v>156</v>
      </c>
      <c r="E20" s="118" t="s">
        <v>156</v>
      </c>
      <c r="F20" s="118" t="s">
        <v>156</v>
      </c>
      <c r="G20" s="118" t="s">
        <v>156</v>
      </c>
      <c r="H20" s="118" t="s">
        <v>156</v>
      </c>
      <c r="I20" s="118" t="s">
        <v>156</v>
      </c>
      <c r="J20" s="118" t="s">
        <v>156</v>
      </c>
      <c r="K20" s="93"/>
      <c r="L20" s="93"/>
    </row>
    <row r="21" spans="2:12" ht="15" thickBot="1" x14ac:dyDescent="0.35">
      <c r="B21" s="80" t="s">
        <v>232</v>
      </c>
      <c r="C21" s="118">
        <v>279.5</v>
      </c>
      <c r="D21" s="118">
        <v>279.5</v>
      </c>
      <c r="E21" s="118">
        <v>279.5</v>
      </c>
      <c r="F21" s="118">
        <v>279.5</v>
      </c>
      <c r="G21" s="118" t="s">
        <v>344</v>
      </c>
      <c r="H21" s="118" t="s">
        <v>344</v>
      </c>
      <c r="I21" s="118" t="s">
        <v>344</v>
      </c>
      <c r="J21" s="118" t="s">
        <v>344</v>
      </c>
      <c r="K21" s="93" t="s">
        <v>368</v>
      </c>
      <c r="L21" s="93" t="s">
        <v>367</v>
      </c>
    </row>
    <row r="22" spans="2:12" ht="15" thickBot="1" x14ac:dyDescent="0.35">
      <c r="B22" s="80" t="s">
        <v>231</v>
      </c>
      <c r="C22" s="118">
        <v>354.5</v>
      </c>
      <c r="D22" s="118">
        <v>354.5</v>
      </c>
      <c r="E22" s="118">
        <v>354.5</v>
      </c>
      <c r="F22" s="118">
        <v>354.5</v>
      </c>
      <c r="G22" s="118" t="s">
        <v>344</v>
      </c>
      <c r="H22" s="118" t="s">
        <v>344</v>
      </c>
      <c r="I22" s="118" t="s">
        <v>344</v>
      </c>
      <c r="J22" s="118" t="s">
        <v>344</v>
      </c>
      <c r="K22" s="93" t="s">
        <v>368</v>
      </c>
      <c r="L22" s="93" t="s">
        <v>367</v>
      </c>
    </row>
    <row r="23" spans="2:12" ht="15" thickBot="1" x14ac:dyDescent="0.35">
      <c r="B23" s="80" t="s">
        <v>230</v>
      </c>
      <c r="C23" s="118">
        <v>369.5</v>
      </c>
      <c r="D23" s="118">
        <v>369.5</v>
      </c>
      <c r="E23" s="118">
        <v>369.5</v>
      </c>
      <c r="F23" s="118">
        <v>369.5</v>
      </c>
      <c r="G23" s="118" t="s">
        <v>344</v>
      </c>
      <c r="H23" s="118" t="s">
        <v>344</v>
      </c>
      <c r="I23" s="118" t="s">
        <v>344</v>
      </c>
      <c r="J23" s="118" t="s">
        <v>344</v>
      </c>
      <c r="K23" s="93" t="s">
        <v>368</v>
      </c>
      <c r="L23" s="93" t="s">
        <v>367</v>
      </c>
    </row>
    <row r="24" spans="2:12" ht="15" thickBot="1" x14ac:dyDescent="0.35">
      <c r="B24" s="80" t="s">
        <v>229</v>
      </c>
      <c r="C24" s="118">
        <v>460</v>
      </c>
      <c r="D24" s="118">
        <v>460</v>
      </c>
      <c r="E24" s="118">
        <v>460</v>
      </c>
      <c r="F24" s="118">
        <v>460</v>
      </c>
      <c r="G24" s="118" t="s">
        <v>344</v>
      </c>
      <c r="H24" s="118" t="s">
        <v>344</v>
      </c>
      <c r="I24" s="118" t="s">
        <v>344</v>
      </c>
      <c r="J24" s="118" t="s">
        <v>344</v>
      </c>
      <c r="K24" s="93" t="s">
        <v>368</v>
      </c>
      <c r="L24" s="93" t="s">
        <v>367</v>
      </c>
    </row>
    <row r="25" spans="2:12" ht="15" thickBot="1" x14ac:dyDescent="0.35">
      <c r="B25" s="80" t="s">
        <v>228</v>
      </c>
      <c r="C25" s="118">
        <v>640</v>
      </c>
      <c r="D25" s="118">
        <v>640</v>
      </c>
      <c r="E25" s="118">
        <v>640</v>
      </c>
      <c r="F25" s="118">
        <v>640</v>
      </c>
      <c r="G25" s="118" t="s">
        <v>344</v>
      </c>
      <c r="H25" s="118" t="s">
        <v>344</v>
      </c>
      <c r="I25" s="118" t="s">
        <v>344</v>
      </c>
      <c r="J25" s="118" t="s">
        <v>344</v>
      </c>
      <c r="K25" s="93" t="s">
        <v>368</v>
      </c>
      <c r="L25" s="93" t="s">
        <v>367</v>
      </c>
    </row>
    <row r="26" spans="2:12" ht="15" thickBot="1" x14ac:dyDescent="0.35">
      <c r="B26" s="80" t="s">
        <v>227</v>
      </c>
      <c r="C26" s="118">
        <v>1185</v>
      </c>
      <c r="D26" s="118">
        <v>1185</v>
      </c>
      <c r="E26" s="118">
        <v>1185</v>
      </c>
      <c r="F26" s="118">
        <v>1185</v>
      </c>
      <c r="G26" s="118" t="s">
        <v>344</v>
      </c>
      <c r="H26" s="118" t="s">
        <v>344</v>
      </c>
      <c r="I26" s="118" t="s">
        <v>344</v>
      </c>
      <c r="J26" s="118" t="s">
        <v>344</v>
      </c>
      <c r="K26" s="93" t="s">
        <v>368</v>
      </c>
      <c r="L26" s="93" t="s">
        <v>367</v>
      </c>
    </row>
    <row r="27" spans="2:12" ht="15" thickBot="1" x14ac:dyDescent="0.35">
      <c r="B27" s="80" t="s">
        <v>226</v>
      </c>
      <c r="C27" s="93" t="s">
        <v>156</v>
      </c>
      <c r="D27" s="100" t="s">
        <v>156</v>
      </c>
      <c r="E27" s="100" t="s">
        <v>156</v>
      </c>
      <c r="F27" s="100" t="s">
        <v>156</v>
      </c>
      <c r="G27" s="93" t="s">
        <v>156</v>
      </c>
      <c r="H27" s="100" t="s">
        <v>156</v>
      </c>
      <c r="I27" s="100" t="s">
        <v>156</v>
      </c>
      <c r="J27" s="100" t="s">
        <v>156</v>
      </c>
      <c r="K27" s="93"/>
      <c r="L27" s="93"/>
    </row>
    <row r="28" spans="2:12" ht="15" thickBot="1" x14ac:dyDescent="0.35">
      <c r="B28" s="80" t="s">
        <v>166</v>
      </c>
      <c r="C28" s="93" t="s">
        <v>156</v>
      </c>
      <c r="D28" s="100" t="s">
        <v>156</v>
      </c>
      <c r="E28" s="100" t="s">
        <v>156</v>
      </c>
      <c r="F28" s="100" t="s">
        <v>156</v>
      </c>
      <c r="G28" s="100" t="s">
        <v>156</v>
      </c>
      <c r="H28" s="100" t="s">
        <v>156</v>
      </c>
      <c r="I28" s="100" t="s">
        <v>156</v>
      </c>
      <c r="J28" s="100" t="s">
        <v>156</v>
      </c>
      <c r="K28" s="93"/>
      <c r="L28" s="93"/>
    </row>
    <row r="29" spans="2:12" ht="15" thickBot="1" x14ac:dyDescent="0.35">
      <c r="B29" s="80" t="s">
        <v>366</v>
      </c>
      <c r="C29" s="118">
        <v>100000</v>
      </c>
      <c r="D29" s="118">
        <v>100000</v>
      </c>
      <c r="E29" s="118">
        <v>100000</v>
      </c>
      <c r="F29" s="118">
        <v>100000</v>
      </c>
      <c r="G29" s="118">
        <v>80000</v>
      </c>
      <c r="H29" s="118">
        <v>120000</v>
      </c>
      <c r="I29" s="118">
        <v>80000</v>
      </c>
      <c r="J29" s="118">
        <v>120000</v>
      </c>
      <c r="K29" s="93" t="s">
        <v>127</v>
      </c>
      <c r="L29" s="93">
        <v>2</v>
      </c>
    </row>
    <row r="30" spans="2:12" ht="15" thickBot="1" x14ac:dyDescent="0.35">
      <c r="B30" s="80" t="s">
        <v>365</v>
      </c>
      <c r="C30" s="118">
        <v>90000</v>
      </c>
      <c r="D30" s="118">
        <v>90000</v>
      </c>
      <c r="E30" s="118">
        <v>90000</v>
      </c>
      <c r="F30" s="118">
        <v>90000</v>
      </c>
      <c r="G30" s="118">
        <v>72000</v>
      </c>
      <c r="H30" s="118">
        <v>108000</v>
      </c>
      <c r="I30" s="118">
        <v>72000</v>
      </c>
      <c r="J30" s="118">
        <v>108000</v>
      </c>
      <c r="K30" s="93" t="s">
        <v>127</v>
      </c>
      <c r="L30" s="93">
        <v>2</v>
      </c>
    </row>
    <row r="31" spans="2:12" ht="15" thickBot="1" x14ac:dyDescent="0.35">
      <c r="B31" s="80" t="s">
        <v>160</v>
      </c>
      <c r="C31" s="111">
        <v>0.85</v>
      </c>
      <c r="D31" s="111">
        <v>0.85</v>
      </c>
      <c r="E31" s="111">
        <v>0.85</v>
      </c>
      <c r="F31" s="111">
        <v>0.85</v>
      </c>
      <c r="G31" s="111">
        <v>0.8</v>
      </c>
      <c r="H31" s="111">
        <v>0.9</v>
      </c>
      <c r="I31" s="111">
        <v>0.8</v>
      </c>
      <c r="J31" s="111">
        <v>0.9</v>
      </c>
      <c r="K31" s="93" t="s">
        <v>133</v>
      </c>
      <c r="L31" s="93">
        <v>2</v>
      </c>
    </row>
    <row r="32" spans="2:12" ht="15" thickBot="1" x14ac:dyDescent="0.35">
      <c r="B32" s="80" t="s">
        <v>159</v>
      </c>
      <c r="C32" s="111">
        <v>0.15</v>
      </c>
      <c r="D32" s="111">
        <v>0.15</v>
      </c>
      <c r="E32" s="111">
        <v>0.15</v>
      </c>
      <c r="F32" s="111">
        <v>0.15</v>
      </c>
      <c r="G32" s="111">
        <v>0.1</v>
      </c>
      <c r="H32" s="111">
        <v>0.2</v>
      </c>
      <c r="I32" s="111">
        <v>0.1</v>
      </c>
      <c r="J32" s="111">
        <v>0.2</v>
      </c>
      <c r="K32" s="93" t="s">
        <v>133</v>
      </c>
      <c r="L32" s="93">
        <v>2</v>
      </c>
    </row>
    <row r="33" spans="1:13" ht="15" thickBot="1" x14ac:dyDescent="0.35">
      <c r="B33" s="80" t="s">
        <v>218</v>
      </c>
      <c r="C33" s="93" t="s">
        <v>156</v>
      </c>
      <c r="D33" s="93" t="s">
        <v>156</v>
      </c>
      <c r="E33" s="93" t="s">
        <v>156</v>
      </c>
      <c r="F33" s="93" t="s">
        <v>156</v>
      </c>
      <c r="G33" s="93" t="s">
        <v>156</v>
      </c>
      <c r="H33" s="93" t="s">
        <v>156</v>
      </c>
      <c r="I33" s="93" t="s">
        <v>156</v>
      </c>
      <c r="J33" s="93" t="s">
        <v>156</v>
      </c>
      <c r="K33" s="93"/>
      <c r="L33" s="93"/>
    </row>
    <row r="34" spans="1:13" ht="15" thickBot="1" x14ac:dyDescent="0.35">
      <c r="B34" s="80" t="s">
        <v>217</v>
      </c>
      <c r="C34" s="93" t="s">
        <v>339</v>
      </c>
      <c r="D34" s="93" t="s">
        <v>339</v>
      </c>
      <c r="E34" s="93" t="s">
        <v>339</v>
      </c>
      <c r="F34" s="93" t="s">
        <v>339</v>
      </c>
      <c r="G34" s="93">
        <v>1</v>
      </c>
      <c r="H34" s="93">
        <v>2</v>
      </c>
      <c r="I34" s="118">
        <v>1</v>
      </c>
      <c r="J34" s="118">
        <v>2</v>
      </c>
      <c r="K34" s="93"/>
      <c r="L34" s="93" t="s">
        <v>364</v>
      </c>
    </row>
    <row r="35" spans="1:13" ht="15" thickBot="1" x14ac:dyDescent="0.35">
      <c r="B35" s="96"/>
      <c r="C35" s="93"/>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80" t="s">
        <v>363</v>
      </c>
      <c r="C37" s="118">
        <v>265000</v>
      </c>
      <c r="D37" s="118">
        <v>265000</v>
      </c>
      <c r="E37" s="118">
        <v>265000</v>
      </c>
      <c r="F37" s="118">
        <v>265000</v>
      </c>
      <c r="G37" s="118">
        <v>212000</v>
      </c>
      <c r="H37" s="118">
        <v>318000</v>
      </c>
      <c r="I37" s="118">
        <v>212000</v>
      </c>
      <c r="J37" s="118">
        <v>318000</v>
      </c>
      <c r="K37" s="118"/>
      <c r="L37" s="118">
        <v>2</v>
      </c>
    </row>
    <row r="38" spans="1:13" ht="15" thickBot="1" x14ac:dyDescent="0.35">
      <c r="B38" s="80" t="s">
        <v>362</v>
      </c>
      <c r="C38" s="118">
        <v>240000</v>
      </c>
      <c r="D38" s="118">
        <v>240000</v>
      </c>
      <c r="E38" s="118">
        <v>240000</v>
      </c>
      <c r="F38" s="118">
        <v>240000</v>
      </c>
      <c r="G38" s="118">
        <v>192000</v>
      </c>
      <c r="H38" s="118">
        <v>288000</v>
      </c>
      <c r="I38" s="118">
        <v>192000</v>
      </c>
      <c r="J38" s="118">
        <v>288000</v>
      </c>
      <c r="K38" s="118"/>
      <c r="L38" s="118">
        <v>2</v>
      </c>
    </row>
    <row r="39" spans="1:13" x14ac:dyDescent="0.3">
      <c r="B39" s="127"/>
      <c r="C39" s="126"/>
      <c r="D39" s="126"/>
      <c r="E39" s="126"/>
      <c r="F39" s="126"/>
      <c r="G39" s="126"/>
      <c r="H39" s="126"/>
      <c r="I39" s="126"/>
      <c r="J39" s="126"/>
      <c r="K39" s="126"/>
      <c r="L39" s="126"/>
    </row>
    <row r="40" spans="1:13" x14ac:dyDescent="0.3">
      <c r="B40" s="55" t="s">
        <v>154</v>
      </c>
    </row>
    <row r="41" spans="1:13" x14ac:dyDescent="0.3">
      <c r="A41" s="116">
        <v>1</v>
      </c>
      <c r="B41" s="116" t="s">
        <v>336</v>
      </c>
    </row>
    <row r="42" spans="1:13" x14ac:dyDescent="0.3">
      <c r="A42" s="116">
        <v>2</v>
      </c>
      <c r="B42" s="116" t="s">
        <v>337</v>
      </c>
    </row>
    <row r="43" spans="1:13" x14ac:dyDescent="0.3">
      <c r="A43" s="116">
        <v>3</v>
      </c>
      <c r="B43" s="116" t="s">
        <v>335</v>
      </c>
      <c r="C43" s="54"/>
      <c r="D43" s="54"/>
      <c r="E43" s="54"/>
      <c r="F43" s="54"/>
      <c r="G43" s="54"/>
      <c r="H43" s="54"/>
      <c r="I43" s="54"/>
      <c r="J43" s="54"/>
      <c r="K43" s="54"/>
      <c r="L43" s="54"/>
      <c r="M43" s="54"/>
    </row>
    <row r="44" spans="1:13" x14ac:dyDescent="0.3">
      <c r="A44" s="116">
        <v>4</v>
      </c>
      <c r="B44" s="116" t="s">
        <v>334</v>
      </c>
      <c r="C44" s="54"/>
      <c r="D44" s="54"/>
      <c r="E44" s="54"/>
      <c r="F44" s="54"/>
      <c r="G44" s="54"/>
      <c r="H44" s="54"/>
      <c r="I44" s="54"/>
      <c r="J44" s="54"/>
      <c r="K44" s="54"/>
      <c r="L44" s="54"/>
      <c r="M44" s="54"/>
    </row>
    <row r="45" spans="1:13" x14ac:dyDescent="0.3">
      <c r="C45" s="188"/>
      <c r="D45" s="188"/>
      <c r="E45" s="188"/>
      <c r="F45" s="188"/>
      <c r="G45" s="188"/>
      <c r="H45" s="188"/>
      <c r="I45" s="188"/>
      <c r="J45" s="188"/>
      <c r="K45" s="188"/>
      <c r="L45" s="188"/>
      <c r="M45" s="188"/>
    </row>
    <row r="46" spans="1:13" x14ac:dyDescent="0.3">
      <c r="B46" s="55" t="s">
        <v>144</v>
      </c>
      <c r="C46" s="209"/>
      <c r="D46" s="190"/>
      <c r="E46" s="190"/>
      <c r="F46" s="190"/>
      <c r="G46" s="190"/>
      <c r="H46" s="190"/>
      <c r="I46" s="190"/>
      <c r="J46" s="190"/>
      <c r="K46" s="190"/>
      <c r="L46" s="190"/>
      <c r="M46" s="190"/>
    </row>
    <row r="47" spans="1:13" x14ac:dyDescent="0.3">
      <c r="A47" s="53" t="s">
        <v>143</v>
      </c>
      <c r="B47" s="123" t="s">
        <v>361</v>
      </c>
      <c r="C47" s="79"/>
      <c r="D47" s="79"/>
      <c r="E47" s="79"/>
      <c r="F47" s="79"/>
      <c r="G47" s="79"/>
      <c r="H47" s="79"/>
      <c r="I47" s="79"/>
      <c r="J47" s="79"/>
      <c r="K47" s="79"/>
      <c r="L47" s="79"/>
      <c r="M47" s="79"/>
    </row>
    <row r="48" spans="1:13" x14ac:dyDescent="0.3">
      <c r="A48" s="53" t="s">
        <v>141</v>
      </c>
      <c r="B48" s="123" t="s">
        <v>360</v>
      </c>
      <c r="C48" s="79"/>
      <c r="D48" s="79"/>
      <c r="E48" s="79"/>
      <c r="F48" s="79"/>
      <c r="G48" s="79"/>
      <c r="H48" s="79"/>
      <c r="I48" s="79"/>
      <c r="J48" s="79"/>
      <c r="K48" s="79"/>
      <c r="L48" s="79"/>
      <c r="M48" s="79"/>
    </row>
    <row r="49" spans="1:13" ht="34.200000000000003" x14ac:dyDescent="0.3">
      <c r="A49" s="53" t="s">
        <v>139</v>
      </c>
      <c r="B49" s="122" t="s">
        <v>359</v>
      </c>
      <c r="C49" s="79"/>
      <c r="D49" s="79"/>
      <c r="E49" s="79"/>
      <c r="F49" s="79"/>
      <c r="G49" s="79"/>
      <c r="H49" s="79"/>
      <c r="I49" s="79"/>
      <c r="J49" s="79"/>
      <c r="K49" s="79"/>
      <c r="L49" s="79"/>
      <c r="M49" s="79"/>
    </row>
    <row r="50" spans="1:13" ht="45.6" x14ac:dyDescent="0.3">
      <c r="A50" s="53" t="s">
        <v>137</v>
      </c>
      <c r="B50" s="124" t="s">
        <v>358</v>
      </c>
      <c r="C50" s="79"/>
      <c r="D50" s="79"/>
      <c r="E50" s="79"/>
      <c r="F50" s="79"/>
      <c r="G50" s="79"/>
      <c r="H50" s="79"/>
      <c r="I50" s="79"/>
      <c r="J50" s="79"/>
      <c r="K50" s="79"/>
      <c r="L50" s="79"/>
      <c r="M50" s="79"/>
    </row>
    <row r="51" spans="1:13" ht="45.6" x14ac:dyDescent="0.3">
      <c r="A51" s="53" t="s">
        <v>135</v>
      </c>
      <c r="B51" s="122" t="s">
        <v>357</v>
      </c>
    </row>
    <row r="52" spans="1:13" ht="34.200000000000003" x14ac:dyDescent="0.3">
      <c r="A52" s="53" t="s">
        <v>133</v>
      </c>
      <c r="B52" s="122" t="s">
        <v>356</v>
      </c>
    </row>
    <row r="53" spans="1:13" ht="68.400000000000006" x14ac:dyDescent="0.3">
      <c r="A53" s="53" t="s">
        <v>131</v>
      </c>
      <c r="B53" s="122" t="s">
        <v>355</v>
      </c>
    </row>
    <row r="54" spans="1:13" ht="57" x14ac:dyDescent="0.3">
      <c r="A54" s="53" t="s">
        <v>129</v>
      </c>
      <c r="B54" s="122" t="s">
        <v>354</v>
      </c>
    </row>
    <row r="55" spans="1:13" ht="45.6" x14ac:dyDescent="0.3">
      <c r="A55" s="53" t="s">
        <v>127</v>
      </c>
      <c r="B55" s="122" t="s">
        <v>353</v>
      </c>
    </row>
  </sheetData>
  <mergeCells count="12">
    <mergeCell ref="K3:K4"/>
    <mergeCell ref="L3:L4"/>
    <mergeCell ref="C45:M45"/>
    <mergeCell ref="C46:M46"/>
    <mergeCell ref="C2:L2"/>
    <mergeCell ref="G3:H4"/>
    <mergeCell ref="I3:J4"/>
    <mergeCell ref="B3:B4"/>
    <mergeCell ref="C3:C4"/>
    <mergeCell ref="D3:D4"/>
    <mergeCell ref="E3:E4"/>
    <mergeCell ref="F3:F4"/>
  </mergeCells>
  <hyperlinks>
    <hyperlink ref="C2" location="INDEX" display="Energy Transport District Heating Distribution, Rural" xr:uid="{06EB47FC-C54D-4954-81FA-01EA221E7560}"/>
  </hyperlinks>
  <pageMargins left="0.7" right="0.7" top="0.75" bottom="0.75" header="0.3" footer="0.3"/>
  <pageSetup paperSize="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8063D-AF45-410E-8B9E-977083D3F813}">
  <dimension ref="A1:M55"/>
  <sheetViews>
    <sheetView topLeftCell="A13" workbookViewId="0">
      <selection activeCell="M12" sqref="M12"/>
    </sheetView>
  </sheetViews>
  <sheetFormatPr defaultColWidth="9.33203125" defaultRowHeight="14.4" x14ac:dyDescent="0.3"/>
  <cols>
    <col min="1" max="1" width="2.33203125" style="90" bestFit="1" customWidth="1"/>
    <col min="2" max="2" width="44.5546875" style="90" customWidth="1"/>
    <col min="3" max="12" width="9.109375" style="90" customWidth="1"/>
    <col min="13" max="16384" width="9.33203125" style="90"/>
  </cols>
  <sheetData>
    <row r="1" spans="2:12" ht="15" thickBot="1" x14ac:dyDescent="0.35">
      <c r="B1" s="75" t="s">
        <v>375</v>
      </c>
    </row>
    <row r="2" spans="2:12" ht="15" thickBot="1" x14ac:dyDescent="0.35">
      <c r="B2" s="110" t="s">
        <v>197</v>
      </c>
      <c r="C2" s="177" t="s">
        <v>374</v>
      </c>
      <c r="D2" s="206"/>
      <c r="E2" s="206"/>
      <c r="F2" s="206"/>
      <c r="G2" s="206"/>
      <c r="H2" s="206"/>
      <c r="I2" s="206"/>
      <c r="J2" s="206"/>
      <c r="K2" s="206"/>
      <c r="L2" s="20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248</v>
      </c>
      <c r="C6" s="129">
        <v>14</v>
      </c>
      <c r="D6" s="129">
        <f t="shared" ref="D6:F9" si="0">C6</f>
        <v>14</v>
      </c>
      <c r="E6" s="129">
        <f t="shared" si="0"/>
        <v>14</v>
      </c>
      <c r="F6" s="129">
        <f t="shared" si="0"/>
        <v>14</v>
      </c>
      <c r="G6" s="93">
        <v>10</v>
      </c>
      <c r="H6" s="93">
        <v>17</v>
      </c>
      <c r="I6" s="93">
        <v>10</v>
      </c>
      <c r="J6" s="93">
        <v>17</v>
      </c>
      <c r="K6" s="93" t="s">
        <v>371</v>
      </c>
      <c r="L6" s="93">
        <v>1</v>
      </c>
    </row>
    <row r="7" spans="2:12" ht="15" thickBot="1" x14ac:dyDescent="0.35">
      <c r="B7" s="95" t="s">
        <v>370</v>
      </c>
      <c r="C7" s="93">
        <v>5</v>
      </c>
      <c r="D7" s="93">
        <f t="shared" si="0"/>
        <v>5</v>
      </c>
      <c r="E7" s="93">
        <f t="shared" si="0"/>
        <v>5</v>
      </c>
      <c r="F7" s="93">
        <f t="shared" si="0"/>
        <v>5</v>
      </c>
      <c r="G7" s="93">
        <v>2</v>
      </c>
      <c r="H7" s="93">
        <v>7</v>
      </c>
      <c r="I7" s="93">
        <f t="shared" ref="I7:J9" si="1">G7</f>
        <v>2</v>
      </c>
      <c r="J7" s="93">
        <f t="shared" si="1"/>
        <v>7</v>
      </c>
      <c r="K7" s="93" t="s">
        <v>139</v>
      </c>
      <c r="L7" s="93">
        <v>2</v>
      </c>
    </row>
    <row r="8" spans="2:12" ht="15" thickBot="1" x14ac:dyDescent="0.35">
      <c r="B8" s="95" t="s">
        <v>246</v>
      </c>
      <c r="C8" s="93">
        <v>2</v>
      </c>
      <c r="D8" s="93">
        <f t="shared" si="0"/>
        <v>2</v>
      </c>
      <c r="E8" s="93">
        <f t="shared" si="0"/>
        <v>2</v>
      </c>
      <c r="F8" s="93">
        <f t="shared" si="0"/>
        <v>2</v>
      </c>
      <c r="G8" s="93">
        <v>0.5</v>
      </c>
      <c r="H8" s="93">
        <v>3</v>
      </c>
      <c r="I8" s="93">
        <f t="shared" si="1"/>
        <v>0.5</v>
      </c>
      <c r="J8" s="93">
        <f t="shared" si="1"/>
        <v>3</v>
      </c>
      <c r="K8" s="93"/>
      <c r="L8" s="93">
        <v>2</v>
      </c>
    </row>
    <row r="9" spans="2:12" ht="15" thickBot="1" x14ac:dyDescent="0.35">
      <c r="B9" s="95" t="s">
        <v>179</v>
      </c>
      <c r="C9" s="93">
        <v>40</v>
      </c>
      <c r="D9" s="93">
        <f t="shared" si="0"/>
        <v>40</v>
      </c>
      <c r="E9" s="93">
        <f t="shared" si="0"/>
        <v>40</v>
      </c>
      <c r="F9" s="93">
        <f t="shared" si="0"/>
        <v>40</v>
      </c>
      <c r="G9" s="93">
        <v>30</v>
      </c>
      <c r="H9" s="93">
        <v>50</v>
      </c>
      <c r="I9" s="93">
        <f t="shared" si="1"/>
        <v>30</v>
      </c>
      <c r="J9" s="93">
        <f t="shared" si="1"/>
        <v>50</v>
      </c>
      <c r="K9" s="93" t="s">
        <v>137</v>
      </c>
      <c r="L9" s="93">
        <v>1</v>
      </c>
    </row>
    <row r="10" spans="2:12" ht="15" thickBot="1" x14ac:dyDescent="0.35">
      <c r="B10" s="95" t="s">
        <v>178</v>
      </c>
      <c r="C10" s="93"/>
      <c r="D10" s="93"/>
      <c r="E10" s="93"/>
      <c r="F10" s="93"/>
      <c r="G10" s="93"/>
      <c r="H10" s="93"/>
      <c r="I10" s="93"/>
      <c r="J10" s="93"/>
      <c r="K10" s="93"/>
      <c r="L10" s="93"/>
    </row>
    <row r="11" spans="2:12" ht="15" thickBot="1" x14ac:dyDescent="0.35">
      <c r="B11" s="113" t="s">
        <v>242</v>
      </c>
      <c r="C11" s="93" t="s">
        <v>320</v>
      </c>
      <c r="D11" s="93" t="str">
        <f t="shared" ref="D11:F13" si="2">C11</f>
        <v>0.2</v>
      </c>
      <c r="E11" s="93" t="str">
        <f t="shared" si="2"/>
        <v>0.2</v>
      </c>
      <c r="F11" s="93" t="str">
        <f t="shared" si="2"/>
        <v>0.2</v>
      </c>
      <c r="G11" s="93" t="s">
        <v>319</v>
      </c>
      <c r="H11" s="93" t="s">
        <v>318</v>
      </c>
      <c r="I11" s="93" t="s">
        <v>319</v>
      </c>
      <c r="J11" s="93" t="s">
        <v>318</v>
      </c>
      <c r="K11" s="93"/>
      <c r="L11" s="93"/>
    </row>
    <row r="12" spans="2:12" ht="15" thickBot="1" x14ac:dyDescent="0.35">
      <c r="B12" s="113" t="s">
        <v>260</v>
      </c>
      <c r="C12" s="93" t="s">
        <v>156</v>
      </c>
      <c r="D12" s="114" t="str">
        <f t="shared" si="2"/>
        <v>N/A</v>
      </c>
      <c r="E12" s="114" t="str">
        <f t="shared" si="2"/>
        <v>N/A</v>
      </c>
      <c r="F12" s="114" t="str">
        <f t="shared" si="2"/>
        <v>N/A</v>
      </c>
      <c r="G12" s="93"/>
      <c r="H12" s="93"/>
      <c r="I12" s="93"/>
      <c r="J12" s="93"/>
      <c r="K12" s="93"/>
      <c r="L12" s="93"/>
    </row>
    <row r="13" spans="2:12" ht="15" thickBot="1" x14ac:dyDescent="0.35">
      <c r="B13" s="113" t="s">
        <v>177</v>
      </c>
      <c r="C13" s="93">
        <v>1</v>
      </c>
      <c r="D13" s="93">
        <f t="shared" si="2"/>
        <v>1</v>
      </c>
      <c r="E13" s="93">
        <f t="shared" si="2"/>
        <v>1</v>
      </c>
      <c r="F13" s="93">
        <f t="shared" si="2"/>
        <v>1</v>
      </c>
      <c r="G13" s="93" t="s">
        <v>347</v>
      </c>
      <c r="H13" s="93" t="s">
        <v>339</v>
      </c>
      <c r="I13" s="93" t="str">
        <f>G13</f>
        <v>0.5</v>
      </c>
      <c r="J13" s="93" t="str">
        <f>H13</f>
        <v>1.5</v>
      </c>
      <c r="K13" s="93"/>
      <c r="L13" s="93"/>
    </row>
    <row r="14" spans="2:12" ht="15" thickBot="1" x14ac:dyDescent="0.35">
      <c r="B14" s="95"/>
      <c r="C14" s="93"/>
      <c r="D14" s="93"/>
      <c r="E14" s="93"/>
      <c r="F14" s="93"/>
      <c r="G14" s="93"/>
      <c r="H14" s="93"/>
      <c r="I14" s="93"/>
      <c r="J14" s="93"/>
      <c r="K14" s="93"/>
      <c r="L14" s="93"/>
    </row>
    <row r="15" spans="2:12" ht="15" thickBot="1" x14ac:dyDescent="0.35">
      <c r="B15" s="97" t="s">
        <v>176</v>
      </c>
      <c r="C15" s="104"/>
      <c r="D15" s="104"/>
      <c r="E15" s="104"/>
      <c r="F15" s="104"/>
      <c r="G15" s="104"/>
      <c r="H15" s="104"/>
      <c r="I15" s="104"/>
      <c r="J15" s="104"/>
      <c r="K15" s="104"/>
      <c r="L15" s="103"/>
    </row>
    <row r="16" spans="2:12" ht="15" thickBot="1" x14ac:dyDescent="0.35">
      <c r="B16" s="80" t="s">
        <v>259</v>
      </c>
      <c r="C16" s="93">
        <v>655</v>
      </c>
      <c r="D16" s="93">
        <f>C16</f>
        <v>655</v>
      </c>
      <c r="E16" s="93">
        <f>D16</f>
        <v>655</v>
      </c>
      <c r="F16" s="93">
        <f>E16</f>
        <v>655</v>
      </c>
      <c r="G16" s="118" t="s">
        <v>344</v>
      </c>
      <c r="H16" s="118" t="s">
        <v>344</v>
      </c>
      <c r="I16" s="118" t="str">
        <f t="shared" ref="I16:I26" si="3">G16</f>
        <v>See Note</v>
      </c>
      <c r="J16" s="118" t="str">
        <f t="shared" ref="J16:J26" si="4">H16</f>
        <v>See Note</v>
      </c>
      <c r="K16" s="93" t="s">
        <v>290</v>
      </c>
      <c r="L16" s="93" t="s">
        <v>367</v>
      </c>
    </row>
    <row r="17" spans="2:12" ht="15" thickBot="1" x14ac:dyDescent="0.35">
      <c r="B17" s="80" t="s">
        <v>237</v>
      </c>
      <c r="C17" s="118">
        <f>'113_12 DH_Distribu Rural'!C17</f>
        <v>3785</v>
      </c>
      <c r="D17" s="118">
        <f>'113_12 DH_Distribu Rural'!D17</f>
        <v>3785</v>
      </c>
      <c r="E17" s="118">
        <f>'113_12 DH_Distribu Rural'!E17</f>
        <v>3785</v>
      </c>
      <c r="F17" s="118">
        <f>'113_12 DH_Distribu Rural'!F17</f>
        <v>3785</v>
      </c>
      <c r="G17" s="118" t="s">
        <v>344</v>
      </c>
      <c r="H17" s="118" t="s">
        <v>344</v>
      </c>
      <c r="I17" s="118" t="str">
        <f t="shared" si="3"/>
        <v>See Note</v>
      </c>
      <c r="J17" s="118" t="str">
        <f t="shared" si="4"/>
        <v>See Note</v>
      </c>
      <c r="K17" s="93" t="s">
        <v>369</v>
      </c>
      <c r="L17" s="93" t="s">
        <v>367</v>
      </c>
    </row>
    <row r="18" spans="2:12" ht="15" thickBot="1" x14ac:dyDescent="0.35">
      <c r="B18" s="80" t="s">
        <v>236</v>
      </c>
      <c r="C18" s="118">
        <f>'113_12 DH_Distribu Rural'!C18</f>
        <v>4135</v>
      </c>
      <c r="D18" s="118">
        <f>'113_12 DH_Distribu Rural'!D18</f>
        <v>4135</v>
      </c>
      <c r="E18" s="118">
        <f>'113_12 DH_Distribu Rural'!E18</f>
        <v>4135</v>
      </c>
      <c r="F18" s="118">
        <f>'113_12 DH_Distribu Rural'!F18</f>
        <v>4135</v>
      </c>
      <c r="G18" s="118" t="s">
        <v>344</v>
      </c>
      <c r="H18" s="118" t="s">
        <v>344</v>
      </c>
      <c r="I18" s="118" t="str">
        <f t="shared" si="3"/>
        <v>See Note</v>
      </c>
      <c r="J18" s="118" t="str">
        <f t="shared" si="4"/>
        <v>See Note</v>
      </c>
      <c r="K18" s="93" t="s">
        <v>369</v>
      </c>
      <c r="L18" s="93" t="s">
        <v>367</v>
      </c>
    </row>
    <row r="19" spans="2:12" ht="15" thickBot="1" x14ac:dyDescent="0.35">
      <c r="B19" s="80" t="s">
        <v>235</v>
      </c>
      <c r="C19" s="118">
        <f>'113_12 DH_Distribu Rural'!C19</f>
        <v>4735</v>
      </c>
      <c r="D19" s="118">
        <f>'113_12 DH_Distribu Rural'!D19</f>
        <v>4735</v>
      </c>
      <c r="E19" s="118">
        <f>'113_12 DH_Distribu Rural'!E19</f>
        <v>4735</v>
      </c>
      <c r="F19" s="118">
        <f>'113_12 DH_Distribu Rural'!F19</f>
        <v>4735</v>
      </c>
      <c r="G19" s="118" t="s">
        <v>344</v>
      </c>
      <c r="H19" s="118" t="s">
        <v>344</v>
      </c>
      <c r="I19" s="118" t="str">
        <f t="shared" si="3"/>
        <v>See Note</v>
      </c>
      <c r="J19" s="118" t="str">
        <f t="shared" si="4"/>
        <v>See Note</v>
      </c>
      <c r="K19" s="93" t="s">
        <v>369</v>
      </c>
      <c r="L19" s="93" t="s">
        <v>367</v>
      </c>
    </row>
    <row r="20" spans="2:12" ht="15" thickBot="1" x14ac:dyDescent="0.35">
      <c r="B20" s="80" t="s">
        <v>234</v>
      </c>
      <c r="C20" s="118" t="str">
        <f>'113_12 DH_Distribu Rural'!C20</f>
        <v>N/A</v>
      </c>
      <c r="D20" s="118" t="str">
        <f>'113_12 DH_Distribu Rural'!D20</f>
        <v>N/A</v>
      </c>
      <c r="E20" s="118" t="str">
        <f>'113_12 DH_Distribu Rural'!E20</f>
        <v>N/A</v>
      </c>
      <c r="F20" s="118" t="str">
        <f>'113_12 DH_Distribu Rural'!F20</f>
        <v>N/A</v>
      </c>
      <c r="G20" s="118" t="str">
        <f>'113_12 DH_Distribu Rural'!G20</f>
        <v>N/A</v>
      </c>
      <c r="H20" s="118" t="str">
        <f>'113_12 DH_Distribu Rural'!H20</f>
        <v>N/A</v>
      </c>
      <c r="I20" s="118" t="str">
        <f t="shared" si="3"/>
        <v>N/A</v>
      </c>
      <c r="J20" s="118" t="str">
        <f t="shared" si="4"/>
        <v>N/A</v>
      </c>
      <c r="K20" s="93"/>
      <c r="L20" s="93"/>
    </row>
    <row r="21" spans="2:12" ht="15" thickBot="1" x14ac:dyDescent="0.35">
      <c r="B21" s="80" t="s">
        <v>232</v>
      </c>
      <c r="C21" s="118">
        <f>'113_12 DH_Distribu Rural'!C21</f>
        <v>279.5</v>
      </c>
      <c r="D21" s="118">
        <f>'113_12 DH_Distribu Rural'!D21</f>
        <v>279.5</v>
      </c>
      <c r="E21" s="118">
        <f>'113_12 DH_Distribu Rural'!E21</f>
        <v>279.5</v>
      </c>
      <c r="F21" s="118">
        <f>'113_12 DH_Distribu Rural'!F21</f>
        <v>279.5</v>
      </c>
      <c r="G21" s="118" t="s">
        <v>344</v>
      </c>
      <c r="H21" s="118" t="s">
        <v>344</v>
      </c>
      <c r="I21" s="118" t="str">
        <f t="shared" si="3"/>
        <v>See Note</v>
      </c>
      <c r="J21" s="118" t="str">
        <f t="shared" si="4"/>
        <v>See Note</v>
      </c>
      <c r="K21" s="93" t="s">
        <v>368</v>
      </c>
      <c r="L21" s="93" t="s">
        <v>367</v>
      </c>
    </row>
    <row r="22" spans="2:12" ht="15" thickBot="1" x14ac:dyDescent="0.35">
      <c r="B22" s="80" t="s">
        <v>231</v>
      </c>
      <c r="C22" s="118">
        <f>'113_12 DH_Distribu Rural'!C22</f>
        <v>354.5</v>
      </c>
      <c r="D22" s="118">
        <f>'113_12 DH_Distribu Rural'!D22</f>
        <v>354.5</v>
      </c>
      <c r="E22" s="118">
        <f>'113_12 DH_Distribu Rural'!E22</f>
        <v>354.5</v>
      </c>
      <c r="F22" s="118">
        <f>'113_12 DH_Distribu Rural'!F22</f>
        <v>354.5</v>
      </c>
      <c r="G22" s="118" t="s">
        <v>344</v>
      </c>
      <c r="H22" s="118" t="s">
        <v>344</v>
      </c>
      <c r="I22" s="118" t="str">
        <f t="shared" si="3"/>
        <v>See Note</v>
      </c>
      <c r="J22" s="118" t="str">
        <f t="shared" si="4"/>
        <v>See Note</v>
      </c>
      <c r="K22" s="93" t="s">
        <v>368</v>
      </c>
      <c r="L22" s="93" t="s">
        <v>367</v>
      </c>
    </row>
    <row r="23" spans="2:12" ht="15" thickBot="1" x14ac:dyDescent="0.35">
      <c r="B23" s="80" t="s">
        <v>230</v>
      </c>
      <c r="C23" s="118">
        <f>'113_12 DH_Distribu Rural'!C23</f>
        <v>369.5</v>
      </c>
      <c r="D23" s="118">
        <f>'113_12 DH_Distribu Rural'!D23</f>
        <v>369.5</v>
      </c>
      <c r="E23" s="118">
        <f>'113_12 DH_Distribu Rural'!E23</f>
        <v>369.5</v>
      </c>
      <c r="F23" s="118">
        <f>'113_12 DH_Distribu Rural'!F23</f>
        <v>369.5</v>
      </c>
      <c r="G23" s="118" t="s">
        <v>344</v>
      </c>
      <c r="H23" s="118" t="s">
        <v>344</v>
      </c>
      <c r="I23" s="118" t="str">
        <f t="shared" si="3"/>
        <v>See Note</v>
      </c>
      <c r="J23" s="118" t="str">
        <f t="shared" si="4"/>
        <v>See Note</v>
      </c>
      <c r="K23" s="93" t="s">
        <v>368</v>
      </c>
      <c r="L23" s="93" t="s">
        <v>367</v>
      </c>
    </row>
    <row r="24" spans="2:12" ht="15" thickBot="1" x14ac:dyDescent="0.35">
      <c r="B24" s="80" t="s">
        <v>229</v>
      </c>
      <c r="C24" s="118">
        <f>'113_12 DH_Distribu Rural'!C24</f>
        <v>460</v>
      </c>
      <c r="D24" s="118">
        <f>'113_12 DH_Distribu Rural'!D24</f>
        <v>460</v>
      </c>
      <c r="E24" s="118">
        <f>'113_12 DH_Distribu Rural'!E24</f>
        <v>460</v>
      </c>
      <c r="F24" s="118">
        <f>'113_12 DH_Distribu Rural'!F24</f>
        <v>460</v>
      </c>
      <c r="G24" s="118" t="s">
        <v>344</v>
      </c>
      <c r="H24" s="118" t="s">
        <v>344</v>
      </c>
      <c r="I24" s="118" t="str">
        <f t="shared" si="3"/>
        <v>See Note</v>
      </c>
      <c r="J24" s="118" t="str">
        <f t="shared" si="4"/>
        <v>See Note</v>
      </c>
      <c r="K24" s="93" t="s">
        <v>368</v>
      </c>
      <c r="L24" s="93" t="s">
        <v>367</v>
      </c>
    </row>
    <row r="25" spans="2:12" ht="15" thickBot="1" x14ac:dyDescent="0.35">
      <c r="B25" s="80" t="s">
        <v>228</v>
      </c>
      <c r="C25" s="118">
        <f>'113_12 DH_Distribu Rural'!C25</f>
        <v>640</v>
      </c>
      <c r="D25" s="118">
        <f>'113_12 DH_Distribu Rural'!D25</f>
        <v>640</v>
      </c>
      <c r="E25" s="118">
        <f>'113_12 DH_Distribu Rural'!E25</f>
        <v>640</v>
      </c>
      <c r="F25" s="118">
        <f>'113_12 DH_Distribu Rural'!F25</f>
        <v>640</v>
      </c>
      <c r="G25" s="118" t="s">
        <v>344</v>
      </c>
      <c r="H25" s="118" t="s">
        <v>344</v>
      </c>
      <c r="I25" s="118" t="str">
        <f t="shared" si="3"/>
        <v>See Note</v>
      </c>
      <c r="J25" s="118" t="str">
        <f t="shared" si="4"/>
        <v>See Note</v>
      </c>
      <c r="K25" s="93" t="s">
        <v>368</v>
      </c>
      <c r="L25" s="93" t="s">
        <v>367</v>
      </c>
    </row>
    <row r="26" spans="2:12" ht="15" thickBot="1" x14ac:dyDescent="0.35">
      <c r="B26" s="80" t="s">
        <v>227</v>
      </c>
      <c r="C26" s="118">
        <f>'113_12 DH_Distribu Rural'!C26</f>
        <v>1185</v>
      </c>
      <c r="D26" s="118">
        <f>'113_12 DH_Distribu Rural'!D26</f>
        <v>1185</v>
      </c>
      <c r="E26" s="118">
        <f>'113_12 DH_Distribu Rural'!E26</f>
        <v>1185</v>
      </c>
      <c r="F26" s="118">
        <f>'113_12 DH_Distribu Rural'!F26</f>
        <v>1185</v>
      </c>
      <c r="G26" s="118" t="s">
        <v>344</v>
      </c>
      <c r="H26" s="118" t="s">
        <v>344</v>
      </c>
      <c r="I26" s="118" t="str">
        <f t="shared" si="3"/>
        <v>See Note</v>
      </c>
      <c r="J26" s="118" t="str">
        <f t="shared" si="4"/>
        <v>See Note</v>
      </c>
      <c r="K26" s="93" t="s">
        <v>368</v>
      </c>
      <c r="L26" s="93" t="s">
        <v>367</v>
      </c>
    </row>
    <row r="27" spans="2:12" ht="15" thickBot="1" x14ac:dyDescent="0.35">
      <c r="B27" s="80" t="s">
        <v>226</v>
      </c>
      <c r="C27" s="93" t="s">
        <v>156</v>
      </c>
      <c r="D27" s="100" t="str">
        <f t="shared" ref="D27:J28" si="5">C27</f>
        <v>N/A</v>
      </c>
      <c r="E27" s="100" t="str">
        <f t="shared" si="5"/>
        <v>N/A</v>
      </c>
      <c r="F27" s="100" t="str">
        <f t="shared" si="5"/>
        <v>N/A</v>
      </c>
      <c r="G27" s="100" t="str">
        <f t="shared" si="5"/>
        <v>N/A</v>
      </c>
      <c r="H27" s="100" t="str">
        <f t="shared" si="5"/>
        <v>N/A</v>
      </c>
      <c r="I27" s="100" t="str">
        <f t="shared" si="5"/>
        <v>N/A</v>
      </c>
      <c r="J27" s="100" t="str">
        <f t="shared" si="5"/>
        <v>N/A</v>
      </c>
      <c r="K27" s="93"/>
      <c r="L27" s="93"/>
    </row>
    <row r="28" spans="2:12" ht="15" thickBot="1" x14ac:dyDescent="0.35">
      <c r="B28" s="80" t="s">
        <v>166</v>
      </c>
      <c r="C28" s="93" t="str">
        <f>C27</f>
        <v>N/A</v>
      </c>
      <c r="D28" s="100" t="str">
        <f t="shared" si="5"/>
        <v>N/A</v>
      </c>
      <c r="E28" s="100" t="str">
        <f t="shared" si="5"/>
        <v>N/A</v>
      </c>
      <c r="F28" s="100" t="str">
        <f t="shared" si="5"/>
        <v>N/A</v>
      </c>
      <c r="G28" s="100" t="str">
        <f t="shared" si="5"/>
        <v>N/A</v>
      </c>
      <c r="H28" s="100" t="str">
        <f t="shared" si="5"/>
        <v>N/A</v>
      </c>
      <c r="I28" s="100" t="str">
        <f t="shared" si="5"/>
        <v>N/A</v>
      </c>
      <c r="J28" s="100" t="str">
        <f t="shared" si="5"/>
        <v>N/A</v>
      </c>
      <c r="K28" s="93"/>
      <c r="L28" s="93"/>
    </row>
    <row r="29" spans="2:12" ht="15" thickBot="1" x14ac:dyDescent="0.35">
      <c r="B29" s="80" t="s">
        <v>366</v>
      </c>
      <c r="C29" s="118">
        <f>'112_15 DH_Distribu New area'!C29</f>
        <v>100000</v>
      </c>
      <c r="D29" s="118">
        <f t="shared" ref="D29:F30" si="6">C29</f>
        <v>100000</v>
      </c>
      <c r="E29" s="118">
        <f t="shared" si="6"/>
        <v>100000</v>
      </c>
      <c r="F29" s="118">
        <f t="shared" si="6"/>
        <v>100000</v>
      </c>
      <c r="G29" s="118">
        <f>'112_15 DH_Distribu New area'!G29</f>
        <v>80000</v>
      </c>
      <c r="H29" s="118">
        <f>'112_15 DH_Distribu New area'!H29</f>
        <v>120000</v>
      </c>
      <c r="I29" s="118">
        <f>G29</f>
        <v>80000</v>
      </c>
      <c r="J29" s="118">
        <f>H29</f>
        <v>120000</v>
      </c>
      <c r="K29" s="93" t="s">
        <v>127</v>
      </c>
      <c r="L29" s="93">
        <v>2</v>
      </c>
    </row>
    <row r="30" spans="2:12" ht="15" thickBot="1" x14ac:dyDescent="0.35">
      <c r="B30" s="80" t="s">
        <v>365</v>
      </c>
      <c r="C30" s="118">
        <f>'112_15 DH_Distribu New area'!C30</f>
        <v>90000</v>
      </c>
      <c r="D30" s="118">
        <f t="shared" si="6"/>
        <v>90000</v>
      </c>
      <c r="E30" s="118">
        <f t="shared" si="6"/>
        <v>90000</v>
      </c>
      <c r="F30" s="118">
        <f t="shared" si="6"/>
        <v>90000</v>
      </c>
      <c r="G30" s="118">
        <f>'112_15 DH_Distribu New area'!G30</f>
        <v>72000</v>
      </c>
      <c r="H30" s="118">
        <f>'112_15 DH_Distribu New area'!H30</f>
        <v>108000</v>
      </c>
      <c r="I30" s="118">
        <f>G30</f>
        <v>72000</v>
      </c>
      <c r="J30" s="118">
        <f>H30</f>
        <v>108000</v>
      </c>
      <c r="K30" s="93" t="s">
        <v>127</v>
      </c>
      <c r="L30" s="93">
        <v>2</v>
      </c>
    </row>
    <row r="31" spans="2:12" ht="15" thickBot="1" x14ac:dyDescent="0.35">
      <c r="B31" s="80" t="s">
        <v>160</v>
      </c>
      <c r="C31" s="111">
        <v>0.85</v>
      </c>
      <c r="D31" s="111">
        <v>0.85</v>
      </c>
      <c r="E31" s="111">
        <v>0.85</v>
      </c>
      <c r="F31" s="111">
        <v>0.85</v>
      </c>
      <c r="G31" s="111">
        <v>0.8</v>
      </c>
      <c r="H31" s="111">
        <v>0.9</v>
      </c>
      <c r="I31" s="111">
        <v>0.8</v>
      </c>
      <c r="J31" s="111">
        <v>0.9</v>
      </c>
      <c r="K31" s="93" t="s">
        <v>133</v>
      </c>
      <c r="L31" s="93">
        <v>2</v>
      </c>
    </row>
    <row r="32" spans="2:12" ht="15" thickBot="1" x14ac:dyDescent="0.35">
      <c r="B32" s="80" t="s">
        <v>159</v>
      </c>
      <c r="C32" s="111">
        <v>0.15</v>
      </c>
      <c r="D32" s="111">
        <v>0.15</v>
      </c>
      <c r="E32" s="111">
        <v>0.15</v>
      </c>
      <c r="F32" s="111">
        <v>0.15</v>
      </c>
      <c r="G32" s="111">
        <v>0.1</v>
      </c>
      <c r="H32" s="111">
        <v>0.2</v>
      </c>
      <c r="I32" s="111">
        <v>0.1</v>
      </c>
      <c r="J32" s="111">
        <v>0.2</v>
      </c>
      <c r="K32" s="93" t="s">
        <v>133</v>
      </c>
      <c r="L32" s="93">
        <v>2</v>
      </c>
    </row>
    <row r="33" spans="1:13" ht="15" thickBot="1" x14ac:dyDescent="0.35">
      <c r="B33" s="80" t="s">
        <v>218</v>
      </c>
      <c r="C33" s="93" t="s">
        <v>156</v>
      </c>
      <c r="D33" s="93" t="str">
        <f t="shared" ref="D33:J33" si="7">C33</f>
        <v>N/A</v>
      </c>
      <c r="E33" s="93" t="str">
        <f t="shared" si="7"/>
        <v>N/A</v>
      </c>
      <c r="F33" s="93" t="str">
        <f t="shared" si="7"/>
        <v>N/A</v>
      </c>
      <c r="G33" s="93" t="str">
        <f t="shared" si="7"/>
        <v>N/A</v>
      </c>
      <c r="H33" s="93" t="str">
        <f t="shared" si="7"/>
        <v>N/A</v>
      </c>
      <c r="I33" s="93" t="str">
        <f t="shared" si="7"/>
        <v>N/A</v>
      </c>
      <c r="J33" s="93" t="str">
        <f t="shared" si="7"/>
        <v>N/A</v>
      </c>
      <c r="K33" s="93"/>
      <c r="L33" s="93"/>
    </row>
    <row r="34" spans="1:13" ht="15" thickBot="1" x14ac:dyDescent="0.35">
      <c r="B34" s="80" t="s">
        <v>217</v>
      </c>
      <c r="C34" s="93" t="str">
        <f>'112_15 DH_Distribu New area'!C34</f>
        <v>1.5</v>
      </c>
      <c r="D34" s="93" t="str">
        <f>'112_15 DH_Distribu New area'!D34</f>
        <v>1.5</v>
      </c>
      <c r="E34" s="93" t="str">
        <f>'112_15 DH_Distribu New area'!E34</f>
        <v>1.5</v>
      </c>
      <c r="F34" s="93" t="str">
        <f>'112_15 DH_Distribu New area'!F34</f>
        <v>1.5</v>
      </c>
      <c r="G34" s="93">
        <f>'112_15 DH_Distribu New area'!G34</f>
        <v>1</v>
      </c>
      <c r="H34" s="93">
        <f>'112_15 DH_Distribu New area'!H34</f>
        <v>2</v>
      </c>
      <c r="I34" s="118">
        <f>G34</f>
        <v>1</v>
      </c>
      <c r="J34" s="118">
        <f>H34</f>
        <v>2</v>
      </c>
      <c r="K34" s="93"/>
      <c r="L34" s="93" t="s">
        <v>364</v>
      </c>
    </row>
    <row r="35" spans="1:13" ht="15" thickBot="1" x14ac:dyDescent="0.35">
      <c r="B35" s="96"/>
      <c r="C35" s="93"/>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80" t="str">
        <f>'112_15 DH_Distribu New area'!B37</f>
        <v>Heat exchanger station below 1 MW(EUR/MW)</v>
      </c>
      <c r="C37" s="118">
        <f>'112_15 DH_Distribu New area'!C37</f>
        <v>265000</v>
      </c>
      <c r="D37" s="118">
        <f>'112_15 DH_Distribu New area'!D37</f>
        <v>265000</v>
      </c>
      <c r="E37" s="118">
        <f>'112_15 DH_Distribu New area'!E37</f>
        <v>265000</v>
      </c>
      <c r="F37" s="118">
        <f>'112_15 DH_Distribu New area'!F37</f>
        <v>265000</v>
      </c>
      <c r="G37" s="118">
        <f>'112_15 DH_Distribu New area'!G37</f>
        <v>212000</v>
      </c>
      <c r="H37" s="118">
        <f>'112_15 DH_Distribu New area'!H37</f>
        <v>318000</v>
      </c>
      <c r="I37" s="118">
        <f>'112_15 DH_Distribu New area'!I37</f>
        <v>212000</v>
      </c>
      <c r="J37" s="118">
        <f>'112_15 DH_Distribu New area'!J37</f>
        <v>318000</v>
      </c>
      <c r="K37" s="118"/>
      <c r="L37" s="118">
        <f>'112_15 DH_Distribu New area'!L37</f>
        <v>2</v>
      </c>
    </row>
    <row r="38" spans="1:13" ht="15" thickBot="1" x14ac:dyDescent="0.35">
      <c r="B38" s="80" t="str">
        <f>'112_15 DH_Distribu New area'!B38</f>
        <v>Pumping station below 1 MW (EUR/MW)</v>
      </c>
      <c r="C38" s="118">
        <f>'112_15 DH_Distribu New area'!C38</f>
        <v>240000</v>
      </c>
      <c r="D38" s="118">
        <f>'112_15 DH_Distribu New area'!D38</f>
        <v>240000</v>
      </c>
      <c r="E38" s="118">
        <f>'112_15 DH_Distribu New area'!E38</f>
        <v>240000</v>
      </c>
      <c r="F38" s="118">
        <f>'112_15 DH_Distribu New area'!F38</f>
        <v>240000</v>
      </c>
      <c r="G38" s="118">
        <f>'112_15 DH_Distribu New area'!G38</f>
        <v>192000</v>
      </c>
      <c r="H38" s="118">
        <f>'112_15 DH_Distribu New area'!H38</f>
        <v>288000</v>
      </c>
      <c r="I38" s="118">
        <f>'112_15 DH_Distribu New area'!I38</f>
        <v>192000</v>
      </c>
      <c r="J38" s="118">
        <f>'112_15 DH_Distribu New area'!J38</f>
        <v>288000</v>
      </c>
      <c r="K38" s="118"/>
      <c r="L38" s="118">
        <f>'112_15 DH_Distribu New area'!L38</f>
        <v>2</v>
      </c>
    </row>
    <row r="39" spans="1:13" x14ac:dyDescent="0.3">
      <c r="B39" s="127"/>
      <c r="C39" s="126"/>
      <c r="D39" s="126"/>
      <c r="E39" s="126"/>
      <c r="F39" s="126"/>
      <c r="G39" s="126"/>
      <c r="H39" s="126"/>
      <c r="I39" s="126"/>
      <c r="J39" s="126"/>
      <c r="K39" s="126"/>
      <c r="L39" s="126"/>
    </row>
    <row r="40" spans="1:13" x14ac:dyDescent="0.3">
      <c r="B40" s="55" t="s">
        <v>154</v>
      </c>
    </row>
    <row r="41" spans="1:13" x14ac:dyDescent="0.3">
      <c r="A41" s="116">
        <v>1</v>
      </c>
      <c r="B41" s="116" t="s">
        <v>336</v>
      </c>
    </row>
    <row r="42" spans="1:13" x14ac:dyDescent="0.3">
      <c r="A42" s="116">
        <v>2</v>
      </c>
      <c r="B42" s="116" t="s">
        <v>337</v>
      </c>
    </row>
    <row r="43" spans="1:13" x14ac:dyDescent="0.3">
      <c r="A43" s="116">
        <v>3</v>
      </c>
      <c r="B43" s="116" t="s">
        <v>335</v>
      </c>
      <c r="C43" s="54"/>
      <c r="D43" s="54"/>
      <c r="E43" s="54"/>
      <c r="F43" s="54"/>
      <c r="G43" s="54"/>
      <c r="H43" s="54"/>
      <c r="I43" s="54"/>
      <c r="J43" s="54"/>
      <c r="K43" s="54"/>
      <c r="L43" s="54"/>
      <c r="M43" s="54"/>
    </row>
    <row r="44" spans="1:13" x14ac:dyDescent="0.3">
      <c r="A44" s="116">
        <v>4</v>
      </c>
      <c r="B44" s="116" t="s">
        <v>334</v>
      </c>
      <c r="C44" s="54"/>
      <c r="D44" s="54"/>
      <c r="E44" s="54"/>
      <c r="F44" s="54"/>
      <c r="G44" s="54"/>
      <c r="H44" s="54"/>
      <c r="I44" s="54"/>
      <c r="J44" s="54"/>
      <c r="K44" s="54"/>
      <c r="L44" s="54"/>
      <c r="M44" s="54"/>
    </row>
    <row r="45" spans="1:13" x14ac:dyDescent="0.3">
      <c r="C45" s="188"/>
      <c r="D45" s="188"/>
      <c r="E45" s="188"/>
      <c r="F45" s="188"/>
      <c r="G45" s="188"/>
      <c r="H45" s="188"/>
      <c r="I45" s="188"/>
      <c r="J45" s="188"/>
      <c r="K45" s="188"/>
      <c r="L45" s="188"/>
      <c r="M45" s="188"/>
    </row>
    <row r="46" spans="1:13" x14ac:dyDescent="0.3">
      <c r="B46" s="55" t="s">
        <v>144</v>
      </c>
      <c r="C46" s="209"/>
      <c r="D46" s="190"/>
      <c r="E46" s="190"/>
      <c r="F46" s="190"/>
      <c r="G46" s="190"/>
      <c r="H46" s="190"/>
      <c r="I46" s="190"/>
      <c r="J46" s="190"/>
      <c r="K46" s="190"/>
      <c r="L46" s="190"/>
      <c r="M46" s="190"/>
    </row>
    <row r="47" spans="1:13" x14ac:dyDescent="0.3">
      <c r="A47" s="53" t="s">
        <v>143</v>
      </c>
      <c r="B47" s="123" t="s">
        <v>361</v>
      </c>
      <c r="C47" s="79"/>
      <c r="D47" s="79"/>
      <c r="E47" s="79"/>
      <c r="F47" s="79"/>
      <c r="G47" s="79"/>
      <c r="H47" s="79"/>
      <c r="I47" s="79"/>
      <c r="J47" s="79"/>
      <c r="K47" s="79"/>
      <c r="L47" s="79"/>
      <c r="M47" s="79"/>
    </row>
    <row r="48" spans="1:13" x14ac:dyDescent="0.3">
      <c r="A48" s="53" t="s">
        <v>141</v>
      </c>
      <c r="B48" s="123" t="s">
        <v>360</v>
      </c>
      <c r="C48" s="79"/>
      <c r="D48" s="79"/>
      <c r="E48" s="79"/>
      <c r="F48" s="79"/>
      <c r="G48" s="79"/>
      <c r="H48" s="79"/>
      <c r="I48" s="79"/>
      <c r="J48" s="79"/>
      <c r="K48" s="79"/>
      <c r="L48" s="79"/>
      <c r="M48" s="79"/>
    </row>
    <row r="49" spans="1:13" ht="34.200000000000003" x14ac:dyDescent="0.3">
      <c r="A49" s="53" t="s">
        <v>139</v>
      </c>
      <c r="B49" s="122" t="s">
        <v>359</v>
      </c>
      <c r="C49" s="79"/>
      <c r="D49" s="79"/>
      <c r="E49" s="79"/>
      <c r="F49" s="79"/>
      <c r="G49" s="79"/>
      <c r="H49" s="79"/>
      <c r="I49" s="79"/>
      <c r="J49" s="79"/>
      <c r="K49" s="79"/>
      <c r="L49" s="79"/>
      <c r="M49" s="79"/>
    </row>
    <row r="50" spans="1:13" ht="45.6" x14ac:dyDescent="0.3">
      <c r="A50" s="53" t="s">
        <v>137</v>
      </c>
      <c r="B50" s="124" t="s">
        <v>358</v>
      </c>
      <c r="C50" s="79"/>
      <c r="D50" s="79"/>
      <c r="E50" s="79"/>
      <c r="F50" s="79"/>
      <c r="G50" s="79"/>
      <c r="H50" s="79"/>
      <c r="I50" s="79"/>
      <c r="J50" s="79"/>
      <c r="K50" s="79"/>
      <c r="L50" s="79"/>
      <c r="M50" s="79"/>
    </row>
    <row r="51" spans="1:13" ht="34.200000000000003" x14ac:dyDescent="0.3">
      <c r="A51" s="53" t="s">
        <v>135</v>
      </c>
      <c r="B51" s="122" t="s">
        <v>357</v>
      </c>
    </row>
    <row r="52" spans="1:13" ht="34.200000000000003" x14ac:dyDescent="0.3">
      <c r="A52" s="53" t="s">
        <v>133</v>
      </c>
      <c r="B52" s="122" t="s">
        <v>356</v>
      </c>
    </row>
    <row r="53" spans="1:13" ht="68.400000000000006" x14ac:dyDescent="0.3">
      <c r="A53" s="53" t="s">
        <v>131</v>
      </c>
      <c r="B53" s="122" t="s">
        <v>355</v>
      </c>
    </row>
    <row r="54" spans="1:13" ht="57" x14ac:dyDescent="0.3">
      <c r="A54" s="53" t="s">
        <v>129</v>
      </c>
      <c r="B54" s="122" t="s">
        <v>354</v>
      </c>
    </row>
    <row r="55" spans="1:13" ht="45.6" x14ac:dyDescent="0.3">
      <c r="A55" s="53" t="s">
        <v>127</v>
      </c>
      <c r="B55" s="122" t="s">
        <v>353</v>
      </c>
    </row>
  </sheetData>
  <mergeCells count="12">
    <mergeCell ref="K3:K4"/>
    <mergeCell ref="L3:L4"/>
    <mergeCell ref="C45:M45"/>
    <mergeCell ref="C46:M46"/>
    <mergeCell ref="C2:L2"/>
    <mergeCell ref="G3:H4"/>
    <mergeCell ref="I3:J4"/>
    <mergeCell ref="B3:B4"/>
    <mergeCell ref="C3:C4"/>
    <mergeCell ref="D3:D4"/>
    <mergeCell ref="E3:E4"/>
    <mergeCell ref="F3:F4"/>
  </mergeCells>
  <hyperlinks>
    <hyperlink ref="C2" location="INDEX" display="Energy Transport District Heating Distribution, Suburban" xr:uid="{D446FA2E-FED2-4003-9E83-3B5057F90ABF}"/>
  </hyperlink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3"/>
  <sheetViews>
    <sheetView workbookViewId="0">
      <selection activeCell="C7" sqref="C7"/>
    </sheetView>
  </sheetViews>
  <sheetFormatPr defaultColWidth="9.33203125" defaultRowHeight="13.8" x14ac:dyDescent="0.3"/>
  <cols>
    <col min="1" max="1" width="9.33203125" style="33"/>
    <col min="2" max="2" width="24" style="33" bestFit="1" customWidth="1"/>
    <col min="3" max="3" width="138.44140625" style="33" customWidth="1"/>
    <col min="4" max="16384" width="9.33203125" style="33"/>
  </cols>
  <sheetData>
    <row r="1" spans="2:3" ht="18" x14ac:dyDescent="0.35">
      <c r="B1" s="32" t="s">
        <v>56</v>
      </c>
    </row>
    <row r="3" spans="2:3" ht="14.4" x14ac:dyDescent="0.3">
      <c r="B3" s="34" t="s">
        <v>57</v>
      </c>
      <c r="C3" s="33" t="s">
        <v>61</v>
      </c>
    </row>
    <row r="4" spans="2:3" ht="14.4" x14ac:dyDescent="0.3">
      <c r="B4" s="34" t="s">
        <v>58</v>
      </c>
      <c r="C4" s="33" t="s">
        <v>62</v>
      </c>
    </row>
    <row r="5" spans="2:3" ht="14.4" x14ac:dyDescent="0.3">
      <c r="B5" s="34"/>
      <c r="C5" s="33" t="s">
        <v>64</v>
      </c>
    </row>
    <row r="6" spans="2:3" ht="14.4" x14ac:dyDescent="0.3">
      <c r="B6" s="34"/>
      <c r="C6" s="33" t="s">
        <v>65</v>
      </c>
    </row>
    <row r="7" spans="2:3" ht="14.4" x14ac:dyDescent="0.3">
      <c r="B7" s="34"/>
      <c r="C7" s="33" t="s">
        <v>69</v>
      </c>
    </row>
    <row r="8" spans="2:3" ht="14.4" x14ac:dyDescent="0.3">
      <c r="B8" s="34"/>
    </row>
    <row r="9" spans="2:3" ht="14.4" x14ac:dyDescent="0.3">
      <c r="B9" s="34" t="s">
        <v>59</v>
      </c>
      <c r="C9" s="33" t="s">
        <v>66</v>
      </c>
    </row>
    <row r="10" spans="2:3" ht="14.4" x14ac:dyDescent="0.3">
      <c r="B10" s="34"/>
    </row>
    <row r="11" spans="2:3" ht="14.4" x14ac:dyDescent="0.3">
      <c r="B11" s="35" t="s">
        <v>60</v>
      </c>
    </row>
    <row r="12" spans="2:3" ht="14.4" x14ac:dyDescent="0.3">
      <c r="B12" s="34"/>
    </row>
    <row r="13" spans="2:3" ht="14.4" x14ac:dyDescent="0.3">
      <c r="B13" s="36" t="s">
        <v>63</v>
      </c>
      <c r="C13" s="37" t="s">
        <v>67</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D152-D391-467A-8E63-DB27BA598C36}">
  <dimension ref="A1:M60"/>
  <sheetViews>
    <sheetView topLeftCell="A5" workbookViewId="0">
      <selection activeCell="D34" sqref="D34"/>
    </sheetView>
  </sheetViews>
  <sheetFormatPr defaultColWidth="9.33203125" defaultRowHeight="14.4" x14ac:dyDescent="0.3"/>
  <cols>
    <col min="1" max="1" width="2.33203125" style="90" bestFit="1" customWidth="1"/>
    <col min="2" max="2" width="44.5546875" style="90" customWidth="1"/>
    <col min="3" max="12" width="9.109375" style="90" customWidth="1"/>
    <col min="13" max="16384" width="9.33203125" style="90"/>
  </cols>
  <sheetData>
    <row r="1" spans="2:12" ht="15" thickBot="1" x14ac:dyDescent="0.35">
      <c r="B1" s="75" t="s">
        <v>382</v>
      </c>
    </row>
    <row r="2" spans="2:12" ht="15" thickBot="1" x14ac:dyDescent="0.35">
      <c r="B2" s="110" t="s">
        <v>197</v>
      </c>
      <c r="C2" s="177" t="s">
        <v>381</v>
      </c>
      <c r="D2" s="206"/>
      <c r="E2" s="206"/>
      <c r="F2" s="206"/>
      <c r="G2" s="206"/>
      <c r="H2" s="206"/>
      <c r="I2" s="206"/>
      <c r="J2" s="206"/>
      <c r="K2" s="206"/>
      <c r="L2" s="20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248</v>
      </c>
      <c r="C6" s="129">
        <v>5</v>
      </c>
      <c r="D6" s="129">
        <f t="shared" ref="D6:F9" si="0">C6</f>
        <v>5</v>
      </c>
      <c r="E6" s="129">
        <f t="shared" si="0"/>
        <v>5</v>
      </c>
      <c r="F6" s="129">
        <f t="shared" si="0"/>
        <v>5</v>
      </c>
      <c r="G6" s="93">
        <v>3</v>
      </c>
      <c r="H6" s="93">
        <v>8</v>
      </c>
      <c r="I6" s="93">
        <v>3</v>
      </c>
      <c r="J6" s="93">
        <v>8</v>
      </c>
      <c r="K6" s="93" t="s">
        <v>371</v>
      </c>
      <c r="L6" s="93">
        <v>1</v>
      </c>
    </row>
    <row r="7" spans="2:12" ht="15" thickBot="1" x14ac:dyDescent="0.35">
      <c r="B7" s="95" t="s">
        <v>370</v>
      </c>
      <c r="C7" s="93">
        <v>5</v>
      </c>
      <c r="D7" s="93">
        <f t="shared" si="0"/>
        <v>5</v>
      </c>
      <c r="E7" s="93">
        <f t="shared" si="0"/>
        <v>5</v>
      </c>
      <c r="F7" s="93">
        <f t="shared" si="0"/>
        <v>5</v>
      </c>
      <c r="G7" s="93">
        <v>2</v>
      </c>
      <c r="H7" s="93">
        <v>7</v>
      </c>
      <c r="I7" s="93">
        <f t="shared" ref="I7:J9" si="1">G7</f>
        <v>2</v>
      </c>
      <c r="J7" s="93">
        <f t="shared" si="1"/>
        <v>7</v>
      </c>
      <c r="K7" s="93" t="s">
        <v>139</v>
      </c>
      <c r="L7" s="93">
        <v>2</v>
      </c>
    </row>
    <row r="8" spans="2:12" ht="15" thickBot="1" x14ac:dyDescent="0.35">
      <c r="B8" s="95" t="s">
        <v>246</v>
      </c>
      <c r="C8" s="93">
        <v>2</v>
      </c>
      <c r="D8" s="93">
        <f t="shared" si="0"/>
        <v>2</v>
      </c>
      <c r="E8" s="93">
        <f t="shared" si="0"/>
        <v>2</v>
      </c>
      <c r="F8" s="93">
        <f t="shared" si="0"/>
        <v>2</v>
      </c>
      <c r="G8" s="93">
        <v>0.5</v>
      </c>
      <c r="H8" s="93">
        <v>3</v>
      </c>
      <c r="I8" s="93">
        <f t="shared" si="1"/>
        <v>0.5</v>
      </c>
      <c r="J8" s="93">
        <f t="shared" si="1"/>
        <v>3</v>
      </c>
      <c r="K8" s="93"/>
      <c r="L8" s="93">
        <v>2</v>
      </c>
    </row>
    <row r="9" spans="2:12" ht="15" thickBot="1" x14ac:dyDescent="0.35">
      <c r="B9" s="95" t="s">
        <v>179</v>
      </c>
      <c r="C9" s="93">
        <v>40</v>
      </c>
      <c r="D9" s="93">
        <f t="shared" si="0"/>
        <v>40</v>
      </c>
      <c r="E9" s="93">
        <f t="shared" si="0"/>
        <v>40</v>
      </c>
      <c r="F9" s="93">
        <f t="shared" si="0"/>
        <v>40</v>
      </c>
      <c r="G9" s="93">
        <v>30</v>
      </c>
      <c r="H9" s="93">
        <v>50</v>
      </c>
      <c r="I9" s="93">
        <f t="shared" si="1"/>
        <v>30</v>
      </c>
      <c r="J9" s="93">
        <f t="shared" si="1"/>
        <v>50</v>
      </c>
      <c r="K9" s="93" t="s">
        <v>137</v>
      </c>
      <c r="L9" s="93">
        <v>1</v>
      </c>
    </row>
    <row r="10" spans="2:12" ht="15" thickBot="1" x14ac:dyDescent="0.35">
      <c r="B10" s="95" t="s">
        <v>178</v>
      </c>
      <c r="C10" s="93"/>
      <c r="D10" s="114"/>
      <c r="E10" s="114"/>
      <c r="F10" s="114"/>
      <c r="G10" s="93"/>
      <c r="H10" s="93"/>
      <c r="I10" s="93"/>
      <c r="J10" s="93"/>
      <c r="K10" s="93"/>
      <c r="L10" s="93"/>
    </row>
    <row r="11" spans="2:12" ht="15" thickBot="1" x14ac:dyDescent="0.35">
      <c r="B11" s="113" t="s">
        <v>242</v>
      </c>
      <c r="C11" s="93" t="s">
        <v>320</v>
      </c>
      <c r="D11" s="93" t="str">
        <f t="shared" ref="D11:F13" si="2">C11</f>
        <v>0.2</v>
      </c>
      <c r="E11" s="93" t="str">
        <f t="shared" si="2"/>
        <v>0.2</v>
      </c>
      <c r="F11" s="93" t="str">
        <f t="shared" si="2"/>
        <v>0.2</v>
      </c>
      <c r="G11" s="93" t="s">
        <v>319</v>
      </c>
      <c r="H11" s="93" t="s">
        <v>318</v>
      </c>
      <c r="I11" s="93" t="s">
        <v>319</v>
      </c>
      <c r="J11" s="93" t="s">
        <v>318</v>
      </c>
      <c r="K11" s="93"/>
      <c r="L11" s="93"/>
    </row>
    <row r="12" spans="2:12" ht="15" thickBot="1" x14ac:dyDescent="0.35">
      <c r="B12" s="113" t="s">
        <v>260</v>
      </c>
      <c r="C12" s="93" t="s">
        <v>156</v>
      </c>
      <c r="D12" s="114" t="str">
        <f t="shared" si="2"/>
        <v>N/A</v>
      </c>
      <c r="E12" s="114" t="str">
        <f t="shared" si="2"/>
        <v>N/A</v>
      </c>
      <c r="F12" s="114" t="str">
        <f t="shared" si="2"/>
        <v>N/A</v>
      </c>
      <c r="G12" s="114" t="str">
        <f>F12</f>
        <v>N/A</v>
      </c>
      <c r="H12" s="114" t="str">
        <f>G12</f>
        <v>N/A</v>
      </c>
      <c r="I12" s="114" t="str">
        <f>H12</f>
        <v>N/A</v>
      </c>
      <c r="J12" s="114" t="str">
        <f>I12</f>
        <v>N/A</v>
      </c>
      <c r="K12" s="93"/>
      <c r="L12" s="93"/>
    </row>
    <row r="13" spans="2:12" ht="15" thickBot="1" x14ac:dyDescent="0.35">
      <c r="B13" s="113" t="s">
        <v>177</v>
      </c>
      <c r="C13" s="93">
        <v>1</v>
      </c>
      <c r="D13" s="93">
        <f t="shared" si="2"/>
        <v>1</v>
      </c>
      <c r="E13" s="93">
        <f t="shared" si="2"/>
        <v>1</v>
      </c>
      <c r="F13" s="93">
        <f t="shared" si="2"/>
        <v>1</v>
      </c>
      <c r="G13" s="93" t="s">
        <v>347</v>
      </c>
      <c r="H13" s="93" t="s">
        <v>339</v>
      </c>
      <c r="I13" s="93" t="str">
        <f>G13</f>
        <v>0.5</v>
      </c>
      <c r="J13" s="93" t="str">
        <f>H13</f>
        <v>1.5</v>
      </c>
      <c r="K13" s="93"/>
      <c r="L13" s="93"/>
    </row>
    <row r="14" spans="2:12" ht="15" thickBot="1" x14ac:dyDescent="0.35">
      <c r="B14" s="95"/>
      <c r="C14" s="93"/>
      <c r="D14" s="93"/>
      <c r="E14" s="93"/>
      <c r="F14" s="93"/>
      <c r="G14" s="93"/>
      <c r="H14" s="93"/>
      <c r="I14" s="93"/>
      <c r="J14" s="93"/>
      <c r="K14" s="93"/>
      <c r="L14" s="93"/>
    </row>
    <row r="15" spans="2:12" ht="15" thickBot="1" x14ac:dyDescent="0.35">
      <c r="B15" s="97" t="s">
        <v>176</v>
      </c>
      <c r="C15" s="104"/>
      <c r="D15" s="104"/>
      <c r="E15" s="104"/>
      <c r="F15" s="104"/>
      <c r="G15" s="104"/>
      <c r="H15" s="104"/>
      <c r="I15" s="104"/>
      <c r="J15" s="104"/>
      <c r="K15" s="104"/>
      <c r="L15" s="103"/>
    </row>
    <row r="16" spans="2:12" ht="15" thickBot="1" x14ac:dyDescent="0.35">
      <c r="B16" s="80" t="s">
        <v>265</v>
      </c>
      <c r="C16" s="118">
        <f>150</f>
        <v>150</v>
      </c>
      <c r="D16" s="118">
        <f t="shared" ref="D16:F30" si="3">C16</f>
        <v>150</v>
      </c>
      <c r="E16" s="118">
        <f t="shared" si="3"/>
        <v>150</v>
      </c>
      <c r="F16" s="118">
        <f t="shared" si="3"/>
        <v>150</v>
      </c>
      <c r="G16" s="118" t="s">
        <v>344</v>
      </c>
      <c r="H16" s="118" t="s">
        <v>344</v>
      </c>
      <c r="I16" s="118" t="str">
        <f t="shared" ref="I16:J19" si="4">G16</f>
        <v>See Note</v>
      </c>
      <c r="J16" s="118" t="str">
        <f t="shared" si="4"/>
        <v>See Note</v>
      </c>
      <c r="K16" s="93" t="s">
        <v>290</v>
      </c>
      <c r="L16" s="93" t="s">
        <v>367</v>
      </c>
    </row>
    <row r="17" spans="2:12" ht="15" thickBot="1" x14ac:dyDescent="0.35">
      <c r="B17" s="80" t="s">
        <v>237</v>
      </c>
      <c r="C17" s="118">
        <v>4645</v>
      </c>
      <c r="D17" s="118">
        <f t="shared" si="3"/>
        <v>4645</v>
      </c>
      <c r="E17" s="118">
        <f t="shared" si="3"/>
        <v>4645</v>
      </c>
      <c r="F17" s="118">
        <f t="shared" si="3"/>
        <v>4645</v>
      </c>
      <c r="G17" s="118" t="s">
        <v>344</v>
      </c>
      <c r="H17" s="118" t="s">
        <v>344</v>
      </c>
      <c r="I17" s="118" t="str">
        <f t="shared" si="4"/>
        <v>See Note</v>
      </c>
      <c r="J17" s="118" t="str">
        <f t="shared" si="4"/>
        <v>See Note</v>
      </c>
      <c r="K17" s="93" t="s">
        <v>369</v>
      </c>
      <c r="L17" s="93" t="s">
        <v>367</v>
      </c>
    </row>
    <row r="18" spans="2:12" ht="15" thickBot="1" x14ac:dyDescent="0.35">
      <c r="B18" s="80" t="s">
        <v>236</v>
      </c>
      <c r="C18" s="118">
        <v>5025</v>
      </c>
      <c r="D18" s="118">
        <f t="shared" si="3"/>
        <v>5025</v>
      </c>
      <c r="E18" s="118">
        <f t="shared" si="3"/>
        <v>5025</v>
      </c>
      <c r="F18" s="118">
        <f t="shared" si="3"/>
        <v>5025</v>
      </c>
      <c r="G18" s="118" t="s">
        <v>344</v>
      </c>
      <c r="H18" s="118" t="s">
        <v>344</v>
      </c>
      <c r="I18" s="118" t="str">
        <f t="shared" si="4"/>
        <v>See Note</v>
      </c>
      <c r="J18" s="118" t="str">
        <f t="shared" si="4"/>
        <v>See Note</v>
      </c>
      <c r="K18" s="93" t="s">
        <v>369</v>
      </c>
      <c r="L18" s="93" t="s">
        <v>367</v>
      </c>
    </row>
    <row r="19" spans="2:12" ht="15" thickBot="1" x14ac:dyDescent="0.35">
      <c r="B19" s="80" t="s">
        <v>235</v>
      </c>
      <c r="C19" s="118">
        <v>5685</v>
      </c>
      <c r="D19" s="118">
        <f t="shared" si="3"/>
        <v>5685</v>
      </c>
      <c r="E19" s="118">
        <f t="shared" si="3"/>
        <v>5685</v>
      </c>
      <c r="F19" s="118">
        <f t="shared" si="3"/>
        <v>5685</v>
      </c>
      <c r="G19" s="118" t="s">
        <v>344</v>
      </c>
      <c r="H19" s="118" t="s">
        <v>344</v>
      </c>
      <c r="I19" s="118" t="str">
        <f t="shared" si="4"/>
        <v>See Note</v>
      </c>
      <c r="J19" s="118" t="str">
        <f t="shared" si="4"/>
        <v>See Note</v>
      </c>
      <c r="K19" s="93" t="s">
        <v>369</v>
      </c>
      <c r="L19" s="93" t="s">
        <v>367</v>
      </c>
    </row>
    <row r="20" spans="2:12" ht="15" thickBot="1" x14ac:dyDescent="0.35">
      <c r="B20" s="80" t="s">
        <v>234</v>
      </c>
      <c r="C20" s="118">
        <v>6195</v>
      </c>
      <c r="D20" s="118">
        <f t="shared" si="3"/>
        <v>6195</v>
      </c>
      <c r="E20" s="118">
        <f t="shared" si="3"/>
        <v>6195</v>
      </c>
      <c r="F20" s="118">
        <f t="shared" si="3"/>
        <v>6195</v>
      </c>
      <c r="G20" s="118" t="s">
        <v>344</v>
      </c>
      <c r="H20" s="118" t="s">
        <v>344</v>
      </c>
      <c r="I20" s="118" t="s">
        <v>344</v>
      </c>
      <c r="J20" s="118" t="s">
        <v>344</v>
      </c>
      <c r="K20" s="93" t="s">
        <v>380</v>
      </c>
      <c r="L20" s="93" t="s">
        <v>367</v>
      </c>
    </row>
    <row r="21" spans="2:12" ht="15" thickBot="1" x14ac:dyDescent="0.35">
      <c r="B21" s="80" t="s">
        <v>232</v>
      </c>
      <c r="C21" s="118">
        <f>'113_13 DH_Distribu Suburb'!C21</f>
        <v>279.5</v>
      </c>
      <c r="D21" s="118">
        <f t="shared" si="3"/>
        <v>279.5</v>
      </c>
      <c r="E21" s="118">
        <f t="shared" si="3"/>
        <v>279.5</v>
      </c>
      <c r="F21" s="118">
        <f t="shared" si="3"/>
        <v>279.5</v>
      </c>
      <c r="G21" s="118" t="s">
        <v>344</v>
      </c>
      <c r="H21" s="118" t="s">
        <v>344</v>
      </c>
      <c r="I21" s="118" t="str">
        <f t="shared" ref="I21:J26" si="5">G21</f>
        <v>See Note</v>
      </c>
      <c r="J21" s="118" t="str">
        <f t="shared" si="5"/>
        <v>See Note</v>
      </c>
      <c r="K21" s="93" t="s">
        <v>379</v>
      </c>
      <c r="L21" s="93" t="s">
        <v>367</v>
      </c>
    </row>
    <row r="22" spans="2:12" ht="15" thickBot="1" x14ac:dyDescent="0.35">
      <c r="B22" s="80" t="s">
        <v>231</v>
      </c>
      <c r="C22" s="118">
        <f>'113_13 DH_Distribu Suburb'!C22</f>
        <v>354.5</v>
      </c>
      <c r="D22" s="118">
        <f t="shared" si="3"/>
        <v>354.5</v>
      </c>
      <c r="E22" s="118">
        <f t="shared" si="3"/>
        <v>354.5</v>
      </c>
      <c r="F22" s="118">
        <f t="shared" si="3"/>
        <v>354.5</v>
      </c>
      <c r="G22" s="118" t="s">
        <v>344</v>
      </c>
      <c r="H22" s="118" t="s">
        <v>344</v>
      </c>
      <c r="I22" s="118" t="str">
        <f t="shared" si="5"/>
        <v>See Note</v>
      </c>
      <c r="J22" s="118" t="str">
        <f t="shared" si="5"/>
        <v>See Note</v>
      </c>
      <c r="K22" s="93" t="s">
        <v>379</v>
      </c>
      <c r="L22" s="93" t="s">
        <v>367</v>
      </c>
    </row>
    <row r="23" spans="2:12" ht="15" thickBot="1" x14ac:dyDescent="0.35">
      <c r="B23" s="80" t="s">
        <v>230</v>
      </c>
      <c r="C23" s="118">
        <f>'113_13 DH_Distribu Suburb'!C23</f>
        <v>369.5</v>
      </c>
      <c r="D23" s="118">
        <f t="shared" si="3"/>
        <v>369.5</v>
      </c>
      <c r="E23" s="118">
        <f t="shared" si="3"/>
        <v>369.5</v>
      </c>
      <c r="F23" s="118">
        <f t="shared" si="3"/>
        <v>369.5</v>
      </c>
      <c r="G23" s="118" t="s">
        <v>344</v>
      </c>
      <c r="H23" s="118" t="s">
        <v>344</v>
      </c>
      <c r="I23" s="118" t="str">
        <f t="shared" si="5"/>
        <v>See Note</v>
      </c>
      <c r="J23" s="118" t="str">
        <f t="shared" si="5"/>
        <v>See Note</v>
      </c>
      <c r="K23" s="93" t="s">
        <v>379</v>
      </c>
      <c r="L23" s="93" t="s">
        <v>367</v>
      </c>
    </row>
    <row r="24" spans="2:12" ht="15" thickBot="1" x14ac:dyDescent="0.35">
      <c r="B24" s="80" t="s">
        <v>229</v>
      </c>
      <c r="C24" s="118">
        <f>'113_13 DH_Distribu Suburb'!C24</f>
        <v>460</v>
      </c>
      <c r="D24" s="118">
        <f t="shared" si="3"/>
        <v>460</v>
      </c>
      <c r="E24" s="118">
        <f t="shared" si="3"/>
        <v>460</v>
      </c>
      <c r="F24" s="118">
        <f t="shared" si="3"/>
        <v>460</v>
      </c>
      <c r="G24" s="118" t="s">
        <v>344</v>
      </c>
      <c r="H24" s="118" t="s">
        <v>344</v>
      </c>
      <c r="I24" s="118" t="str">
        <f t="shared" si="5"/>
        <v>See Note</v>
      </c>
      <c r="J24" s="118" t="str">
        <f t="shared" si="5"/>
        <v>See Note</v>
      </c>
      <c r="K24" s="93" t="s">
        <v>379</v>
      </c>
      <c r="L24" s="93" t="s">
        <v>367</v>
      </c>
    </row>
    <row r="25" spans="2:12" ht="15" thickBot="1" x14ac:dyDescent="0.35">
      <c r="B25" s="80" t="s">
        <v>228</v>
      </c>
      <c r="C25" s="118">
        <f>'113_13 DH_Distribu Suburb'!C25</f>
        <v>640</v>
      </c>
      <c r="D25" s="118">
        <f t="shared" si="3"/>
        <v>640</v>
      </c>
      <c r="E25" s="118">
        <f t="shared" si="3"/>
        <v>640</v>
      </c>
      <c r="F25" s="118">
        <f t="shared" si="3"/>
        <v>640</v>
      </c>
      <c r="G25" s="118" t="s">
        <v>344</v>
      </c>
      <c r="H25" s="118" t="s">
        <v>344</v>
      </c>
      <c r="I25" s="118" t="str">
        <f t="shared" si="5"/>
        <v>See Note</v>
      </c>
      <c r="J25" s="118" t="str">
        <f t="shared" si="5"/>
        <v>See Note</v>
      </c>
      <c r="K25" s="93" t="s">
        <v>379</v>
      </c>
      <c r="L25" s="93" t="s">
        <v>367</v>
      </c>
    </row>
    <row r="26" spans="2:12" ht="15" thickBot="1" x14ac:dyDescent="0.35">
      <c r="B26" s="80" t="s">
        <v>227</v>
      </c>
      <c r="C26" s="118">
        <f>'113_13 DH_Distribu Suburb'!C26</f>
        <v>1185</v>
      </c>
      <c r="D26" s="118">
        <f t="shared" si="3"/>
        <v>1185</v>
      </c>
      <c r="E26" s="118">
        <f t="shared" si="3"/>
        <v>1185</v>
      </c>
      <c r="F26" s="118">
        <f t="shared" si="3"/>
        <v>1185</v>
      </c>
      <c r="G26" s="118" t="s">
        <v>344</v>
      </c>
      <c r="H26" s="118" t="s">
        <v>344</v>
      </c>
      <c r="I26" s="118" t="str">
        <f t="shared" si="5"/>
        <v>See Note</v>
      </c>
      <c r="J26" s="118" t="str">
        <f t="shared" si="5"/>
        <v>See Note</v>
      </c>
      <c r="K26" s="93" t="s">
        <v>379</v>
      </c>
      <c r="L26" s="93" t="s">
        <v>367</v>
      </c>
    </row>
    <row r="27" spans="2:12" ht="15" thickBot="1" x14ac:dyDescent="0.35">
      <c r="B27" s="80" t="s">
        <v>226</v>
      </c>
      <c r="C27" s="118" t="str">
        <f>'113_13 DH_Distribu Suburb'!C27</f>
        <v>N/A</v>
      </c>
      <c r="D27" s="118" t="str">
        <f t="shared" si="3"/>
        <v>N/A</v>
      </c>
      <c r="E27" s="118" t="str">
        <f t="shared" si="3"/>
        <v>N/A</v>
      </c>
      <c r="F27" s="118" t="str">
        <f t="shared" si="3"/>
        <v>N/A</v>
      </c>
      <c r="G27" s="118" t="str">
        <f t="shared" ref="G27:J28" si="6">F27</f>
        <v>N/A</v>
      </c>
      <c r="H27" s="118" t="str">
        <f t="shared" si="6"/>
        <v>N/A</v>
      </c>
      <c r="I27" s="118" t="str">
        <f t="shared" si="6"/>
        <v>N/A</v>
      </c>
      <c r="J27" s="118" t="str">
        <f t="shared" si="6"/>
        <v>N/A</v>
      </c>
      <c r="K27" s="93"/>
      <c r="L27" s="93"/>
    </row>
    <row r="28" spans="2:12" ht="15" thickBot="1" x14ac:dyDescent="0.35">
      <c r="B28" s="80" t="s">
        <v>166</v>
      </c>
      <c r="C28" s="118" t="str">
        <f>'113_13 DH_Distribu Suburb'!C28</f>
        <v>N/A</v>
      </c>
      <c r="D28" s="118" t="str">
        <f t="shared" si="3"/>
        <v>N/A</v>
      </c>
      <c r="E28" s="118" t="str">
        <f t="shared" si="3"/>
        <v>N/A</v>
      </c>
      <c r="F28" s="118" t="str">
        <f t="shared" si="3"/>
        <v>N/A</v>
      </c>
      <c r="G28" s="118" t="str">
        <f t="shared" si="6"/>
        <v>N/A</v>
      </c>
      <c r="H28" s="118" t="str">
        <f t="shared" si="6"/>
        <v>N/A</v>
      </c>
      <c r="I28" s="118" t="str">
        <f t="shared" si="6"/>
        <v>N/A</v>
      </c>
      <c r="J28" s="118" t="str">
        <f t="shared" si="6"/>
        <v>N/A</v>
      </c>
      <c r="K28" s="93"/>
      <c r="L28" s="93"/>
    </row>
    <row r="29" spans="2:12" ht="15" thickBot="1" x14ac:dyDescent="0.35">
      <c r="B29" s="80" t="s">
        <v>366</v>
      </c>
      <c r="C29" s="118">
        <f>'112_15 DH_Distribu New area'!C29</f>
        <v>100000</v>
      </c>
      <c r="D29" s="118">
        <f t="shared" si="3"/>
        <v>100000</v>
      </c>
      <c r="E29" s="118">
        <f t="shared" si="3"/>
        <v>100000</v>
      </c>
      <c r="F29" s="118">
        <f t="shared" si="3"/>
        <v>100000</v>
      </c>
      <c r="G29" s="118">
        <f>'112_15 DH_Distribu New area'!G29</f>
        <v>80000</v>
      </c>
      <c r="H29" s="118">
        <f>'112_15 DH_Distribu New area'!H29</f>
        <v>120000</v>
      </c>
      <c r="I29" s="118">
        <f>G29</f>
        <v>80000</v>
      </c>
      <c r="J29" s="118">
        <f>H29</f>
        <v>120000</v>
      </c>
      <c r="K29" s="93" t="s">
        <v>125</v>
      </c>
      <c r="L29" s="93">
        <v>2</v>
      </c>
    </row>
    <row r="30" spans="2:12" ht="15" thickBot="1" x14ac:dyDescent="0.35">
      <c r="B30" s="80" t="s">
        <v>365</v>
      </c>
      <c r="C30" s="118">
        <f>'112_15 DH_Distribu New area'!C30</f>
        <v>90000</v>
      </c>
      <c r="D30" s="118">
        <f t="shared" si="3"/>
        <v>90000</v>
      </c>
      <c r="E30" s="118">
        <f t="shared" si="3"/>
        <v>90000</v>
      </c>
      <c r="F30" s="118">
        <f t="shared" si="3"/>
        <v>90000</v>
      </c>
      <c r="G30" s="118">
        <f>'112_15 DH_Distribu New area'!G30</f>
        <v>72000</v>
      </c>
      <c r="H30" s="118">
        <f>'112_15 DH_Distribu New area'!H30</f>
        <v>108000</v>
      </c>
      <c r="I30" s="118">
        <f>G30</f>
        <v>72000</v>
      </c>
      <c r="J30" s="118">
        <f>H30</f>
        <v>108000</v>
      </c>
      <c r="K30" s="93" t="s">
        <v>125</v>
      </c>
      <c r="L30" s="93">
        <v>2</v>
      </c>
    </row>
    <row r="31" spans="2:12" ht="15" thickBot="1" x14ac:dyDescent="0.35">
      <c r="B31" s="80" t="s">
        <v>160</v>
      </c>
      <c r="C31" s="111">
        <v>0.85</v>
      </c>
      <c r="D31" s="111">
        <v>0.85</v>
      </c>
      <c r="E31" s="111">
        <v>0.85</v>
      </c>
      <c r="F31" s="111">
        <v>0.85</v>
      </c>
      <c r="G31" s="111">
        <v>0.8</v>
      </c>
      <c r="H31" s="111">
        <v>0.9</v>
      </c>
      <c r="I31" s="111">
        <v>0.8</v>
      </c>
      <c r="J31" s="111">
        <v>0.9</v>
      </c>
      <c r="K31" s="93" t="s">
        <v>133</v>
      </c>
      <c r="L31" s="93">
        <v>2</v>
      </c>
    </row>
    <row r="32" spans="2:12" ht="15" thickBot="1" x14ac:dyDescent="0.35">
      <c r="B32" s="80" t="s">
        <v>159</v>
      </c>
      <c r="C32" s="111">
        <v>0.15</v>
      </c>
      <c r="D32" s="111">
        <v>0.15</v>
      </c>
      <c r="E32" s="111">
        <v>0.15</v>
      </c>
      <c r="F32" s="111">
        <v>0.15</v>
      </c>
      <c r="G32" s="111">
        <v>0.1</v>
      </c>
      <c r="H32" s="111">
        <v>0.2</v>
      </c>
      <c r="I32" s="111">
        <v>0.1</v>
      </c>
      <c r="J32" s="111">
        <v>0.2</v>
      </c>
      <c r="K32" s="93" t="s">
        <v>133</v>
      </c>
      <c r="L32" s="93">
        <v>2</v>
      </c>
    </row>
    <row r="33" spans="1:13" ht="15" thickBot="1" x14ac:dyDescent="0.35">
      <c r="B33" s="80" t="s">
        <v>218</v>
      </c>
      <c r="C33" s="93" t="s">
        <v>156</v>
      </c>
      <c r="D33" s="93" t="str">
        <f t="shared" ref="D33:J33" si="7">C33</f>
        <v>N/A</v>
      </c>
      <c r="E33" s="93" t="str">
        <f t="shared" si="7"/>
        <v>N/A</v>
      </c>
      <c r="F33" s="93" t="str">
        <f t="shared" si="7"/>
        <v>N/A</v>
      </c>
      <c r="G33" s="93" t="str">
        <f t="shared" si="7"/>
        <v>N/A</v>
      </c>
      <c r="H33" s="93" t="str">
        <f t="shared" si="7"/>
        <v>N/A</v>
      </c>
      <c r="I33" s="93" t="str">
        <f t="shared" si="7"/>
        <v>N/A</v>
      </c>
      <c r="J33" s="93" t="str">
        <f t="shared" si="7"/>
        <v>N/A</v>
      </c>
      <c r="K33" s="93"/>
      <c r="L33" s="93"/>
    </row>
    <row r="34" spans="1:13" ht="15" thickBot="1" x14ac:dyDescent="0.35">
      <c r="B34" s="80" t="s">
        <v>217</v>
      </c>
      <c r="C34" s="93" t="str">
        <f>'112_15 DH_Distribu New area'!C34</f>
        <v>1.5</v>
      </c>
      <c r="D34" s="93" t="str">
        <f>'112_15 DH_Distribu New area'!D34</f>
        <v>1.5</v>
      </c>
      <c r="E34" s="93" t="str">
        <f>'112_15 DH_Distribu New area'!E34</f>
        <v>1.5</v>
      </c>
      <c r="F34" s="93" t="str">
        <f>'112_15 DH_Distribu New area'!F34</f>
        <v>1.5</v>
      </c>
      <c r="G34" s="93">
        <f>'112_15 DH_Distribu New area'!G34</f>
        <v>1</v>
      </c>
      <c r="H34" s="93">
        <f>'112_15 DH_Distribu New area'!H34</f>
        <v>2</v>
      </c>
      <c r="I34" s="118">
        <f>G34</f>
        <v>1</v>
      </c>
      <c r="J34" s="118">
        <f>H34</f>
        <v>2</v>
      </c>
      <c r="K34" s="93"/>
      <c r="L34" s="93" t="s">
        <v>364</v>
      </c>
    </row>
    <row r="35" spans="1:13" ht="15" thickBot="1" x14ac:dyDescent="0.35">
      <c r="B35" s="96"/>
      <c r="C35" s="93"/>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80" t="str">
        <f>'112_15 DH_Distribu New area'!B37</f>
        <v>Heat exchanger station below 1 MW(EUR/MW)</v>
      </c>
      <c r="C37" s="118">
        <f>'112_15 DH_Distribu New area'!C37</f>
        <v>265000</v>
      </c>
      <c r="D37" s="118">
        <f>'112_15 DH_Distribu New area'!D37</f>
        <v>265000</v>
      </c>
      <c r="E37" s="118">
        <f>'112_15 DH_Distribu New area'!E37</f>
        <v>265000</v>
      </c>
      <c r="F37" s="118">
        <f>'112_15 DH_Distribu New area'!F37</f>
        <v>265000</v>
      </c>
      <c r="G37" s="118">
        <f>'112_15 DH_Distribu New area'!G37</f>
        <v>212000</v>
      </c>
      <c r="H37" s="118">
        <f>'112_15 DH_Distribu New area'!H37</f>
        <v>318000</v>
      </c>
      <c r="I37" s="118">
        <f>'112_15 DH_Distribu New area'!I37</f>
        <v>212000</v>
      </c>
      <c r="J37" s="118">
        <f>'112_15 DH_Distribu New area'!J37</f>
        <v>318000</v>
      </c>
      <c r="K37" s="118"/>
      <c r="L37" s="118">
        <f>'112_15 DH_Distribu New area'!L37</f>
        <v>2</v>
      </c>
    </row>
    <row r="38" spans="1:13" ht="15" thickBot="1" x14ac:dyDescent="0.35">
      <c r="B38" s="80" t="str">
        <f>'112_15 DH_Distribu New area'!B38</f>
        <v>Pumping station below 1 MW (EUR/MW)</v>
      </c>
      <c r="C38" s="118">
        <f>'112_15 DH_Distribu New area'!C38</f>
        <v>240000</v>
      </c>
      <c r="D38" s="118">
        <f>'112_15 DH_Distribu New area'!D38</f>
        <v>240000</v>
      </c>
      <c r="E38" s="118">
        <f>'112_15 DH_Distribu New area'!E38</f>
        <v>240000</v>
      </c>
      <c r="F38" s="118">
        <f>'112_15 DH_Distribu New area'!F38</f>
        <v>240000</v>
      </c>
      <c r="G38" s="118">
        <f>'112_15 DH_Distribu New area'!G38</f>
        <v>192000</v>
      </c>
      <c r="H38" s="118">
        <f>'112_15 DH_Distribu New area'!H38</f>
        <v>288000</v>
      </c>
      <c r="I38" s="118">
        <f>'112_15 DH_Distribu New area'!I38</f>
        <v>192000</v>
      </c>
      <c r="J38" s="118">
        <f>'112_15 DH_Distribu New area'!J38</f>
        <v>288000</v>
      </c>
      <c r="K38" s="118"/>
      <c r="L38" s="118">
        <f>'112_15 DH_Distribu New area'!L38</f>
        <v>2</v>
      </c>
    </row>
    <row r="39" spans="1:13" x14ac:dyDescent="0.3">
      <c r="B39" s="127"/>
      <c r="C39" s="126"/>
      <c r="D39" s="126"/>
      <c r="E39" s="126"/>
      <c r="F39" s="126"/>
      <c r="G39" s="126"/>
      <c r="H39" s="126"/>
      <c r="I39" s="126"/>
      <c r="J39" s="126"/>
      <c r="K39" s="126"/>
      <c r="L39" s="126"/>
    </row>
    <row r="40" spans="1:13" x14ac:dyDescent="0.3">
      <c r="B40" s="55" t="s">
        <v>154</v>
      </c>
    </row>
    <row r="41" spans="1:13" x14ac:dyDescent="0.3">
      <c r="A41" s="116">
        <v>1</v>
      </c>
      <c r="B41" s="116" t="s">
        <v>336</v>
      </c>
    </row>
    <row r="42" spans="1:13" x14ac:dyDescent="0.3">
      <c r="A42" s="116">
        <v>2</v>
      </c>
      <c r="B42" s="116" t="s">
        <v>337</v>
      </c>
    </row>
    <row r="43" spans="1:13" x14ac:dyDescent="0.3">
      <c r="A43" s="116">
        <v>3</v>
      </c>
      <c r="B43" s="116" t="s">
        <v>335</v>
      </c>
    </row>
    <row r="44" spans="1:13" x14ac:dyDescent="0.3">
      <c r="A44" s="116">
        <v>4</v>
      </c>
      <c r="B44" s="116" t="s">
        <v>334</v>
      </c>
    </row>
    <row r="46" spans="1:13" x14ac:dyDescent="0.3">
      <c r="B46" s="55" t="s">
        <v>144</v>
      </c>
      <c r="C46" s="54"/>
      <c r="D46" s="54"/>
      <c r="E46" s="54"/>
      <c r="F46" s="54"/>
      <c r="G46" s="54"/>
      <c r="H46" s="54"/>
      <c r="I46" s="54"/>
      <c r="J46" s="54"/>
      <c r="K46" s="54"/>
      <c r="L46" s="54"/>
      <c r="M46" s="54"/>
    </row>
    <row r="47" spans="1:13" x14ac:dyDescent="0.3">
      <c r="A47" s="53" t="s">
        <v>143</v>
      </c>
      <c r="B47" s="123" t="s">
        <v>361</v>
      </c>
      <c r="C47" s="188"/>
      <c r="D47" s="188"/>
      <c r="E47" s="188"/>
      <c r="F47" s="188"/>
      <c r="G47" s="188"/>
      <c r="H47" s="188"/>
      <c r="I47" s="188"/>
      <c r="J47" s="188"/>
      <c r="K47" s="188"/>
      <c r="L47" s="188"/>
      <c r="M47" s="188"/>
    </row>
    <row r="48" spans="1:13" x14ac:dyDescent="0.3">
      <c r="A48" s="53" t="s">
        <v>141</v>
      </c>
      <c r="B48" s="122" t="s">
        <v>360</v>
      </c>
      <c r="C48" s="209"/>
      <c r="D48" s="190"/>
      <c r="E48" s="190"/>
      <c r="F48" s="190"/>
      <c r="G48" s="190"/>
      <c r="H48" s="190"/>
      <c r="I48" s="190"/>
      <c r="J48" s="190"/>
      <c r="K48" s="190"/>
      <c r="L48" s="190"/>
      <c r="M48" s="190"/>
    </row>
    <row r="49" spans="1:13" ht="34.200000000000003" x14ac:dyDescent="0.3">
      <c r="A49" s="53" t="s">
        <v>139</v>
      </c>
      <c r="B49" s="122" t="s">
        <v>359</v>
      </c>
      <c r="C49" s="79"/>
      <c r="D49" s="79"/>
      <c r="E49" s="79"/>
      <c r="F49" s="79"/>
      <c r="G49" s="79"/>
      <c r="H49" s="79"/>
      <c r="I49" s="79"/>
      <c r="J49" s="79"/>
      <c r="K49" s="79"/>
      <c r="L49" s="79"/>
      <c r="M49" s="79"/>
    </row>
    <row r="50" spans="1:13" ht="45.6" x14ac:dyDescent="0.3">
      <c r="A50" s="53" t="s">
        <v>137</v>
      </c>
      <c r="B50" s="124" t="s">
        <v>358</v>
      </c>
      <c r="C50" s="79"/>
      <c r="D50" s="79"/>
      <c r="E50" s="79"/>
      <c r="F50" s="79"/>
      <c r="G50" s="79"/>
      <c r="H50" s="79"/>
      <c r="I50" s="79"/>
      <c r="J50" s="79"/>
      <c r="K50" s="79"/>
      <c r="L50" s="79"/>
      <c r="M50" s="79"/>
    </row>
    <row r="51" spans="1:13" ht="34.200000000000003" x14ac:dyDescent="0.3">
      <c r="A51" s="53" t="s">
        <v>135</v>
      </c>
      <c r="B51" s="122" t="s">
        <v>357</v>
      </c>
      <c r="C51" s="79"/>
      <c r="D51" s="79"/>
      <c r="E51" s="79"/>
      <c r="F51" s="79"/>
      <c r="G51" s="79"/>
      <c r="H51" s="79"/>
      <c r="I51" s="79"/>
      <c r="J51" s="79"/>
      <c r="K51" s="79"/>
      <c r="L51" s="79"/>
      <c r="M51" s="79"/>
    </row>
    <row r="52" spans="1:13" ht="22.8" x14ac:dyDescent="0.3">
      <c r="A52" s="53" t="s">
        <v>133</v>
      </c>
      <c r="B52" s="122" t="s">
        <v>378</v>
      </c>
      <c r="C52" s="79"/>
      <c r="D52" s="79"/>
      <c r="E52" s="79"/>
      <c r="F52" s="79"/>
      <c r="G52" s="79"/>
      <c r="H52" s="79"/>
      <c r="I52" s="79"/>
      <c r="J52" s="79"/>
      <c r="K52" s="79"/>
      <c r="L52" s="79"/>
      <c r="M52" s="79"/>
    </row>
    <row r="53" spans="1:13" ht="45.6" x14ac:dyDescent="0.3">
      <c r="A53" s="53" t="s">
        <v>131</v>
      </c>
      <c r="B53" s="122" t="s">
        <v>377</v>
      </c>
    </row>
    <row r="54" spans="1:13" ht="34.200000000000003" x14ac:dyDescent="0.3">
      <c r="A54" s="53" t="s">
        <v>129</v>
      </c>
      <c r="B54" s="122" t="s">
        <v>376</v>
      </c>
    </row>
    <row r="55" spans="1:13" ht="57" x14ac:dyDescent="0.3">
      <c r="A55" s="53" t="s">
        <v>127</v>
      </c>
      <c r="B55" s="122" t="s">
        <v>354</v>
      </c>
    </row>
    <row r="56" spans="1:13" ht="45.6" x14ac:dyDescent="0.3">
      <c r="A56" s="53" t="s">
        <v>125</v>
      </c>
      <c r="B56" s="122" t="s">
        <v>353</v>
      </c>
    </row>
    <row r="60" spans="1:13" x14ac:dyDescent="0.3">
      <c r="A60" s="53"/>
      <c r="B60" s="92"/>
    </row>
  </sheetData>
  <mergeCells count="12">
    <mergeCell ref="K3:K4"/>
    <mergeCell ref="L3:L4"/>
    <mergeCell ref="C47:M47"/>
    <mergeCell ref="C48:M48"/>
    <mergeCell ref="C2:L2"/>
    <mergeCell ref="G3:H4"/>
    <mergeCell ref="I3:J4"/>
    <mergeCell ref="B3:B4"/>
    <mergeCell ref="C3:C4"/>
    <mergeCell ref="D3:D4"/>
    <mergeCell ref="E3:E4"/>
    <mergeCell ref="F3:F4"/>
  </mergeCells>
  <hyperlinks>
    <hyperlink ref="C2" location="INDEX" display="Energy Transport District Heating Distribution, City" xr:uid="{FF220F96-83C8-46B6-8F7E-417B5D228094}"/>
  </hyperlinks>
  <pageMargins left="0.7" right="0.7" top="0.75" bottom="0.75" header="0.3" footer="0.3"/>
  <pageSetup paperSize="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8C3A-54A4-46EA-86CA-933FCBD65B97}">
  <dimension ref="A1:M55"/>
  <sheetViews>
    <sheetView zoomScaleNormal="100" workbookViewId="0">
      <selection activeCell="G8" sqref="G8"/>
    </sheetView>
  </sheetViews>
  <sheetFormatPr defaultColWidth="9.33203125" defaultRowHeight="14.4" x14ac:dyDescent="0.3"/>
  <cols>
    <col min="1" max="1" width="2.33203125" style="90" bestFit="1" customWidth="1"/>
    <col min="2" max="2" width="44.5546875" style="90" customWidth="1"/>
    <col min="3" max="12" width="9.109375" style="90" customWidth="1"/>
    <col min="13" max="16384" width="9.33203125" style="90"/>
  </cols>
  <sheetData>
    <row r="1" spans="2:12" ht="29.4" thickBot="1" x14ac:dyDescent="0.35">
      <c r="B1" s="75" t="s">
        <v>386</v>
      </c>
    </row>
    <row r="2" spans="2:12" ht="15" thickBot="1" x14ac:dyDescent="0.35">
      <c r="B2" s="110" t="s">
        <v>197</v>
      </c>
      <c r="C2" s="177" t="s">
        <v>385</v>
      </c>
      <c r="D2" s="206"/>
      <c r="E2" s="206"/>
      <c r="F2" s="206"/>
      <c r="G2" s="206"/>
      <c r="H2" s="206"/>
      <c r="I2" s="206"/>
      <c r="J2" s="206"/>
      <c r="K2" s="206"/>
      <c r="L2" s="20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248</v>
      </c>
      <c r="C6" s="129">
        <v>18</v>
      </c>
      <c r="D6" s="93">
        <v>18</v>
      </c>
      <c r="E6" s="93">
        <v>18</v>
      </c>
      <c r="F6" s="93">
        <v>18</v>
      </c>
      <c r="G6" s="93">
        <v>10</v>
      </c>
      <c r="H6" s="93">
        <v>25</v>
      </c>
      <c r="I6" s="93">
        <v>10</v>
      </c>
      <c r="J6" s="93">
        <v>25</v>
      </c>
      <c r="K6" s="93" t="s">
        <v>371</v>
      </c>
      <c r="L6" s="93">
        <v>1</v>
      </c>
    </row>
    <row r="7" spans="2:12" ht="15" thickBot="1" x14ac:dyDescent="0.35">
      <c r="B7" s="95" t="s">
        <v>370</v>
      </c>
      <c r="C7" s="93">
        <v>5</v>
      </c>
      <c r="D7" s="93">
        <v>5</v>
      </c>
      <c r="E7" s="93">
        <v>5</v>
      </c>
      <c r="F7" s="93">
        <v>5</v>
      </c>
      <c r="G7" s="93">
        <v>2</v>
      </c>
      <c r="H7" s="93">
        <v>7</v>
      </c>
      <c r="I7" s="93">
        <v>2</v>
      </c>
      <c r="J7" s="93">
        <v>7</v>
      </c>
      <c r="K7" s="93" t="s">
        <v>139</v>
      </c>
      <c r="L7" s="93">
        <v>2</v>
      </c>
    </row>
    <row r="8" spans="2:12" ht="15" thickBot="1" x14ac:dyDescent="0.35">
      <c r="B8" s="95" t="s">
        <v>246</v>
      </c>
      <c r="C8" s="93">
        <v>2</v>
      </c>
      <c r="D8" s="93">
        <v>2</v>
      </c>
      <c r="E8" s="93">
        <v>2</v>
      </c>
      <c r="F8" s="93">
        <v>2</v>
      </c>
      <c r="G8" s="93">
        <v>0.5</v>
      </c>
      <c r="H8" s="93">
        <v>3</v>
      </c>
      <c r="I8" s="93">
        <v>0.5</v>
      </c>
      <c r="J8" s="93">
        <v>3</v>
      </c>
      <c r="K8" s="93"/>
      <c r="L8" s="93">
        <v>2</v>
      </c>
    </row>
    <row r="9" spans="2:12" ht="15" thickBot="1" x14ac:dyDescent="0.35">
      <c r="B9" s="95" t="s">
        <v>179</v>
      </c>
      <c r="C9" s="93">
        <v>40</v>
      </c>
      <c r="D9" s="93">
        <v>40</v>
      </c>
      <c r="E9" s="93">
        <v>40</v>
      </c>
      <c r="F9" s="93">
        <v>40</v>
      </c>
      <c r="G9" s="93">
        <v>30</v>
      </c>
      <c r="H9" s="93">
        <v>50</v>
      </c>
      <c r="I9" s="93">
        <v>30</v>
      </c>
      <c r="J9" s="93">
        <v>50</v>
      </c>
      <c r="K9" s="93" t="s">
        <v>137</v>
      </c>
      <c r="L9" s="93">
        <v>1</v>
      </c>
    </row>
    <row r="10" spans="2:12" ht="15" thickBot="1" x14ac:dyDescent="0.35">
      <c r="B10" s="95" t="s">
        <v>178</v>
      </c>
      <c r="C10" s="93"/>
      <c r="D10" s="93"/>
      <c r="E10" s="93"/>
      <c r="F10" s="93"/>
      <c r="G10" s="93"/>
      <c r="H10" s="93"/>
      <c r="I10" s="93"/>
      <c r="J10" s="93"/>
      <c r="K10" s="93"/>
      <c r="L10" s="93"/>
    </row>
    <row r="11" spans="2:12" ht="15" thickBot="1" x14ac:dyDescent="0.35">
      <c r="B11" s="113" t="s">
        <v>242</v>
      </c>
      <c r="C11" s="93" t="s">
        <v>320</v>
      </c>
      <c r="D11" s="93" t="s">
        <v>320</v>
      </c>
      <c r="E11" s="93" t="s">
        <v>320</v>
      </c>
      <c r="F11" s="93" t="s">
        <v>320</v>
      </c>
      <c r="G11" s="93" t="s">
        <v>319</v>
      </c>
      <c r="H11" s="93" t="s">
        <v>318</v>
      </c>
      <c r="I11" s="93" t="s">
        <v>319</v>
      </c>
      <c r="J11" s="93" t="s">
        <v>318</v>
      </c>
      <c r="K11" s="93"/>
      <c r="L11" s="93"/>
    </row>
    <row r="12" spans="2:12" ht="15" thickBot="1" x14ac:dyDescent="0.35">
      <c r="B12" s="113" t="s">
        <v>260</v>
      </c>
      <c r="C12" s="93" t="s">
        <v>156</v>
      </c>
      <c r="D12" s="114" t="s">
        <v>156</v>
      </c>
      <c r="E12" s="114" t="s">
        <v>156</v>
      </c>
      <c r="F12" s="114" t="s">
        <v>156</v>
      </c>
      <c r="G12" s="114" t="s">
        <v>156</v>
      </c>
      <c r="H12" s="114" t="s">
        <v>156</v>
      </c>
      <c r="I12" s="114" t="s">
        <v>156</v>
      </c>
      <c r="J12" s="114" t="s">
        <v>156</v>
      </c>
      <c r="K12" s="93"/>
      <c r="L12" s="93"/>
    </row>
    <row r="13" spans="2:12" ht="15" thickBot="1" x14ac:dyDescent="0.35">
      <c r="B13" s="113" t="s">
        <v>177</v>
      </c>
      <c r="C13" s="93">
        <v>1</v>
      </c>
      <c r="D13" s="93">
        <v>1</v>
      </c>
      <c r="E13" s="93">
        <v>1</v>
      </c>
      <c r="F13" s="93">
        <v>1</v>
      </c>
      <c r="G13" s="93" t="s">
        <v>347</v>
      </c>
      <c r="H13" s="93" t="s">
        <v>339</v>
      </c>
      <c r="I13" s="93" t="s">
        <v>347</v>
      </c>
      <c r="J13" s="93" t="s">
        <v>339</v>
      </c>
      <c r="K13" s="93"/>
      <c r="L13" s="93"/>
    </row>
    <row r="14" spans="2:12" ht="15" thickBot="1" x14ac:dyDescent="0.35">
      <c r="B14" s="95"/>
      <c r="C14" s="93"/>
      <c r="D14" s="93"/>
      <c r="E14" s="93"/>
      <c r="F14" s="93"/>
      <c r="G14" s="93"/>
      <c r="H14" s="93"/>
      <c r="I14" s="93"/>
      <c r="J14" s="93"/>
      <c r="K14" s="93"/>
      <c r="L14" s="93"/>
    </row>
    <row r="15" spans="2:12" ht="15" thickBot="1" x14ac:dyDescent="0.35">
      <c r="B15" s="97" t="s">
        <v>176</v>
      </c>
      <c r="C15" s="104"/>
      <c r="D15" s="104"/>
      <c r="E15" s="104"/>
      <c r="F15" s="104"/>
      <c r="G15" s="104"/>
      <c r="H15" s="104"/>
      <c r="I15" s="104"/>
      <c r="J15" s="104"/>
      <c r="K15" s="104"/>
      <c r="L15" s="103"/>
    </row>
    <row r="16" spans="2:12" ht="21" thickBot="1" x14ac:dyDescent="0.35">
      <c r="B16" s="80" t="s">
        <v>384</v>
      </c>
      <c r="C16" s="93">
        <v>655</v>
      </c>
      <c r="D16" s="93">
        <v>655</v>
      </c>
      <c r="E16" s="93">
        <v>655</v>
      </c>
      <c r="F16" s="93">
        <v>655</v>
      </c>
      <c r="G16" s="118" t="s">
        <v>344</v>
      </c>
      <c r="H16" s="118" t="s">
        <v>344</v>
      </c>
      <c r="I16" s="118" t="s">
        <v>344</v>
      </c>
      <c r="J16" s="118" t="s">
        <v>344</v>
      </c>
      <c r="K16" s="93" t="s">
        <v>290</v>
      </c>
      <c r="L16" s="93" t="s">
        <v>367</v>
      </c>
    </row>
    <row r="17" spans="2:12" ht="15" thickBot="1" x14ac:dyDescent="0.35">
      <c r="B17" s="80" t="s">
        <v>237</v>
      </c>
      <c r="C17" s="118">
        <v>2925</v>
      </c>
      <c r="D17" s="118">
        <v>2925</v>
      </c>
      <c r="E17" s="118">
        <v>2925</v>
      </c>
      <c r="F17" s="118">
        <v>2925</v>
      </c>
      <c r="G17" s="118" t="s">
        <v>344</v>
      </c>
      <c r="H17" s="118" t="s">
        <v>344</v>
      </c>
      <c r="I17" s="118" t="s">
        <v>344</v>
      </c>
      <c r="J17" s="118" t="s">
        <v>344</v>
      </c>
      <c r="K17" s="93" t="s">
        <v>369</v>
      </c>
      <c r="L17" s="93" t="s">
        <v>367</v>
      </c>
    </row>
    <row r="18" spans="2:12" ht="15" thickBot="1" x14ac:dyDescent="0.35">
      <c r="B18" s="80" t="s">
        <v>236</v>
      </c>
      <c r="C18" s="118">
        <v>3375</v>
      </c>
      <c r="D18" s="118">
        <v>3375</v>
      </c>
      <c r="E18" s="118">
        <v>3375</v>
      </c>
      <c r="F18" s="118">
        <v>3375</v>
      </c>
      <c r="G18" s="118" t="s">
        <v>344</v>
      </c>
      <c r="H18" s="118" t="s">
        <v>344</v>
      </c>
      <c r="I18" s="118" t="s">
        <v>344</v>
      </c>
      <c r="J18" s="118" t="s">
        <v>344</v>
      </c>
      <c r="K18" s="93" t="s">
        <v>369</v>
      </c>
      <c r="L18" s="93" t="s">
        <v>367</v>
      </c>
    </row>
    <row r="19" spans="2:12" ht="15" thickBot="1" x14ac:dyDescent="0.35">
      <c r="B19" s="80" t="s">
        <v>235</v>
      </c>
      <c r="C19" s="118">
        <v>3775</v>
      </c>
      <c r="D19" s="118">
        <v>3775</v>
      </c>
      <c r="E19" s="118">
        <v>3775</v>
      </c>
      <c r="F19" s="118">
        <v>3775</v>
      </c>
      <c r="G19" s="118" t="s">
        <v>344</v>
      </c>
      <c r="H19" s="118" t="s">
        <v>344</v>
      </c>
      <c r="I19" s="118" t="s">
        <v>344</v>
      </c>
      <c r="J19" s="118" t="s">
        <v>344</v>
      </c>
      <c r="K19" s="93" t="s">
        <v>369</v>
      </c>
      <c r="L19" s="93" t="s">
        <v>367</v>
      </c>
    </row>
    <row r="20" spans="2:12" ht="15" thickBot="1" x14ac:dyDescent="0.35">
      <c r="B20" s="80" t="s">
        <v>234</v>
      </c>
      <c r="C20" s="118" t="s">
        <v>156</v>
      </c>
      <c r="D20" s="118" t="s">
        <v>156</v>
      </c>
      <c r="E20" s="118" t="s">
        <v>156</v>
      </c>
      <c r="F20" s="118" t="s">
        <v>156</v>
      </c>
      <c r="G20" s="118" t="s">
        <v>156</v>
      </c>
      <c r="H20" s="118" t="s">
        <v>156</v>
      </c>
      <c r="I20" s="118" t="s">
        <v>156</v>
      </c>
      <c r="J20" s="118" t="s">
        <v>156</v>
      </c>
      <c r="K20" s="93"/>
      <c r="L20" s="93"/>
    </row>
    <row r="21" spans="2:12" ht="15" thickBot="1" x14ac:dyDescent="0.35">
      <c r="B21" s="80" t="s">
        <v>232</v>
      </c>
      <c r="C21" s="118">
        <v>180</v>
      </c>
      <c r="D21" s="118">
        <v>180</v>
      </c>
      <c r="E21" s="118">
        <v>180</v>
      </c>
      <c r="F21" s="118">
        <v>180</v>
      </c>
      <c r="G21" s="118" t="s">
        <v>344</v>
      </c>
      <c r="H21" s="118" t="s">
        <v>344</v>
      </c>
      <c r="I21" s="118" t="s">
        <v>344</v>
      </c>
      <c r="J21" s="118" t="s">
        <v>344</v>
      </c>
      <c r="K21" s="93" t="s">
        <v>368</v>
      </c>
      <c r="L21" s="93" t="s">
        <v>367</v>
      </c>
    </row>
    <row r="22" spans="2:12" ht="15" thickBot="1" x14ac:dyDescent="0.35">
      <c r="B22" s="80" t="s">
        <v>231</v>
      </c>
      <c r="C22" s="118">
        <v>234.5</v>
      </c>
      <c r="D22" s="118">
        <v>234.5</v>
      </c>
      <c r="E22" s="118">
        <v>234.5</v>
      </c>
      <c r="F22" s="118">
        <v>234.5</v>
      </c>
      <c r="G22" s="118" t="s">
        <v>344</v>
      </c>
      <c r="H22" s="118" t="s">
        <v>344</v>
      </c>
      <c r="I22" s="118" t="s">
        <v>344</v>
      </c>
      <c r="J22" s="118" t="s">
        <v>344</v>
      </c>
      <c r="K22" s="93" t="s">
        <v>368</v>
      </c>
      <c r="L22" s="93" t="s">
        <v>367</v>
      </c>
    </row>
    <row r="23" spans="2:12" ht="15" thickBot="1" x14ac:dyDescent="0.35">
      <c r="B23" s="80" t="s">
        <v>230</v>
      </c>
      <c r="C23" s="118">
        <v>250</v>
      </c>
      <c r="D23" s="118">
        <v>250</v>
      </c>
      <c r="E23" s="118">
        <v>250</v>
      </c>
      <c r="F23" s="118">
        <v>250</v>
      </c>
      <c r="G23" s="118" t="s">
        <v>344</v>
      </c>
      <c r="H23" s="118" t="s">
        <v>344</v>
      </c>
      <c r="I23" s="118" t="s">
        <v>344</v>
      </c>
      <c r="J23" s="118" t="s">
        <v>344</v>
      </c>
      <c r="K23" s="93" t="s">
        <v>368</v>
      </c>
      <c r="L23" s="93" t="s">
        <v>367</v>
      </c>
    </row>
    <row r="24" spans="2:12" ht="15" thickBot="1" x14ac:dyDescent="0.35">
      <c r="B24" s="80" t="s">
        <v>229</v>
      </c>
      <c r="C24" s="118">
        <v>320</v>
      </c>
      <c r="D24" s="118">
        <v>320</v>
      </c>
      <c r="E24" s="118">
        <v>320</v>
      </c>
      <c r="F24" s="118">
        <v>320</v>
      </c>
      <c r="G24" s="118" t="s">
        <v>344</v>
      </c>
      <c r="H24" s="118" t="s">
        <v>344</v>
      </c>
      <c r="I24" s="118" t="s">
        <v>344</v>
      </c>
      <c r="J24" s="118" t="s">
        <v>344</v>
      </c>
      <c r="K24" s="93" t="s">
        <v>368</v>
      </c>
      <c r="L24" s="93" t="s">
        <v>367</v>
      </c>
    </row>
    <row r="25" spans="2:12" ht="15" thickBot="1" x14ac:dyDescent="0.35">
      <c r="B25" s="80" t="s">
        <v>228</v>
      </c>
      <c r="C25" s="118">
        <v>455</v>
      </c>
      <c r="D25" s="118">
        <v>455</v>
      </c>
      <c r="E25" s="118">
        <v>455</v>
      </c>
      <c r="F25" s="118">
        <v>455</v>
      </c>
      <c r="G25" s="118" t="s">
        <v>344</v>
      </c>
      <c r="H25" s="118" t="s">
        <v>344</v>
      </c>
      <c r="I25" s="118" t="s">
        <v>344</v>
      </c>
      <c r="J25" s="118" t="s">
        <v>344</v>
      </c>
      <c r="K25" s="93" t="s">
        <v>368</v>
      </c>
      <c r="L25" s="93" t="s">
        <v>367</v>
      </c>
    </row>
    <row r="26" spans="2:12" ht="15" thickBot="1" x14ac:dyDescent="0.35">
      <c r="B26" s="80" t="s">
        <v>227</v>
      </c>
      <c r="C26" s="118">
        <v>900</v>
      </c>
      <c r="D26" s="118">
        <v>900</v>
      </c>
      <c r="E26" s="118">
        <v>900</v>
      </c>
      <c r="F26" s="118">
        <v>900</v>
      </c>
      <c r="G26" s="118" t="s">
        <v>344</v>
      </c>
      <c r="H26" s="118" t="s">
        <v>344</v>
      </c>
      <c r="I26" s="118" t="s">
        <v>344</v>
      </c>
      <c r="J26" s="118" t="s">
        <v>344</v>
      </c>
      <c r="K26" s="93" t="s">
        <v>368</v>
      </c>
      <c r="L26" s="93" t="s">
        <v>367</v>
      </c>
    </row>
    <row r="27" spans="2:12" ht="15" thickBot="1" x14ac:dyDescent="0.35">
      <c r="B27" s="80" t="s">
        <v>226</v>
      </c>
      <c r="C27" s="118" t="s">
        <v>156</v>
      </c>
      <c r="D27" s="118" t="s">
        <v>156</v>
      </c>
      <c r="E27" s="118" t="s">
        <v>156</v>
      </c>
      <c r="F27" s="118" t="s">
        <v>156</v>
      </c>
      <c r="G27" s="118" t="s">
        <v>156</v>
      </c>
      <c r="H27" s="118" t="s">
        <v>156</v>
      </c>
      <c r="I27" s="118" t="s">
        <v>156</v>
      </c>
      <c r="J27" s="118" t="s">
        <v>156</v>
      </c>
      <c r="K27" s="93"/>
      <c r="L27" s="93"/>
    </row>
    <row r="28" spans="2:12" ht="15" thickBot="1" x14ac:dyDescent="0.35">
      <c r="B28" s="80" t="s">
        <v>166</v>
      </c>
      <c r="C28" s="118" t="s">
        <v>156</v>
      </c>
      <c r="D28" s="118" t="s">
        <v>156</v>
      </c>
      <c r="E28" s="118" t="s">
        <v>156</v>
      </c>
      <c r="F28" s="118" t="s">
        <v>156</v>
      </c>
      <c r="G28" s="118" t="s">
        <v>156</v>
      </c>
      <c r="H28" s="118" t="s">
        <v>156</v>
      </c>
      <c r="I28" s="118" t="s">
        <v>156</v>
      </c>
      <c r="J28" s="118" t="s">
        <v>156</v>
      </c>
      <c r="K28" s="93"/>
      <c r="L28" s="93"/>
    </row>
    <row r="29" spans="2:12" ht="15" thickBot="1" x14ac:dyDescent="0.35">
      <c r="B29" s="80" t="s">
        <v>366</v>
      </c>
      <c r="C29" s="118">
        <v>100000</v>
      </c>
      <c r="D29" s="118">
        <v>100000</v>
      </c>
      <c r="E29" s="118">
        <v>100000</v>
      </c>
      <c r="F29" s="118">
        <v>100000</v>
      </c>
      <c r="G29" s="118">
        <v>80000</v>
      </c>
      <c r="H29" s="118">
        <v>120000</v>
      </c>
      <c r="I29" s="118">
        <v>80000</v>
      </c>
      <c r="J29" s="118">
        <v>120000</v>
      </c>
      <c r="K29" s="93" t="s">
        <v>127</v>
      </c>
      <c r="L29" s="93">
        <v>2</v>
      </c>
    </row>
    <row r="30" spans="2:12" ht="15" thickBot="1" x14ac:dyDescent="0.35">
      <c r="B30" s="80" t="s">
        <v>365</v>
      </c>
      <c r="C30" s="118">
        <v>90000</v>
      </c>
      <c r="D30" s="118">
        <v>90000</v>
      </c>
      <c r="E30" s="118">
        <v>90000</v>
      </c>
      <c r="F30" s="118">
        <v>90000</v>
      </c>
      <c r="G30" s="118">
        <v>72000</v>
      </c>
      <c r="H30" s="118">
        <v>108000</v>
      </c>
      <c r="I30" s="118">
        <v>72000</v>
      </c>
      <c r="J30" s="118">
        <v>108000</v>
      </c>
      <c r="K30" s="93" t="s">
        <v>127</v>
      </c>
      <c r="L30" s="93">
        <v>2</v>
      </c>
    </row>
    <row r="31" spans="2:12" ht="15" thickBot="1" x14ac:dyDescent="0.35">
      <c r="B31" s="80" t="s">
        <v>160</v>
      </c>
      <c r="C31" s="111">
        <v>0.75</v>
      </c>
      <c r="D31" s="111">
        <v>0.75</v>
      </c>
      <c r="E31" s="111">
        <v>0.75</v>
      </c>
      <c r="F31" s="111">
        <v>0.75</v>
      </c>
      <c r="G31" s="111">
        <v>0.65</v>
      </c>
      <c r="H31" s="111">
        <v>0.8</v>
      </c>
      <c r="I31" s="111">
        <v>0.65</v>
      </c>
      <c r="J31" s="111">
        <v>0.8</v>
      </c>
      <c r="K31" s="93" t="s">
        <v>133</v>
      </c>
      <c r="L31" s="93">
        <v>2</v>
      </c>
    </row>
    <row r="32" spans="2:12" ht="15" thickBot="1" x14ac:dyDescent="0.35">
      <c r="B32" s="80" t="s">
        <v>159</v>
      </c>
      <c r="C32" s="111">
        <v>0.25</v>
      </c>
      <c r="D32" s="111">
        <v>0.25</v>
      </c>
      <c r="E32" s="111">
        <v>0.25</v>
      </c>
      <c r="F32" s="111">
        <v>0.25</v>
      </c>
      <c r="G32" s="111">
        <v>0.2</v>
      </c>
      <c r="H32" s="111">
        <v>0.35</v>
      </c>
      <c r="I32" s="111">
        <v>0.2</v>
      </c>
      <c r="J32" s="111">
        <v>0.35</v>
      </c>
      <c r="K32" s="93" t="s">
        <v>133</v>
      </c>
      <c r="L32" s="93">
        <v>2</v>
      </c>
    </row>
    <row r="33" spans="1:13" ht="15" thickBot="1" x14ac:dyDescent="0.35">
      <c r="B33" s="80" t="s">
        <v>218</v>
      </c>
      <c r="C33" s="93" t="s">
        <v>156</v>
      </c>
      <c r="D33" s="93" t="s">
        <v>156</v>
      </c>
      <c r="E33" s="93" t="s">
        <v>156</v>
      </c>
      <c r="F33" s="93" t="s">
        <v>156</v>
      </c>
      <c r="G33" s="93" t="s">
        <v>156</v>
      </c>
      <c r="H33" s="93" t="s">
        <v>156</v>
      </c>
      <c r="I33" s="93" t="s">
        <v>156</v>
      </c>
      <c r="J33" s="93" t="s">
        <v>156</v>
      </c>
      <c r="K33" s="93"/>
      <c r="L33" s="93"/>
    </row>
    <row r="34" spans="1:13" ht="15" thickBot="1" x14ac:dyDescent="0.35">
      <c r="B34" s="80" t="s">
        <v>217</v>
      </c>
      <c r="C34" s="93" t="s">
        <v>339</v>
      </c>
      <c r="D34" s="93" t="s">
        <v>339</v>
      </c>
      <c r="E34" s="93" t="s">
        <v>339</v>
      </c>
      <c r="F34" s="93" t="s">
        <v>339</v>
      </c>
      <c r="G34" s="118">
        <v>1</v>
      </c>
      <c r="H34" s="118">
        <v>2</v>
      </c>
      <c r="I34" s="118">
        <v>1</v>
      </c>
      <c r="J34" s="118">
        <v>2</v>
      </c>
      <c r="K34" s="93"/>
      <c r="L34" s="93" t="s">
        <v>364</v>
      </c>
    </row>
    <row r="35" spans="1:13" ht="15" thickBot="1" x14ac:dyDescent="0.35">
      <c r="B35" s="96"/>
      <c r="C35" s="93"/>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80" t="s">
        <v>363</v>
      </c>
      <c r="C37" s="118">
        <v>265000</v>
      </c>
      <c r="D37" s="118">
        <v>265000</v>
      </c>
      <c r="E37" s="118">
        <v>265000</v>
      </c>
      <c r="F37" s="118">
        <v>265000</v>
      </c>
      <c r="G37" s="118">
        <v>212000</v>
      </c>
      <c r="H37" s="118">
        <v>318000</v>
      </c>
      <c r="I37" s="118">
        <v>212000</v>
      </c>
      <c r="J37" s="118">
        <v>318000</v>
      </c>
      <c r="K37" s="93"/>
      <c r="L37" s="93">
        <v>2</v>
      </c>
    </row>
    <row r="38" spans="1:13" ht="15" thickBot="1" x14ac:dyDescent="0.35">
      <c r="B38" s="80" t="s">
        <v>362</v>
      </c>
      <c r="C38" s="118">
        <v>240000</v>
      </c>
      <c r="D38" s="118">
        <v>240000</v>
      </c>
      <c r="E38" s="118">
        <v>240000</v>
      </c>
      <c r="F38" s="118">
        <v>240000</v>
      </c>
      <c r="G38" s="118">
        <v>192000</v>
      </c>
      <c r="H38" s="118">
        <v>288000</v>
      </c>
      <c r="I38" s="118">
        <v>192000</v>
      </c>
      <c r="J38" s="118">
        <v>288000</v>
      </c>
      <c r="K38" s="93"/>
      <c r="L38" s="93">
        <v>2</v>
      </c>
    </row>
    <row r="39" spans="1:13" x14ac:dyDescent="0.3">
      <c r="B39" s="127"/>
      <c r="C39" s="126"/>
      <c r="D39" s="126"/>
      <c r="E39" s="126"/>
      <c r="F39" s="126"/>
      <c r="G39" s="126"/>
      <c r="H39" s="126"/>
      <c r="I39" s="126"/>
      <c r="J39" s="126"/>
      <c r="K39" s="120"/>
      <c r="L39" s="120"/>
    </row>
    <row r="40" spans="1:13" x14ac:dyDescent="0.3">
      <c r="B40" s="55" t="s">
        <v>154</v>
      </c>
    </row>
    <row r="41" spans="1:13" x14ac:dyDescent="0.3">
      <c r="A41" s="116">
        <v>1</v>
      </c>
      <c r="B41" s="116" t="s">
        <v>336</v>
      </c>
    </row>
    <row r="42" spans="1:13" x14ac:dyDescent="0.3">
      <c r="A42" s="116">
        <v>2</v>
      </c>
      <c r="B42" s="116" t="s">
        <v>337</v>
      </c>
    </row>
    <row r="43" spans="1:13" x14ac:dyDescent="0.3">
      <c r="A43" s="116">
        <v>3</v>
      </c>
      <c r="B43" s="116" t="s">
        <v>335</v>
      </c>
      <c r="C43" s="54"/>
      <c r="D43" s="54"/>
      <c r="E43" s="54"/>
      <c r="F43" s="54"/>
      <c r="G43" s="54"/>
      <c r="H43" s="54"/>
      <c r="I43" s="54"/>
      <c r="J43" s="54"/>
      <c r="K43" s="54"/>
      <c r="L43" s="54"/>
      <c r="M43" s="54"/>
    </row>
    <row r="44" spans="1:13" x14ac:dyDescent="0.3">
      <c r="A44" s="116">
        <v>4</v>
      </c>
      <c r="B44" s="116" t="s">
        <v>334</v>
      </c>
      <c r="C44" s="54"/>
      <c r="D44" s="54"/>
      <c r="E44" s="54"/>
      <c r="F44" s="54"/>
      <c r="G44" s="54"/>
      <c r="H44" s="54"/>
      <c r="I44" s="54"/>
      <c r="J44" s="54"/>
      <c r="K44" s="54"/>
      <c r="L44" s="54"/>
      <c r="M44" s="54"/>
    </row>
    <row r="45" spans="1:13" x14ac:dyDescent="0.3">
      <c r="C45" s="188"/>
      <c r="D45" s="188"/>
      <c r="E45" s="188"/>
      <c r="F45" s="188"/>
      <c r="G45" s="188"/>
      <c r="H45" s="188"/>
      <c r="I45" s="188"/>
      <c r="J45" s="188"/>
      <c r="K45" s="188"/>
      <c r="L45" s="188"/>
      <c r="M45" s="188"/>
    </row>
    <row r="46" spans="1:13" x14ac:dyDescent="0.3">
      <c r="B46" s="55" t="s">
        <v>144</v>
      </c>
      <c r="C46" s="209"/>
      <c r="D46" s="190"/>
      <c r="E46" s="190"/>
      <c r="F46" s="190"/>
      <c r="G46" s="190"/>
      <c r="H46" s="190"/>
      <c r="I46" s="190"/>
      <c r="J46" s="190"/>
      <c r="K46" s="190"/>
      <c r="L46" s="190"/>
      <c r="M46" s="190"/>
    </row>
    <row r="47" spans="1:13" x14ac:dyDescent="0.3">
      <c r="A47" s="53" t="s">
        <v>143</v>
      </c>
      <c r="B47" s="123" t="s">
        <v>361</v>
      </c>
      <c r="C47" s="79"/>
      <c r="D47" s="79"/>
      <c r="E47" s="79"/>
      <c r="F47" s="79"/>
      <c r="G47" s="79"/>
      <c r="H47" s="79"/>
      <c r="I47" s="79"/>
      <c r="J47" s="79"/>
      <c r="K47" s="79"/>
      <c r="L47" s="79"/>
      <c r="M47" s="79"/>
    </row>
    <row r="48" spans="1:13" x14ac:dyDescent="0.3">
      <c r="A48" s="53" t="s">
        <v>141</v>
      </c>
      <c r="B48" s="123" t="s">
        <v>360</v>
      </c>
      <c r="C48" s="79"/>
      <c r="D48" s="79"/>
      <c r="E48" s="79"/>
      <c r="F48" s="79"/>
      <c r="G48" s="79"/>
      <c r="H48" s="79"/>
      <c r="I48" s="79"/>
      <c r="J48" s="79"/>
      <c r="K48" s="79"/>
      <c r="L48" s="79"/>
      <c r="M48" s="79"/>
    </row>
    <row r="49" spans="1:13" ht="34.200000000000003" x14ac:dyDescent="0.3">
      <c r="A49" s="53" t="s">
        <v>139</v>
      </c>
      <c r="B49" s="122" t="s">
        <v>359</v>
      </c>
      <c r="C49" s="79"/>
      <c r="D49" s="79"/>
      <c r="E49" s="79"/>
      <c r="F49" s="79"/>
      <c r="G49" s="79"/>
      <c r="H49" s="79"/>
      <c r="I49" s="79"/>
      <c r="J49" s="79"/>
      <c r="K49" s="79"/>
      <c r="L49" s="79"/>
      <c r="M49" s="79"/>
    </row>
    <row r="50" spans="1:13" ht="45.6" x14ac:dyDescent="0.3">
      <c r="A50" s="53" t="s">
        <v>137</v>
      </c>
      <c r="B50" s="124" t="s">
        <v>358</v>
      </c>
      <c r="C50" s="79"/>
      <c r="D50" s="79"/>
      <c r="E50" s="79"/>
      <c r="F50" s="79"/>
      <c r="G50" s="79"/>
      <c r="H50" s="79"/>
      <c r="I50" s="79"/>
      <c r="J50" s="79"/>
      <c r="K50" s="79"/>
      <c r="L50" s="79"/>
      <c r="M50" s="79"/>
    </row>
    <row r="51" spans="1:13" ht="34.200000000000003" x14ac:dyDescent="0.3">
      <c r="A51" s="53" t="s">
        <v>135</v>
      </c>
      <c r="B51" s="122" t="s">
        <v>357</v>
      </c>
    </row>
    <row r="52" spans="1:13" x14ac:dyDescent="0.3">
      <c r="A52" s="53" t="s">
        <v>133</v>
      </c>
      <c r="B52" s="122" t="s">
        <v>383</v>
      </c>
    </row>
    <row r="53" spans="1:13" ht="68.400000000000006" x14ac:dyDescent="0.3">
      <c r="A53" s="53" t="s">
        <v>131</v>
      </c>
      <c r="B53" s="122" t="s">
        <v>355</v>
      </c>
    </row>
    <row r="54" spans="1:13" ht="57" x14ac:dyDescent="0.3">
      <c r="A54" s="53" t="s">
        <v>129</v>
      </c>
      <c r="B54" s="122" t="s">
        <v>354</v>
      </c>
    </row>
    <row r="55" spans="1:13" ht="45.6" x14ac:dyDescent="0.3">
      <c r="A55" s="53" t="s">
        <v>127</v>
      </c>
      <c r="B55" s="122" t="s">
        <v>353</v>
      </c>
    </row>
  </sheetData>
  <mergeCells count="12">
    <mergeCell ref="K3:K4"/>
    <mergeCell ref="L3:L4"/>
    <mergeCell ref="C45:M45"/>
    <mergeCell ref="C46:M46"/>
    <mergeCell ref="C2:L2"/>
    <mergeCell ref="G3:H4"/>
    <mergeCell ref="I3:J4"/>
    <mergeCell ref="B3:B4"/>
    <mergeCell ref="C3:C4"/>
    <mergeCell ref="D3:D4"/>
    <mergeCell ref="E3:E4"/>
    <mergeCell ref="F3:F4"/>
  </mergeCells>
  <hyperlinks>
    <hyperlink ref="C2" location="INDEX" display="Energy Transport District Heating Distribution, New Area" xr:uid="{1C65F324-4DA0-4FAA-9BEE-FEE6F1E5D55D}"/>
  </hyperlinks>
  <pageMargins left="0.7" right="0.7" top="0.75" bottom="0.75" header="0.3" footer="0.3"/>
  <pageSetup paperSize="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70C7-EF87-4A47-8A5C-0D5FF85997B8}">
  <dimension ref="A1:M55"/>
  <sheetViews>
    <sheetView workbookViewId="0">
      <selection activeCell="C26" sqref="C26"/>
    </sheetView>
  </sheetViews>
  <sheetFormatPr defaultColWidth="9.33203125" defaultRowHeight="14.4" x14ac:dyDescent="0.3"/>
  <cols>
    <col min="1" max="1" width="2.33203125" style="90" bestFit="1" customWidth="1"/>
    <col min="2" max="2" width="42.88671875" style="90" customWidth="1"/>
    <col min="3" max="12" width="9.109375" style="90" customWidth="1"/>
    <col min="13" max="16384" width="9.33203125" style="90"/>
  </cols>
  <sheetData>
    <row r="1" spans="2:12" ht="16.2" thickBot="1" x14ac:dyDescent="0.35">
      <c r="B1" s="130" t="s">
        <v>389</v>
      </c>
    </row>
    <row r="2" spans="2:12" ht="15" thickBot="1" x14ac:dyDescent="0.35">
      <c r="B2" s="110" t="s">
        <v>197</v>
      </c>
      <c r="C2" s="177" t="s">
        <v>388</v>
      </c>
      <c r="D2" s="206"/>
      <c r="E2" s="206"/>
      <c r="F2" s="206"/>
      <c r="G2" s="206"/>
      <c r="H2" s="206"/>
      <c r="I2" s="206"/>
      <c r="J2" s="206"/>
      <c r="K2" s="206"/>
      <c r="L2" s="207"/>
    </row>
    <row r="3" spans="2:12" x14ac:dyDescent="0.3">
      <c r="B3" s="198"/>
      <c r="C3" s="200">
        <v>2015</v>
      </c>
      <c r="D3" s="200">
        <v>2020</v>
      </c>
      <c r="E3" s="200">
        <v>2030</v>
      </c>
      <c r="F3" s="200">
        <v>2050</v>
      </c>
      <c r="G3" s="202" t="s">
        <v>195</v>
      </c>
      <c r="H3" s="203"/>
      <c r="I3" s="202" t="s">
        <v>194</v>
      </c>
      <c r="J3" s="203"/>
      <c r="K3" s="200" t="s">
        <v>193</v>
      </c>
      <c r="L3" s="200" t="s">
        <v>192</v>
      </c>
    </row>
    <row r="4" spans="2:12" ht="15" thickBot="1" x14ac:dyDescent="0.35">
      <c r="B4" s="199"/>
      <c r="C4" s="201"/>
      <c r="D4" s="201"/>
      <c r="E4" s="201"/>
      <c r="F4" s="201"/>
      <c r="G4" s="204"/>
      <c r="H4" s="205"/>
      <c r="I4" s="204"/>
      <c r="J4" s="205"/>
      <c r="K4" s="201"/>
      <c r="L4" s="201"/>
    </row>
    <row r="5" spans="2:12" ht="15" thickBot="1" x14ac:dyDescent="0.35">
      <c r="B5" s="97" t="s">
        <v>191</v>
      </c>
      <c r="C5" s="104"/>
      <c r="D5" s="104"/>
      <c r="E5" s="104"/>
      <c r="F5" s="104"/>
      <c r="G5" s="108" t="s">
        <v>190</v>
      </c>
      <c r="H5" s="108" t="s">
        <v>189</v>
      </c>
      <c r="I5" s="108" t="s">
        <v>190</v>
      </c>
      <c r="J5" s="108" t="s">
        <v>189</v>
      </c>
      <c r="K5" s="104"/>
      <c r="L5" s="103"/>
    </row>
    <row r="6" spans="2:12" ht="15" thickBot="1" x14ac:dyDescent="0.35">
      <c r="B6" s="95" t="s">
        <v>248</v>
      </c>
      <c r="C6" s="129">
        <v>10</v>
      </c>
      <c r="D6" s="129">
        <v>10</v>
      </c>
      <c r="E6" s="129">
        <v>10</v>
      </c>
      <c r="F6" s="129">
        <v>10</v>
      </c>
      <c r="G6" s="93">
        <v>8</v>
      </c>
      <c r="H6" s="93">
        <v>12</v>
      </c>
      <c r="I6" s="93">
        <v>8</v>
      </c>
      <c r="J6" s="93">
        <v>12</v>
      </c>
      <c r="K6" s="93" t="s">
        <v>371</v>
      </c>
      <c r="L6" s="93">
        <v>1</v>
      </c>
    </row>
    <row r="7" spans="2:12" ht="15" thickBot="1" x14ac:dyDescent="0.35">
      <c r="B7" s="95" t="s">
        <v>370</v>
      </c>
      <c r="C7" s="93">
        <v>5</v>
      </c>
      <c r="D7" s="93">
        <v>5</v>
      </c>
      <c r="E7" s="93">
        <v>5</v>
      </c>
      <c r="F7" s="93">
        <v>5</v>
      </c>
      <c r="G7" s="93">
        <v>2</v>
      </c>
      <c r="H7" s="93">
        <v>7</v>
      </c>
      <c r="I7" s="93">
        <v>2</v>
      </c>
      <c r="J7" s="93">
        <v>7</v>
      </c>
      <c r="K7" s="93" t="s">
        <v>139</v>
      </c>
      <c r="L7" s="93">
        <v>2</v>
      </c>
    </row>
    <row r="8" spans="2:12" ht="15" thickBot="1" x14ac:dyDescent="0.35">
      <c r="B8" s="95" t="s">
        <v>246</v>
      </c>
      <c r="C8" s="93">
        <v>2</v>
      </c>
      <c r="D8" s="93">
        <v>2</v>
      </c>
      <c r="E8" s="93">
        <v>2</v>
      </c>
      <c r="F8" s="93">
        <v>2</v>
      </c>
      <c r="G8" s="93">
        <v>0.5</v>
      </c>
      <c r="H8" s="93">
        <v>3</v>
      </c>
      <c r="I8" s="93">
        <v>0.5</v>
      </c>
      <c r="J8" s="93">
        <v>3</v>
      </c>
      <c r="K8" s="93"/>
      <c r="L8" s="93">
        <v>2</v>
      </c>
    </row>
    <row r="9" spans="2:12" ht="15" thickBot="1" x14ac:dyDescent="0.35">
      <c r="B9" s="95" t="s">
        <v>179</v>
      </c>
      <c r="C9" s="93">
        <v>40</v>
      </c>
      <c r="D9" s="93">
        <v>40</v>
      </c>
      <c r="E9" s="93">
        <v>40</v>
      </c>
      <c r="F9" s="93">
        <v>40</v>
      </c>
      <c r="G9" s="93">
        <v>30</v>
      </c>
      <c r="H9" s="93">
        <v>50</v>
      </c>
      <c r="I9" s="93">
        <v>30</v>
      </c>
      <c r="J9" s="93">
        <v>50</v>
      </c>
      <c r="K9" s="93" t="s">
        <v>137</v>
      </c>
      <c r="L9" s="93">
        <v>1</v>
      </c>
    </row>
    <row r="10" spans="2:12" ht="15" thickBot="1" x14ac:dyDescent="0.35">
      <c r="B10" s="95" t="s">
        <v>178</v>
      </c>
      <c r="C10" s="93"/>
      <c r="D10" s="93"/>
      <c r="E10" s="93"/>
      <c r="F10" s="93"/>
      <c r="G10" s="93"/>
      <c r="H10" s="93"/>
      <c r="I10" s="93"/>
      <c r="J10" s="93"/>
      <c r="K10" s="93"/>
      <c r="L10" s="93"/>
    </row>
    <row r="11" spans="2:12" ht="15" thickBot="1" x14ac:dyDescent="0.35">
      <c r="B11" s="113" t="s">
        <v>242</v>
      </c>
      <c r="C11" s="93" t="s">
        <v>320</v>
      </c>
      <c r="D11" s="93" t="s">
        <v>320</v>
      </c>
      <c r="E11" s="93" t="s">
        <v>320</v>
      </c>
      <c r="F11" s="93" t="s">
        <v>320</v>
      </c>
      <c r="G11" s="93" t="s">
        <v>319</v>
      </c>
      <c r="H11" s="93" t="s">
        <v>318</v>
      </c>
      <c r="I11" s="93" t="s">
        <v>319</v>
      </c>
      <c r="J11" s="93" t="s">
        <v>318</v>
      </c>
      <c r="K11" s="93"/>
      <c r="L11" s="93"/>
    </row>
    <row r="12" spans="2:12" ht="15" thickBot="1" x14ac:dyDescent="0.35">
      <c r="B12" s="113" t="s">
        <v>260</v>
      </c>
      <c r="C12" s="93" t="s">
        <v>156</v>
      </c>
      <c r="D12" s="114" t="s">
        <v>156</v>
      </c>
      <c r="E12" s="114" t="s">
        <v>156</v>
      </c>
      <c r="F12" s="114" t="s">
        <v>156</v>
      </c>
      <c r="G12" s="114" t="s">
        <v>156</v>
      </c>
      <c r="H12" s="114" t="s">
        <v>156</v>
      </c>
      <c r="I12" s="114" t="s">
        <v>156</v>
      </c>
      <c r="J12" s="114" t="s">
        <v>156</v>
      </c>
      <c r="K12" s="93"/>
      <c r="L12" s="93"/>
    </row>
    <row r="13" spans="2:12" ht="15" thickBot="1" x14ac:dyDescent="0.35">
      <c r="B13" s="113" t="s">
        <v>177</v>
      </c>
      <c r="C13" s="93">
        <v>1</v>
      </c>
      <c r="D13" s="93">
        <v>1</v>
      </c>
      <c r="E13" s="93">
        <v>1</v>
      </c>
      <c r="F13" s="93">
        <v>1</v>
      </c>
      <c r="G13" s="93" t="s">
        <v>347</v>
      </c>
      <c r="H13" s="93" t="s">
        <v>339</v>
      </c>
      <c r="I13" s="93" t="s">
        <v>347</v>
      </c>
      <c r="J13" s="93" t="s">
        <v>339</v>
      </c>
      <c r="K13" s="93"/>
      <c r="L13" s="93"/>
    </row>
    <row r="14" spans="2:12" ht="15" thickBot="1" x14ac:dyDescent="0.35">
      <c r="B14" s="95"/>
      <c r="C14" s="93"/>
      <c r="D14" s="93"/>
      <c r="E14" s="93"/>
      <c r="F14" s="93"/>
      <c r="G14" s="93"/>
      <c r="H14" s="93"/>
      <c r="I14" s="93"/>
      <c r="J14" s="93"/>
      <c r="K14" s="93"/>
      <c r="L14" s="93"/>
    </row>
    <row r="15" spans="2:12" ht="15" thickBot="1" x14ac:dyDescent="0.35">
      <c r="B15" s="97" t="s">
        <v>176</v>
      </c>
      <c r="C15" s="104"/>
      <c r="D15" s="104"/>
      <c r="E15" s="104"/>
      <c r="F15" s="104"/>
      <c r="G15" s="104"/>
      <c r="H15" s="104"/>
      <c r="I15" s="104"/>
      <c r="J15" s="104"/>
      <c r="K15" s="104"/>
      <c r="L15" s="103"/>
    </row>
    <row r="16" spans="2:12" ht="21" thickBot="1" x14ac:dyDescent="0.35">
      <c r="B16" s="80" t="s">
        <v>387</v>
      </c>
      <c r="C16" s="93">
        <v>680</v>
      </c>
      <c r="D16" s="93">
        <v>680</v>
      </c>
      <c r="E16" s="93">
        <v>680</v>
      </c>
      <c r="F16" s="93">
        <v>680</v>
      </c>
      <c r="G16" s="118" t="s">
        <v>344</v>
      </c>
      <c r="H16" s="118" t="s">
        <v>344</v>
      </c>
      <c r="I16" s="118" t="s">
        <v>344</v>
      </c>
      <c r="J16" s="118" t="s">
        <v>344</v>
      </c>
      <c r="K16" s="93" t="s">
        <v>290</v>
      </c>
      <c r="L16" s="93" t="s">
        <v>367</v>
      </c>
    </row>
    <row r="17" spans="2:12" ht="15" thickBot="1" x14ac:dyDescent="0.35">
      <c r="B17" s="80" t="s">
        <v>237</v>
      </c>
      <c r="C17" s="118">
        <v>3200</v>
      </c>
      <c r="D17" s="118">
        <v>3200</v>
      </c>
      <c r="E17" s="118">
        <v>3200</v>
      </c>
      <c r="F17" s="118">
        <v>3200</v>
      </c>
      <c r="G17" s="118" t="s">
        <v>344</v>
      </c>
      <c r="H17" s="118" t="s">
        <v>344</v>
      </c>
      <c r="I17" s="118" t="s">
        <v>344</v>
      </c>
      <c r="J17" s="118" t="s">
        <v>344</v>
      </c>
      <c r="K17" s="93" t="s">
        <v>369</v>
      </c>
      <c r="L17" s="93" t="s">
        <v>367</v>
      </c>
    </row>
    <row r="18" spans="2:12" ht="15" thickBot="1" x14ac:dyDescent="0.35">
      <c r="B18" s="80" t="s">
        <v>236</v>
      </c>
      <c r="C18" s="118">
        <v>3375</v>
      </c>
      <c r="D18" s="118">
        <v>3375</v>
      </c>
      <c r="E18" s="118">
        <v>3375</v>
      </c>
      <c r="F18" s="118">
        <v>3375</v>
      </c>
      <c r="G18" s="118" t="s">
        <v>344</v>
      </c>
      <c r="H18" s="118" t="s">
        <v>344</v>
      </c>
      <c r="I18" s="118" t="s">
        <v>344</v>
      </c>
      <c r="J18" s="118" t="s">
        <v>344</v>
      </c>
      <c r="K18" s="93" t="s">
        <v>369</v>
      </c>
      <c r="L18" s="93" t="s">
        <v>367</v>
      </c>
    </row>
    <row r="19" spans="2:12" ht="15" thickBot="1" x14ac:dyDescent="0.35">
      <c r="B19" s="80" t="s">
        <v>235</v>
      </c>
      <c r="C19" s="118">
        <v>3850</v>
      </c>
      <c r="D19" s="118">
        <v>3850</v>
      </c>
      <c r="E19" s="118">
        <v>3850</v>
      </c>
      <c r="F19" s="118">
        <v>3850</v>
      </c>
      <c r="G19" s="118" t="s">
        <v>344</v>
      </c>
      <c r="H19" s="118" t="s">
        <v>344</v>
      </c>
      <c r="I19" s="118" t="s">
        <v>344</v>
      </c>
      <c r="J19" s="118" t="s">
        <v>344</v>
      </c>
      <c r="K19" s="93" t="s">
        <v>369</v>
      </c>
      <c r="L19" s="93" t="s">
        <v>367</v>
      </c>
    </row>
    <row r="20" spans="2:12" ht="15" thickBot="1" x14ac:dyDescent="0.35">
      <c r="B20" s="80" t="s">
        <v>234</v>
      </c>
      <c r="C20" s="118" t="s">
        <v>156</v>
      </c>
      <c r="D20" s="118" t="s">
        <v>156</v>
      </c>
      <c r="E20" s="118" t="s">
        <v>156</v>
      </c>
      <c r="F20" s="118" t="s">
        <v>156</v>
      </c>
      <c r="G20" s="118" t="s">
        <v>156</v>
      </c>
      <c r="H20" s="118" t="s">
        <v>156</v>
      </c>
      <c r="I20" s="118" t="s">
        <v>156</v>
      </c>
      <c r="J20" s="118" t="s">
        <v>156</v>
      </c>
      <c r="K20" s="93"/>
      <c r="L20" s="93"/>
    </row>
    <row r="21" spans="2:12" ht="15" thickBot="1" x14ac:dyDescent="0.35">
      <c r="B21" s="80" t="s">
        <v>232</v>
      </c>
      <c r="C21" s="118">
        <v>180</v>
      </c>
      <c r="D21" s="118">
        <v>180</v>
      </c>
      <c r="E21" s="118">
        <v>180</v>
      </c>
      <c r="F21" s="118">
        <v>180</v>
      </c>
      <c r="G21" s="118" t="s">
        <v>344</v>
      </c>
      <c r="H21" s="118" t="s">
        <v>344</v>
      </c>
      <c r="I21" s="118" t="s">
        <v>344</v>
      </c>
      <c r="J21" s="118" t="s">
        <v>344</v>
      </c>
      <c r="K21" s="93" t="s">
        <v>368</v>
      </c>
      <c r="L21" s="93" t="s">
        <v>367</v>
      </c>
    </row>
    <row r="22" spans="2:12" ht="15" thickBot="1" x14ac:dyDescent="0.35">
      <c r="B22" s="80" t="s">
        <v>231</v>
      </c>
      <c r="C22" s="118">
        <v>234.5</v>
      </c>
      <c r="D22" s="118">
        <v>234.5</v>
      </c>
      <c r="E22" s="118">
        <v>234.5</v>
      </c>
      <c r="F22" s="118">
        <v>234.5</v>
      </c>
      <c r="G22" s="118" t="s">
        <v>344</v>
      </c>
      <c r="H22" s="118" t="s">
        <v>344</v>
      </c>
      <c r="I22" s="118" t="s">
        <v>344</v>
      </c>
      <c r="J22" s="118" t="s">
        <v>344</v>
      </c>
      <c r="K22" s="93" t="s">
        <v>368</v>
      </c>
      <c r="L22" s="93" t="s">
        <v>367</v>
      </c>
    </row>
    <row r="23" spans="2:12" ht="15" thickBot="1" x14ac:dyDescent="0.35">
      <c r="B23" s="80" t="s">
        <v>230</v>
      </c>
      <c r="C23" s="118">
        <v>250</v>
      </c>
      <c r="D23" s="118">
        <v>250</v>
      </c>
      <c r="E23" s="118">
        <v>250</v>
      </c>
      <c r="F23" s="118">
        <v>250</v>
      </c>
      <c r="G23" s="118" t="s">
        <v>344</v>
      </c>
      <c r="H23" s="118" t="s">
        <v>344</v>
      </c>
      <c r="I23" s="118" t="s">
        <v>344</v>
      </c>
      <c r="J23" s="118" t="s">
        <v>344</v>
      </c>
      <c r="K23" s="93" t="s">
        <v>368</v>
      </c>
      <c r="L23" s="93" t="s">
        <v>367</v>
      </c>
    </row>
    <row r="24" spans="2:12" ht="15" thickBot="1" x14ac:dyDescent="0.35">
      <c r="B24" s="80" t="s">
        <v>229</v>
      </c>
      <c r="C24" s="118">
        <v>370</v>
      </c>
      <c r="D24" s="118">
        <v>370</v>
      </c>
      <c r="E24" s="118">
        <v>370</v>
      </c>
      <c r="F24" s="118">
        <v>370</v>
      </c>
      <c r="G24" s="118" t="s">
        <v>344</v>
      </c>
      <c r="H24" s="118" t="s">
        <v>344</v>
      </c>
      <c r="I24" s="118" t="s">
        <v>344</v>
      </c>
      <c r="J24" s="118" t="s">
        <v>344</v>
      </c>
      <c r="K24" s="93" t="s">
        <v>368</v>
      </c>
      <c r="L24" s="93" t="s">
        <v>367</v>
      </c>
    </row>
    <row r="25" spans="2:12" ht="15" thickBot="1" x14ac:dyDescent="0.35">
      <c r="B25" s="80" t="s">
        <v>228</v>
      </c>
      <c r="C25" s="118">
        <v>540</v>
      </c>
      <c r="D25" s="118">
        <v>540</v>
      </c>
      <c r="E25" s="118">
        <v>540</v>
      </c>
      <c r="F25" s="118">
        <v>540</v>
      </c>
      <c r="G25" s="118" t="s">
        <v>344</v>
      </c>
      <c r="H25" s="118" t="s">
        <v>344</v>
      </c>
      <c r="I25" s="118" t="s">
        <v>344</v>
      </c>
      <c r="J25" s="118" t="s">
        <v>344</v>
      </c>
      <c r="K25" s="93" t="s">
        <v>368</v>
      </c>
      <c r="L25" s="93" t="s">
        <v>367</v>
      </c>
    </row>
    <row r="26" spans="2:12" ht="15" thickBot="1" x14ac:dyDescent="0.35">
      <c r="B26" s="80" t="s">
        <v>227</v>
      </c>
      <c r="C26" s="118">
        <v>955</v>
      </c>
      <c r="D26" s="118">
        <v>955</v>
      </c>
      <c r="E26" s="118">
        <v>955</v>
      </c>
      <c r="F26" s="118">
        <v>955</v>
      </c>
      <c r="G26" s="118" t="s">
        <v>344</v>
      </c>
      <c r="H26" s="118" t="s">
        <v>344</v>
      </c>
      <c r="I26" s="118" t="s">
        <v>344</v>
      </c>
      <c r="J26" s="118" t="s">
        <v>344</v>
      </c>
      <c r="K26" s="93" t="s">
        <v>368</v>
      </c>
      <c r="L26" s="93" t="s">
        <v>367</v>
      </c>
    </row>
    <row r="27" spans="2:12" ht="15" thickBot="1" x14ac:dyDescent="0.35">
      <c r="B27" s="80" t="s">
        <v>226</v>
      </c>
      <c r="C27" s="93" t="s">
        <v>156</v>
      </c>
      <c r="D27" s="93" t="s">
        <v>156</v>
      </c>
      <c r="E27" s="93" t="s">
        <v>156</v>
      </c>
      <c r="F27" s="93" t="s">
        <v>156</v>
      </c>
      <c r="G27" s="93" t="s">
        <v>156</v>
      </c>
      <c r="H27" s="93" t="s">
        <v>156</v>
      </c>
      <c r="I27" s="93" t="s">
        <v>156</v>
      </c>
      <c r="J27" s="93" t="s">
        <v>156</v>
      </c>
      <c r="K27" s="93"/>
      <c r="L27" s="93"/>
    </row>
    <row r="28" spans="2:12" ht="15" thickBot="1" x14ac:dyDescent="0.35">
      <c r="B28" s="80" t="s">
        <v>166</v>
      </c>
      <c r="C28" s="93" t="s">
        <v>156</v>
      </c>
      <c r="D28" s="93" t="s">
        <v>156</v>
      </c>
      <c r="E28" s="93" t="s">
        <v>156</v>
      </c>
      <c r="F28" s="93" t="s">
        <v>156</v>
      </c>
      <c r="G28" s="93" t="s">
        <v>156</v>
      </c>
      <c r="H28" s="93" t="s">
        <v>156</v>
      </c>
      <c r="I28" s="93" t="s">
        <v>156</v>
      </c>
      <c r="J28" s="93" t="s">
        <v>156</v>
      </c>
      <c r="K28" s="93"/>
      <c r="L28" s="93"/>
    </row>
    <row r="29" spans="2:12" ht="15" thickBot="1" x14ac:dyDescent="0.35">
      <c r="B29" s="80" t="s">
        <v>366</v>
      </c>
      <c r="C29" s="118">
        <v>100000</v>
      </c>
      <c r="D29" s="118">
        <v>100000</v>
      </c>
      <c r="E29" s="118">
        <v>100000</v>
      </c>
      <c r="F29" s="118">
        <v>100000</v>
      </c>
      <c r="G29" s="118">
        <v>80000</v>
      </c>
      <c r="H29" s="118">
        <v>120000</v>
      </c>
      <c r="I29" s="118">
        <v>80000</v>
      </c>
      <c r="J29" s="118">
        <v>120000</v>
      </c>
      <c r="K29" s="93" t="s">
        <v>127</v>
      </c>
      <c r="L29" s="93">
        <v>2</v>
      </c>
    </row>
    <row r="30" spans="2:12" ht="15" thickBot="1" x14ac:dyDescent="0.35">
      <c r="B30" s="80" t="s">
        <v>365</v>
      </c>
      <c r="C30" s="118">
        <v>90000</v>
      </c>
      <c r="D30" s="118">
        <v>90000</v>
      </c>
      <c r="E30" s="118">
        <v>90000</v>
      </c>
      <c r="F30" s="118">
        <v>90000</v>
      </c>
      <c r="G30" s="118">
        <v>72000</v>
      </c>
      <c r="H30" s="118">
        <v>108000</v>
      </c>
      <c r="I30" s="118">
        <v>72000</v>
      </c>
      <c r="J30" s="118">
        <v>108000</v>
      </c>
      <c r="K30" s="93" t="s">
        <v>127</v>
      </c>
      <c r="L30" s="93">
        <v>2</v>
      </c>
    </row>
    <row r="31" spans="2:12" ht="15" thickBot="1" x14ac:dyDescent="0.35">
      <c r="B31" s="80" t="s">
        <v>160</v>
      </c>
      <c r="C31" s="111">
        <v>0.75</v>
      </c>
      <c r="D31" s="111">
        <v>0.75</v>
      </c>
      <c r="E31" s="111">
        <v>0.75</v>
      </c>
      <c r="F31" s="111">
        <v>0.75</v>
      </c>
      <c r="G31" s="111">
        <v>0.65</v>
      </c>
      <c r="H31" s="111">
        <v>0.8</v>
      </c>
      <c r="I31" s="111">
        <v>0.65</v>
      </c>
      <c r="J31" s="111">
        <v>0.8</v>
      </c>
      <c r="K31" s="93" t="s">
        <v>133</v>
      </c>
      <c r="L31" s="93">
        <v>2</v>
      </c>
    </row>
    <row r="32" spans="2:12" ht="15" thickBot="1" x14ac:dyDescent="0.35">
      <c r="B32" s="80" t="s">
        <v>159</v>
      </c>
      <c r="C32" s="111">
        <v>0.25</v>
      </c>
      <c r="D32" s="111">
        <v>0.25</v>
      </c>
      <c r="E32" s="111">
        <v>0.25</v>
      </c>
      <c r="F32" s="111">
        <v>0.25</v>
      </c>
      <c r="G32" s="111">
        <v>0.2</v>
      </c>
      <c r="H32" s="111">
        <v>0.35</v>
      </c>
      <c r="I32" s="111">
        <v>0.2</v>
      </c>
      <c r="J32" s="111">
        <v>0.35</v>
      </c>
      <c r="K32" s="93" t="s">
        <v>133</v>
      </c>
      <c r="L32" s="93">
        <v>2</v>
      </c>
    </row>
    <row r="33" spans="1:13" ht="15" thickBot="1" x14ac:dyDescent="0.35">
      <c r="B33" s="80" t="s">
        <v>218</v>
      </c>
      <c r="C33" s="93" t="s">
        <v>156</v>
      </c>
      <c r="D33" s="93" t="s">
        <v>156</v>
      </c>
      <c r="E33" s="93" t="s">
        <v>156</v>
      </c>
      <c r="F33" s="93" t="s">
        <v>156</v>
      </c>
      <c r="G33" s="93" t="s">
        <v>156</v>
      </c>
      <c r="H33" s="93" t="s">
        <v>156</v>
      </c>
      <c r="I33" s="93" t="s">
        <v>156</v>
      </c>
      <c r="J33" s="93" t="s">
        <v>156</v>
      </c>
      <c r="K33" s="93"/>
      <c r="L33" s="93"/>
    </row>
    <row r="34" spans="1:13" ht="15" thickBot="1" x14ac:dyDescent="0.35">
      <c r="B34" s="80" t="s">
        <v>217</v>
      </c>
      <c r="C34" s="93" t="s">
        <v>339</v>
      </c>
      <c r="D34" s="93" t="s">
        <v>339</v>
      </c>
      <c r="E34" s="93" t="s">
        <v>339</v>
      </c>
      <c r="F34" s="93" t="s">
        <v>339</v>
      </c>
      <c r="G34" s="93">
        <v>1</v>
      </c>
      <c r="H34" s="93">
        <v>2</v>
      </c>
      <c r="I34" s="118">
        <v>1</v>
      </c>
      <c r="J34" s="118">
        <v>2</v>
      </c>
      <c r="K34" s="93"/>
      <c r="L34" s="93" t="s">
        <v>364</v>
      </c>
    </row>
    <row r="35" spans="1:13" ht="15" thickBot="1" x14ac:dyDescent="0.35">
      <c r="B35" s="96"/>
      <c r="C35" s="93"/>
      <c r="D35" s="93"/>
      <c r="E35" s="93"/>
      <c r="F35" s="93"/>
      <c r="G35" s="93"/>
      <c r="H35" s="93"/>
      <c r="I35" s="93"/>
      <c r="J35" s="93"/>
      <c r="K35" s="93"/>
      <c r="L35" s="93"/>
    </row>
    <row r="36" spans="1:13" ht="15" thickBot="1" x14ac:dyDescent="0.35">
      <c r="B36" s="97" t="s">
        <v>155</v>
      </c>
      <c r="C36" s="93"/>
      <c r="D36" s="93"/>
      <c r="E36" s="93"/>
      <c r="F36" s="93"/>
      <c r="G36" s="93"/>
      <c r="H36" s="93"/>
      <c r="I36" s="93"/>
      <c r="J36" s="93"/>
      <c r="K36" s="93"/>
      <c r="L36" s="93"/>
    </row>
    <row r="37" spans="1:13" ht="15" thickBot="1" x14ac:dyDescent="0.35">
      <c r="B37" s="80" t="s">
        <v>363</v>
      </c>
      <c r="C37" s="118">
        <v>265000</v>
      </c>
      <c r="D37" s="118">
        <v>265000</v>
      </c>
      <c r="E37" s="118">
        <v>265000</v>
      </c>
      <c r="F37" s="118">
        <v>265000</v>
      </c>
      <c r="G37" s="118">
        <v>212000</v>
      </c>
      <c r="H37" s="118">
        <v>318000</v>
      </c>
      <c r="I37" s="118">
        <v>212000</v>
      </c>
      <c r="J37" s="118">
        <v>318000</v>
      </c>
      <c r="K37" s="118"/>
      <c r="L37" s="118">
        <v>2</v>
      </c>
    </row>
    <row r="38" spans="1:13" ht="15" thickBot="1" x14ac:dyDescent="0.35">
      <c r="B38" s="80" t="s">
        <v>362</v>
      </c>
      <c r="C38" s="118">
        <v>240000</v>
      </c>
      <c r="D38" s="118">
        <v>240000</v>
      </c>
      <c r="E38" s="118">
        <v>240000</v>
      </c>
      <c r="F38" s="118">
        <v>240000</v>
      </c>
      <c r="G38" s="118">
        <v>192000</v>
      </c>
      <c r="H38" s="118">
        <v>288000</v>
      </c>
      <c r="I38" s="118">
        <v>192000</v>
      </c>
      <c r="J38" s="118">
        <v>288000</v>
      </c>
      <c r="K38" s="118"/>
      <c r="L38" s="118">
        <v>2</v>
      </c>
    </row>
    <row r="39" spans="1:13" x14ac:dyDescent="0.3">
      <c r="B39" s="127"/>
      <c r="C39" s="126"/>
      <c r="D39" s="126"/>
      <c r="E39" s="126"/>
      <c r="F39" s="126"/>
      <c r="G39" s="126"/>
      <c r="H39" s="126"/>
      <c r="I39" s="126"/>
      <c r="J39" s="126"/>
      <c r="K39" s="126"/>
      <c r="L39" s="126"/>
    </row>
    <row r="40" spans="1:13" x14ac:dyDescent="0.3">
      <c r="B40" s="55" t="s">
        <v>154</v>
      </c>
    </row>
    <row r="41" spans="1:13" x14ac:dyDescent="0.3">
      <c r="A41" s="116">
        <v>1</v>
      </c>
      <c r="B41" s="116" t="s">
        <v>336</v>
      </c>
    </row>
    <row r="42" spans="1:13" x14ac:dyDescent="0.3">
      <c r="A42" s="116">
        <v>2</v>
      </c>
      <c r="B42" s="116" t="s">
        <v>337</v>
      </c>
    </row>
    <row r="43" spans="1:13" x14ac:dyDescent="0.3">
      <c r="A43" s="116">
        <v>3</v>
      </c>
      <c r="B43" s="116" t="s">
        <v>335</v>
      </c>
      <c r="C43" s="54"/>
      <c r="D43" s="54"/>
      <c r="E43" s="54"/>
      <c r="F43" s="54"/>
      <c r="G43" s="54"/>
      <c r="H43" s="54"/>
      <c r="I43" s="54"/>
      <c r="J43" s="54"/>
      <c r="K43" s="54"/>
      <c r="L43" s="54"/>
      <c r="M43" s="54"/>
    </row>
    <row r="44" spans="1:13" x14ac:dyDescent="0.3">
      <c r="A44" s="116">
        <v>4</v>
      </c>
      <c r="B44" s="116" t="s">
        <v>334</v>
      </c>
      <c r="C44" s="54"/>
      <c r="D44" s="54"/>
      <c r="E44" s="54"/>
      <c r="F44" s="54"/>
      <c r="G44" s="54"/>
      <c r="H44" s="54"/>
      <c r="I44" s="54"/>
      <c r="J44" s="54"/>
      <c r="K44" s="54"/>
      <c r="L44" s="54"/>
      <c r="M44" s="54"/>
    </row>
    <row r="45" spans="1:13" x14ac:dyDescent="0.3">
      <c r="C45" s="188"/>
      <c r="D45" s="188"/>
      <c r="E45" s="188"/>
      <c r="F45" s="188"/>
      <c r="G45" s="188"/>
      <c r="H45" s="188"/>
      <c r="I45" s="188"/>
      <c r="J45" s="188"/>
      <c r="K45" s="188"/>
      <c r="L45" s="188"/>
      <c r="M45" s="188"/>
    </row>
    <row r="46" spans="1:13" x14ac:dyDescent="0.3">
      <c r="B46" s="55" t="s">
        <v>144</v>
      </c>
      <c r="C46" s="209"/>
      <c r="D46" s="190"/>
      <c r="E46" s="190"/>
      <c r="F46" s="190"/>
      <c r="G46" s="190"/>
      <c r="H46" s="190"/>
      <c r="I46" s="190"/>
      <c r="J46" s="190"/>
      <c r="K46" s="190"/>
      <c r="L46" s="190"/>
      <c r="M46" s="190"/>
    </row>
    <row r="47" spans="1:13" x14ac:dyDescent="0.3">
      <c r="A47" s="53" t="s">
        <v>143</v>
      </c>
      <c r="B47" s="123" t="s">
        <v>361</v>
      </c>
      <c r="C47" s="79"/>
      <c r="D47" s="79"/>
      <c r="E47" s="79"/>
      <c r="F47" s="79"/>
      <c r="G47" s="79"/>
      <c r="H47" s="79"/>
      <c r="I47" s="79"/>
      <c r="J47" s="79"/>
      <c r="K47" s="79"/>
      <c r="L47" s="79"/>
      <c r="M47" s="79"/>
    </row>
    <row r="48" spans="1:13" x14ac:dyDescent="0.3">
      <c r="A48" s="53" t="s">
        <v>141</v>
      </c>
      <c r="B48" s="123" t="s">
        <v>360</v>
      </c>
      <c r="C48" s="79"/>
      <c r="D48" s="79"/>
      <c r="E48" s="79"/>
      <c r="F48" s="79"/>
      <c r="G48" s="79"/>
      <c r="H48" s="79"/>
      <c r="I48" s="79"/>
      <c r="J48" s="79"/>
      <c r="K48" s="79"/>
      <c r="L48" s="79"/>
      <c r="M48" s="79"/>
    </row>
    <row r="49" spans="1:13" ht="34.200000000000003" x14ac:dyDescent="0.3">
      <c r="A49" s="53" t="s">
        <v>139</v>
      </c>
      <c r="B49" s="122" t="s">
        <v>359</v>
      </c>
      <c r="C49" s="79"/>
      <c r="D49" s="79"/>
      <c r="E49" s="79"/>
      <c r="F49" s="79"/>
      <c r="G49" s="79"/>
      <c r="H49" s="79"/>
      <c r="I49" s="79"/>
      <c r="J49" s="79"/>
      <c r="K49" s="79"/>
      <c r="L49" s="79"/>
      <c r="M49" s="79"/>
    </row>
    <row r="50" spans="1:13" ht="45.6" x14ac:dyDescent="0.3">
      <c r="A50" s="53" t="s">
        <v>137</v>
      </c>
      <c r="B50" s="124" t="s">
        <v>358</v>
      </c>
      <c r="C50" s="79"/>
      <c r="D50" s="79"/>
      <c r="E50" s="79"/>
      <c r="F50" s="79"/>
      <c r="G50" s="79"/>
      <c r="H50" s="79"/>
      <c r="I50" s="79"/>
      <c r="J50" s="79"/>
      <c r="K50" s="79"/>
      <c r="L50" s="79"/>
      <c r="M50" s="79"/>
    </row>
    <row r="51" spans="1:13" ht="34.200000000000003" x14ac:dyDescent="0.3">
      <c r="A51" s="53" t="s">
        <v>135</v>
      </c>
      <c r="B51" s="122" t="s">
        <v>357</v>
      </c>
    </row>
    <row r="52" spans="1:13" x14ac:dyDescent="0.3">
      <c r="A52" s="53" t="s">
        <v>133</v>
      </c>
      <c r="B52" s="122" t="s">
        <v>383</v>
      </c>
    </row>
    <row r="53" spans="1:13" ht="68.400000000000006" x14ac:dyDescent="0.3">
      <c r="A53" s="53" t="s">
        <v>131</v>
      </c>
      <c r="B53" s="122" t="s">
        <v>355</v>
      </c>
    </row>
    <row r="54" spans="1:13" ht="57" x14ac:dyDescent="0.3">
      <c r="A54" s="53" t="s">
        <v>129</v>
      </c>
      <c r="B54" s="122" t="s">
        <v>354</v>
      </c>
    </row>
    <row r="55" spans="1:13" ht="45.6" x14ac:dyDescent="0.3">
      <c r="A55" s="53" t="s">
        <v>127</v>
      </c>
      <c r="B55" s="122" t="s">
        <v>353</v>
      </c>
    </row>
  </sheetData>
  <mergeCells count="12">
    <mergeCell ref="K3:K4"/>
    <mergeCell ref="L3:L4"/>
    <mergeCell ref="C45:M45"/>
    <mergeCell ref="C46:M46"/>
    <mergeCell ref="C2:L2"/>
    <mergeCell ref="G3:H4"/>
    <mergeCell ref="I3:J4"/>
    <mergeCell ref="B3:B4"/>
    <mergeCell ref="C3:C4"/>
    <mergeCell ref="D3:D4"/>
    <mergeCell ref="E3:E4"/>
    <mergeCell ref="F3:F4"/>
  </mergeCells>
  <hyperlinks>
    <hyperlink ref="C2" location="INDEX" display="Energy Transport District Heating Distribution, New Area Low Temperature" xr:uid="{D606E0B0-73A5-4F1D-800B-A5736AC06B7B}"/>
  </hyperlinks>
  <pageMargins left="0.7" right="0.7" top="0.75" bottom="0.75" header="0.3" footer="0.3"/>
  <pageSetup paperSize="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3C4A6-76A0-45DA-8A69-2A7C5596E028}">
  <sheetPr>
    <pageSetUpPr fitToPage="1"/>
  </sheetPr>
  <dimension ref="A1:Q55"/>
  <sheetViews>
    <sheetView zoomScale="110" zoomScaleNormal="110" workbookViewId="0">
      <selection activeCell="M12" sqref="M12"/>
    </sheetView>
  </sheetViews>
  <sheetFormatPr defaultColWidth="9.33203125" defaultRowHeight="14.4" x14ac:dyDescent="0.3"/>
  <cols>
    <col min="1" max="1" width="2.33203125" style="90" bestFit="1" customWidth="1"/>
    <col min="2" max="2" width="56.109375" style="90" customWidth="1"/>
    <col min="3" max="5" width="9.33203125" style="90"/>
    <col min="6" max="7" width="10" style="90" bestFit="1" customWidth="1"/>
    <col min="8" max="16" width="9.33203125" style="90"/>
    <col min="17" max="17" width="30.6640625" style="90" customWidth="1"/>
    <col min="18" max="18" width="18.5546875" style="90" customWidth="1"/>
    <col min="19" max="19" width="14.44140625" style="90" customWidth="1"/>
    <col min="20" max="20" width="10.33203125" style="90" customWidth="1"/>
    <col min="21" max="21" width="34.5546875" style="90" customWidth="1"/>
    <col min="22" max="22" width="45.6640625" style="90" customWidth="1"/>
    <col min="23" max="16384" width="9.33203125" style="90"/>
  </cols>
  <sheetData>
    <row r="1" spans="2:17" ht="15" thickBot="1" x14ac:dyDescent="0.35">
      <c r="B1" s="75"/>
    </row>
    <row r="2" spans="2:17" ht="15" thickBot="1" x14ac:dyDescent="0.35">
      <c r="B2" s="110" t="s">
        <v>197</v>
      </c>
      <c r="C2" s="210" t="s">
        <v>410</v>
      </c>
      <c r="D2" s="196"/>
      <c r="E2" s="196"/>
      <c r="F2" s="196"/>
      <c r="G2" s="196"/>
      <c r="H2" s="196"/>
      <c r="I2" s="196"/>
      <c r="J2" s="196"/>
      <c r="K2" s="197"/>
      <c r="M2" s="109"/>
    </row>
    <row r="3" spans="2:17" x14ac:dyDescent="0.3">
      <c r="B3" s="198"/>
      <c r="C3" s="200">
        <v>2020</v>
      </c>
      <c r="D3" s="200">
        <v>2030</v>
      </c>
      <c r="E3" s="200">
        <v>2050</v>
      </c>
      <c r="F3" s="202" t="s">
        <v>195</v>
      </c>
      <c r="G3" s="203"/>
      <c r="H3" s="202" t="s">
        <v>194</v>
      </c>
      <c r="I3" s="203"/>
      <c r="J3" s="200" t="s">
        <v>193</v>
      </c>
      <c r="K3" s="200" t="s">
        <v>192</v>
      </c>
      <c r="M3" s="106"/>
      <c r="Q3" s="106"/>
    </row>
    <row r="4" spans="2:17" ht="15" thickBot="1" x14ac:dyDescent="0.35">
      <c r="B4" s="199"/>
      <c r="C4" s="201"/>
      <c r="D4" s="201"/>
      <c r="E4" s="201"/>
      <c r="F4" s="204"/>
      <c r="G4" s="205"/>
      <c r="H4" s="204"/>
      <c r="I4" s="205"/>
      <c r="J4" s="201"/>
      <c r="K4" s="201"/>
      <c r="Q4" s="106"/>
    </row>
    <row r="5" spans="2:17" ht="15" thickBot="1" x14ac:dyDescent="0.35">
      <c r="B5" s="97" t="s">
        <v>191</v>
      </c>
      <c r="C5" s="104"/>
      <c r="D5" s="104"/>
      <c r="E5" s="104"/>
      <c r="F5" s="108" t="s">
        <v>190</v>
      </c>
      <c r="G5" s="108" t="s">
        <v>189</v>
      </c>
      <c r="H5" s="108" t="s">
        <v>190</v>
      </c>
      <c r="I5" s="108" t="s">
        <v>189</v>
      </c>
      <c r="J5" s="104"/>
      <c r="K5" s="103"/>
      <c r="Q5" s="106"/>
    </row>
    <row r="6" spans="2:17" ht="15" thickBot="1" x14ac:dyDescent="0.35">
      <c r="B6" s="95" t="s">
        <v>409</v>
      </c>
      <c r="C6" s="93">
        <v>0.06</v>
      </c>
      <c r="D6" s="93">
        <v>0.06</v>
      </c>
      <c r="E6" s="93">
        <v>0.06</v>
      </c>
      <c r="F6" s="93">
        <v>0.05</v>
      </c>
      <c r="G6" s="93">
        <v>0.75</v>
      </c>
      <c r="H6" s="93">
        <v>0.05</v>
      </c>
      <c r="I6" s="93">
        <v>0.75</v>
      </c>
      <c r="J6" s="93" t="s">
        <v>143</v>
      </c>
      <c r="K6" s="93">
        <v>3</v>
      </c>
      <c r="Q6" s="106"/>
    </row>
    <row r="7" spans="2:17" ht="15" thickBot="1" x14ac:dyDescent="0.35">
      <c r="B7" s="95" t="s">
        <v>408</v>
      </c>
      <c r="C7" s="93">
        <v>0.04</v>
      </c>
      <c r="D7" s="93">
        <v>0.04</v>
      </c>
      <c r="E7" s="93">
        <v>0.04</v>
      </c>
      <c r="F7" s="93">
        <v>0.03</v>
      </c>
      <c r="G7" s="93">
        <v>0.05</v>
      </c>
      <c r="H7" s="93">
        <v>0.03</v>
      </c>
      <c r="I7" s="93">
        <v>0.05</v>
      </c>
      <c r="J7" s="93" t="s">
        <v>143</v>
      </c>
      <c r="K7" s="93">
        <v>3</v>
      </c>
      <c r="Q7" s="106"/>
    </row>
    <row r="8" spans="2:17" ht="15" thickBot="1" x14ac:dyDescent="0.35">
      <c r="B8" s="95" t="s">
        <v>407</v>
      </c>
      <c r="C8" s="93">
        <v>0.02</v>
      </c>
      <c r="D8" s="93">
        <v>0.02</v>
      </c>
      <c r="E8" s="93">
        <v>0.02</v>
      </c>
      <c r="F8" s="93">
        <v>1.4999999999999999E-2</v>
      </c>
      <c r="G8" s="93">
        <v>2.5000000000000001E-2</v>
      </c>
      <c r="H8" s="93">
        <v>1.4999999999999999E-2</v>
      </c>
      <c r="I8" s="93">
        <v>2.5000000000000001E-2</v>
      </c>
      <c r="J8" s="93" t="s">
        <v>143</v>
      </c>
      <c r="K8" s="93">
        <v>3</v>
      </c>
      <c r="Q8" s="106"/>
    </row>
    <row r="9" spans="2:17" ht="15" thickBot="1" x14ac:dyDescent="0.35">
      <c r="B9" s="95" t="s">
        <v>179</v>
      </c>
      <c r="C9" s="93">
        <v>50</v>
      </c>
      <c r="D9" s="93">
        <v>50</v>
      </c>
      <c r="E9" s="93">
        <v>50</v>
      </c>
      <c r="F9" s="93">
        <v>45</v>
      </c>
      <c r="G9" s="93">
        <v>55</v>
      </c>
      <c r="H9" s="93">
        <v>45</v>
      </c>
      <c r="I9" s="93">
        <v>55</v>
      </c>
      <c r="J9" s="93"/>
      <c r="K9" s="93">
        <v>1</v>
      </c>
      <c r="Q9" s="106"/>
    </row>
    <row r="10" spans="2:17" ht="15" thickBot="1" x14ac:dyDescent="0.35">
      <c r="B10" s="95" t="s">
        <v>177</v>
      </c>
      <c r="C10" s="93">
        <v>1</v>
      </c>
      <c r="D10" s="93">
        <v>1</v>
      </c>
      <c r="E10" s="93">
        <v>1</v>
      </c>
      <c r="F10" s="93">
        <v>0.7</v>
      </c>
      <c r="G10" s="93">
        <v>1.5</v>
      </c>
      <c r="H10" s="93">
        <v>0.5</v>
      </c>
      <c r="I10" s="93">
        <v>1.5</v>
      </c>
      <c r="J10" s="93"/>
      <c r="K10" s="93">
        <v>1</v>
      </c>
      <c r="M10" s="106"/>
      <c r="O10" s="106"/>
    </row>
    <row r="11" spans="2:17" ht="15" thickBot="1" x14ac:dyDescent="0.35">
      <c r="B11" s="97" t="s">
        <v>176</v>
      </c>
      <c r="C11" s="104"/>
      <c r="D11" s="104"/>
      <c r="E11" s="104"/>
      <c r="F11" s="104"/>
      <c r="G11" s="104"/>
      <c r="H11" s="104"/>
      <c r="I11" s="104"/>
      <c r="J11" s="104"/>
      <c r="K11" s="103"/>
      <c r="M11" s="106"/>
    </row>
    <row r="12" spans="2:17" ht="15" thickBot="1" x14ac:dyDescent="0.35">
      <c r="B12" s="105" t="s">
        <v>291</v>
      </c>
      <c r="C12" s="104"/>
      <c r="D12" s="104"/>
      <c r="E12" s="104"/>
      <c r="F12" s="104"/>
      <c r="G12" s="104"/>
      <c r="H12" s="104"/>
      <c r="I12" s="104"/>
      <c r="J12" s="104"/>
      <c r="K12" s="103"/>
    </row>
    <row r="13" spans="2:17" ht="16.2" customHeight="1" thickBot="1" x14ac:dyDescent="0.35">
      <c r="B13" s="60" t="s">
        <v>406</v>
      </c>
      <c r="C13" s="100">
        <v>15</v>
      </c>
      <c r="D13" s="100">
        <v>15</v>
      </c>
      <c r="E13" s="100">
        <v>15</v>
      </c>
      <c r="F13" s="100">
        <v>12</v>
      </c>
      <c r="G13" s="100">
        <v>20</v>
      </c>
      <c r="H13" s="100">
        <v>12</v>
      </c>
      <c r="I13" s="100">
        <v>20</v>
      </c>
      <c r="J13" s="93" t="s">
        <v>141</v>
      </c>
      <c r="K13" s="93">
        <v>3</v>
      </c>
    </row>
    <row r="14" spans="2:17" ht="15" thickBot="1" x14ac:dyDescent="0.35">
      <c r="B14" s="60" t="s">
        <v>405</v>
      </c>
      <c r="C14" s="100">
        <v>8</v>
      </c>
      <c r="D14" s="100">
        <v>8</v>
      </c>
      <c r="E14" s="100">
        <v>8</v>
      </c>
      <c r="F14" s="100">
        <v>6</v>
      </c>
      <c r="G14" s="100">
        <v>10</v>
      </c>
      <c r="H14" s="100">
        <v>6</v>
      </c>
      <c r="I14" s="100">
        <v>10</v>
      </c>
      <c r="J14" s="93" t="s">
        <v>141</v>
      </c>
      <c r="K14" s="93">
        <v>3</v>
      </c>
    </row>
    <row r="15" spans="2:17" ht="15" thickBot="1" x14ac:dyDescent="0.35">
      <c r="B15" s="60" t="s">
        <v>404</v>
      </c>
      <c r="C15" s="102">
        <v>2.2999999999999998</v>
      </c>
      <c r="D15" s="102">
        <v>2.2999999999999998</v>
      </c>
      <c r="E15" s="102">
        <v>2.2999999999999998</v>
      </c>
      <c r="F15" s="102">
        <v>1.8</v>
      </c>
      <c r="G15" s="100">
        <v>3</v>
      </c>
      <c r="H15" s="102">
        <v>1.8</v>
      </c>
      <c r="I15" s="100">
        <v>3</v>
      </c>
      <c r="J15" s="93" t="s">
        <v>141</v>
      </c>
      <c r="K15" s="93">
        <v>3</v>
      </c>
    </row>
    <row r="16" spans="2:17" ht="15" thickBot="1" x14ac:dyDescent="0.35">
      <c r="B16" s="60" t="s">
        <v>403</v>
      </c>
      <c r="C16" s="100">
        <v>4</v>
      </c>
      <c r="D16" s="100">
        <v>4</v>
      </c>
      <c r="E16" s="100">
        <v>4</v>
      </c>
      <c r="F16" s="100">
        <v>3</v>
      </c>
      <c r="G16" s="100">
        <v>7</v>
      </c>
      <c r="H16" s="100">
        <v>3</v>
      </c>
      <c r="I16" s="100">
        <v>7</v>
      </c>
      <c r="J16" s="93" t="s">
        <v>139</v>
      </c>
      <c r="K16" s="93">
        <v>2</v>
      </c>
      <c r="M16" s="131"/>
    </row>
    <row r="17" spans="1:12" ht="15" thickBot="1" x14ac:dyDescent="0.35">
      <c r="B17" s="60" t="s">
        <v>402</v>
      </c>
      <c r="C17" s="101">
        <v>75</v>
      </c>
      <c r="D17" s="101">
        <v>75</v>
      </c>
      <c r="E17" s="101">
        <v>75</v>
      </c>
      <c r="F17" s="101"/>
      <c r="G17" s="101"/>
      <c r="H17" s="101"/>
      <c r="I17" s="101"/>
      <c r="J17" s="93"/>
      <c r="K17" s="93">
        <v>1</v>
      </c>
    </row>
    <row r="18" spans="1:12" ht="15" thickBot="1" x14ac:dyDescent="0.35">
      <c r="B18" s="60" t="s">
        <v>401</v>
      </c>
      <c r="C18" s="101">
        <v>25</v>
      </c>
      <c r="D18" s="101">
        <v>25</v>
      </c>
      <c r="E18" s="101">
        <v>25</v>
      </c>
      <c r="F18" s="101"/>
      <c r="G18" s="101"/>
      <c r="H18" s="101"/>
      <c r="I18" s="101"/>
      <c r="J18" s="93"/>
      <c r="K18" s="93">
        <v>1</v>
      </c>
    </row>
    <row r="19" spans="1:12" ht="15" thickBot="1" x14ac:dyDescent="0.35">
      <c r="B19" s="60" t="s">
        <v>400</v>
      </c>
      <c r="C19" s="100">
        <v>4</v>
      </c>
      <c r="D19" s="100">
        <v>4</v>
      </c>
      <c r="E19" s="100">
        <v>4</v>
      </c>
      <c r="F19" s="93">
        <v>2</v>
      </c>
      <c r="G19" s="93">
        <v>6</v>
      </c>
      <c r="H19" s="93">
        <v>2</v>
      </c>
      <c r="I19" s="93">
        <v>6</v>
      </c>
      <c r="J19" s="93" t="s">
        <v>137</v>
      </c>
      <c r="K19" s="93">
        <v>3</v>
      </c>
    </row>
    <row r="20" spans="1:12" ht="15" thickBot="1" x14ac:dyDescent="0.35">
      <c r="B20" s="60" t="s">
        <v>399</v>
      </c>
      <c r="C20" s="100">
        <v>20</v>
      </c>
      <c r="D20" s="100">
        <v>20</v>
      </c>
      <c r="E20" s="100">
        <v>20</v>
      </c>
      <c r="F20" s="100">
        <v>10</v>
      </c>
      <c r="G20" s="100">
        <v>30</v>
      </c>
      <c r="H20" s="100">
        <v>10</v>
      </c>
      <c r="I20" s="100">
        <v>30</v>
      </c>
      <c r="J20" s="93" t="s">
        <v>135</v>
      </c>
      <c r="K20" s="93">
        <v>2</v>
      </c>
    </row>
    <row r="21" spans="1:12" ht="15" thickBot="1" x14ac:dyDescent="0.35">
      <c r="B21" s="60" t="s">
        <v>398</v>
      </c>
      <c r="C21" s="100">
        <v>0</v>
      </c>
      <c r="D21" s="100">
        <v>0</v>
      </c>
      <c r="E21" s="100">
        <v>0</v>
      </c>
      <c r="F21" s="98"/>
      <c r="G21" s="98"/>
      <c r="H21" s="98"/>
      <c r="I21" s="98"/>
      <c r="J21" s="93"/>
      <c r="K21" s="93"/>
    </row>
    <row r="22" spans="1:12" ht="15" thickBot="1" x14ac:dyDescent="0.35">
      <c r="B22" s="96"/>
      <c r="C22" s="93"/>
      <c r="D22" s="93"/>
      <c r="E22" s="93"/>
      <c r="F22" s="93"/>
      <c r="G22" s="93"/>
      <c r="H22" s="93"/>
      <c r="I22" s="93"/>
      <c r="J22" s="93"/>
      <c r="K22" s="93"/>
    </row>
    <row r="23" spans="1:12" ht="15" thickBot="1" x14ac:dyDescent="0.35">
      <c r="B23" s="97" t="s">
        <v>155</v>
      </c>
      <c r="C23" s="93"/>
      <c r="D23" s="93"/>
      <c r="E23" s="93"/>
      <c r="F23" s="93"/>
      <c r="G23" s="93"/>
      <c r="H23" s="93"/>
      <c r="I23" s="93"/>
      <c r="J23" s="93"/>
      <c r="K23" s="93"/>
    </row>
    <row r="24" spans="1:12" ht="15" thickBot="1" x14ac:dyDescent="0.35">
      <c r="B24" s="96"/>
      <c r="C24" s="93"/>
      <c r="D24" s="93"/>
      <c r="E24" s="93"/>
      <c r="F24" s="93"/>
      <c r="G24" s="93"/>
      <c r="H24" s="93"/>
      <c r="I24" s="93"/>
      <c r="J24" s="93"/>
      <c r="K24" s="93"/>
    </row>
    <row r="25" spans="1:12" ht="15" thickBot="1" x14ac:dyDescent="0.35">
      <c r="B25" s="95"/>
      <c r="C25" s="93"/>
      <c r="D25" s="93"/>
      <c r="E25" s="93"/>
      <c r="F25" s="93"/>
      <c r="G25" s="93"/>
      <c r="H25" s="93"/>
      <c r="I25" s="93"/>
      <c r="J25" s="93"/>
      <c r="K25" s="93"/>
    </row>
    <row r="26" spans="1:12" x14ac:dyDescent="0.3">
      <c r="B26" s="55" t="s">
        <v>154</v>
      </c>
    </row>
    <row r="27" spans="1:12" x14ac:dyDescent="0.3">
      <c r="A27" s="53">
        <v>1</v>
      </c>
      <c r="B27" s="188" t="s">
        <v>397</v>
      </c>
      <c r="C27" s="188"/>
      <c r="D27" s="188"/>
      <c r="E27" s="188"/>
      <c r="F27" s="188"/>
      <c r="G27" s="188"/>
      <c r="H27" s="188"/>
      <c r="I27" s="188"/>
      <c r="J27" s="188"/>
      <c r="K27" s="188"/>
    </row>
    <row r="28" spans="1:12" x14ac:dyDescent="0.3">
      <c r="A28" s="53">
        <v>2</v>
      </c>
      <c r="B28" s="188" t="s">
        <v>396</v>
      </c>
      <c r="C28" s="188"/>
      <c r="D28" s="188"/>
      <c r="E28" s="188"/>
      <c r="F28" s="188"/>
      <c r="G28" s="188"/>
      <c r="H28" s="188"/>
      <c r="I28" s="188"/>
      <c r="J28" s="188"/>
      <c r="K28" s="188"/>
    </row>
    <row r="29" spans="1:12" x14ac:dyDescent="0.3">
      <c r="A29" s="53">
        <v>3</v>
      </c>
      <c r="B29" s="79" t="s">
        <v>395</v>
      </c>
      <c r="C29" s="79"/>
      <c r="D29" s="79"/>
      <c r="E29" s="79"/>
      <c r="F29" s="79"/>
      <c r="G29" s="79"/>
      <c r="H29" s="79"/>
      <c r="I29" s="79"/>
      <c r="J29" s="79"/>
      <c r="K29" s="79"/>
    </row>
    <row r="30" spans="1:12" x14ac:dyDescent="0.3">
      <c r="A30" s="53"/>
      <c r="B30" s="188"/>
      <c r="C30" s="188"/>
      <c r="D30" s="188"/>
      <c r="E30" s="188"/>
      <c r="F30" s="188"/>
      <c r="G30" s="188"/>
      <c r="H30" s="188"/>
      <c r="I30" s="188"/>
      <c r="J30" s="188"/>
      <c r="K30" s="188"/>
    </row>
    <row r="31" spans="1:12" x14ac:dyDescent="0.3">
      <c r="A31" s="53"/>
      <c r="B31" s="55" t="s">
        <v>144</v>
      </c>
      <c r="C31" s="54"/>
      <c r="D31" s="54"/>
      <c r="E31" s="54"/>
      <c r="F31" s="54"/>
      <c r="G31" s="54"/>
      <c r="H31" s="54"/>
      <c r="I31" s="54"/>
      <c r="J31" s="54"/>
      <c r="K31" s="54"/>
      <c r="L31" s="54"/>
    </row>
    <row r="32" spans="1:12" s="91" customFormat="1" ht="26.7" customHeight="1" x14ac:dyDescent="0.3">
      <c r="A32" s="92" t="s">
        <v>143</v>
      </c>
      <c r="B32" s="188" t="s">
        <v>394</v>
      </c>
      <c r="C32" s="188"/>
      <c r="D32" s="188"/>
      <c r="E32" s="188"/>
      <c r="F32" s="188"/>
      <c r="G32" s="188"/>
      <c r="H32" s="188"/>
      <c r="I32" s="188"/>
      <c r="J32" s="188"/>
      <c r="K32" s="188"/>
    </row>
    <row r="33" spans="1:12" s="91" customFormat="1" ht="44.1" customHeight="1" x14ac:dyDescent="0.3">
      <c r="A33" s="92" t="s">
        <v>141</v>
      </c>
      <c r="B33" s="188" t="s">
        <v>393</v>
      </c>
      <c r="C33" s="188"/>
      <c r="D33" s="188"/>
      <c r="E33" s="188"/>
      <c r="F33" s="188"/>
      <c r="G33" s="188"/>
      <c r="H33" s="188"/>
      <c r="I33" s="188"/>
      <c r="J33" s="188"/>
      <c r="K33" s="188"/>
    </row>
    <row r="34" spans="1:12" s="91" customFormat="1" ht="24.9" customHeight="1" x14ac:dyDescent="0.3">
      <c r="A34" s="92" t="s">
        <v>139</v>
      </c>
      <c r="B34" s="188" t="s">
        <v>392</v>
      </c>
      <c r="C34" s="188"/>
      <c r="D34" s="188"/>
      <c r="E34" s="188"/>
      <c r="F34" s="188"/>
      <c r="G34" s="188"/>
      <c r="H34" s="188"/>
      <c r="I34" s="188"/>
      <c r="J34" s="188"/>
      <c r="K34" s="188"/>
    </row>
    <row r="35" spans="1:12" s="91" customFormat="1" ht="30" customHeight="1" x14ac:dyDescent="0.3">
      <c r="A35" s="92" t="s">
        <v>137</v>
      </c>
      <c r="B35" s="188" t="s">
        <v>391</v>
      </c>
      <c r="C35" s="188"/>
      <c r="D35" s="188"/>
      <c r="E35" s="188"/>
      <c r="F35" s="188"/>
      <c r="G35" s="188"/>
      <c r="H35" s="188"/>
      <c r="I35" s="188"/>
      <c r="J35" s="188"/>
      <c r="K35" s="188"/>
    </row>
    <row r="36" spans="1:12" s="91" customFormat="1" ht="12.75" customHeight="1" x14ac:dyDescent="0.3">
      <c r="A36" s="92" t="s">
        <v>135</v>
      </c>
      <c r="B36" s="188" t="s">
        <v>390</v>
      </c>
      <c r="C36" s="188"/>
      <c r="D36" s="188"/>
      <c r="E36" s="188"/>
      <c r="F36" s="188"/>
      <c r="G36" s="188"/>
      <c r="H36" s="188"/>
      <c r="I36" s="188"/>
      <c r="J36" s="188"/>
      <c r="K36" s="188"/>
    </row>
    <row r="37" spans="1:12" s="91" customFormat="1" x14ac:dyDescent="0.3">
      <c r="A37" s="92"/>
      <c r="B37" s="188"/>
      <c r="C37" s="188"/>
      <c r="D37" s="188"/>
      <c r="E37" s="188"/>
      <c r="F37" s="188"/>
      <c r="G37" s="188"/>
      <c r="H37" s="188"/>
      <c r="I37" s="188"/>
      <c r="J37" s="188"/>
      <c r="K37" s="188"/>
    </row>
    <row r="38" spans="1:12" s="91" customFormat="1" ht="15" customHeight="1" x14ac:dyDescent="0.3">
      <c r="A38" s="92"/>
      <c r="B38" s="188"/>
      <c r="C38" s="188"/>
      <c r="D38" s="188"/>
      <c r="E38" s="188"/>
      <c r="F38" s="188"/>
      <c r="G38" s="188"/>
      <c r="H38" s="188"/>
      <c r="I38" s="188"/>
      <c r="J38" s="188"/>
      <c r="K38" s="188"/>
    </row>
    <row r="39" spans="1:12" s="91" customFormat="1" ht="15" customHeight="1" x14ac:dyDescent="0.3">
      <c r="A39" s="92"/>
      <c r="B39" s="188"/>
      <c r="C39" s="188"/>
      <c r="D39" s="188"/>
      <c r="E39" s="188"/>
      <c r="F39" s="188"/>
      <c r="G39" s="188"/>
      <c r="H39" s="188"/>
      <c r="I39" s="188"/>
      <c r="J39" s="188"/>
      <c r="K39" s="188"/>
    </row>
    <row r="40" spans="1:12" s="91" customFormat="1" x14ac:dyDescent="0.3">
      <c r="A40" s="92"/>
    </row>
    <row r="41" spans="1:12" s="91" customFormat="1" ht="15" customHeight="1" x14ac:dyDescent="0.3">
      <c r="A41" s="92"/>
      <c r="B41" s="188"/>
      <c r="C41" s="188"/>
      <c r="D41" s="188"/>
      <c r="E41" s="188"/>
      <c r="F41" s="188"/>
      <c r="G41" s="188"/>
      <c r="H41" s="188"/>
      <c r="I41" s="188"/>
      <c r="J41" s="188"/>
      <c r="K41" s="188"/>
    </row>
    <row r="42" spans="1:12" s="91" customFormat="1" ht="39.75" customHeight="1" x14ac:dyDescent="0.3">
      <c r="A42" s="92"/>
      <c r="B42" s="188"/>
      <c r="C42" s="188"/>
      <c r="D42" s="188"/>
      <c r="E42" s="188"/>
      <c r="F42" s="188"/>
      <c r="G42" s="188"/>
      <c r="H42" s="188"/>
      <c r="I42" s="188"/>
      <c r="J42" s="188"/>
      <c r="K42" s="188"/>
    </row>
    <row r="43" spans="1:12" x14ac:dyDescent="0.3">
      <c r="A43" s="53"/>
    </row>
    <row r="44" spans="1:12" ht="36.75" customHeight="1" x14ac:dyDescent="0.3">
      <c r="A44" s="53"/>
      <c r="C44" s="188"/>
      <c r="D44" s="188"/>
      <c r="E44" s="188"/>
      <c r="F44" s="188"/>
      <c r="G44" s="188"/>
      <c r="H44" s="188"/>
      <c r="I44" s="188"/>
      <c r="J44" s="188"/>
      <c r="K44" s="188"/>
      <c r="L44" s="188"/>
    </row>
    <row r="45" spans="1:12" ht="39" customHeight="1" x14ac:dyDescent="0.3">
      <c r="A45" s="53"/>
      <c r="C45" s="188"/>
      <c r="D45" s="188"/>
      <c r="E45" s="188"/>
      <c r="F45" s="188"/>
      <c r="G45" s="188"/>
      <c r="H45" s="188"/>
      <c r="I45" s="188"/>
      <c r="J45" s="188"/>
      <c r="K45" s="188"/>
      <c r="L45" s="188"/>
    </row>
    <row r="46" spans="1:12" x14ac:dyDescent="0.3">
      <c r="A46" s="53"/>
    </row>
    <row r="47" spans="1:12" x14ac:dyDescent="0.3">
      <c r="A47" s="53"/>
    </row>
    <row r="48" spans="1:12" x14ac:dyDescent="0.3">
      <c r="A48" s="53"/>
    </row>
    <row r="49" spans="1:1" x14ac:dyDescent="0.3">
      <c r="A49" s="53"/>
    </row>
    <row r="50" spans="1:1" x14ac:dyDescent="0.3">
      <c r="A50" s="53"/>
    </row>
    <row r="51" spans="1:1" x14ac:dyDescent="0.3">
      <c r="A51" s="53"/>
    </row>
    <row r="52" spans="1:1" x14ac:dyDescent="0.3">
      <c r="A52" s="53"/>
    </row>
    <row r="53" spans="1:1" x14ac:dyDescent="0.3">
      <c r="A53" s="53"/>
    </row>
    <row r="54" spans="1:1" x14ac:dyDescent="0.3">
      <c r="A54" s="53"/>
    </row>
    <row r="55" spans="1:1" x14ac:dyDescent="0.3">
      <c r="A55" s="53"/>
    </row>
  </sheetData>
  <mergeCells count="24">
    <mergeCell ref="B33:K33"/>
    <mergeCell ref="B34:K34"/>
    <mergeCell ref="C2:K2"/>
    <mergeCell ref="B3:B4"/>
    <mergeCell ref="C3:C4"/>
    <mergeCell ref="D3:D4"/>
    <mergeCell ref="E3:E4"/>
    <mergeCell ref="F3:G4"/>
    <mergeCell ref="H3:I4"/>
    <mergeCell ref="J3:J4"/>
    <mergeCell ref="K3:K4"/>
    <mergeCell ref="B27:K27"/>
    <mergeCell ref="B28:K28"/>
    <mergeCell ref="B30:K30"/>
    <mergeCell ref="B32:K32"/>
    <mergeCell ref="B41:K41"/>
    <mergeCell ref="B42:K42"/>
    <mergeCell ref="C44:L44"/>
    <mergeCell ref="C45:L45"/>
    <mergeCell ref="B35:K35"/>
    <mergeCell ref="B36:K36"/>
    <mergeCell ref="B38:K38"/>
    <mergeCell ref="B39:K39"/>
    <mergeCell ref="B37:K37"/>
  </mergeCells>
  <hyperlinks>
    <hyperlink ref="C2" location="INDEX" display="CO2 pipeline transport " xr:uid="{D3308A2B-2F0C-411F-915A-7FE4014DAFF9}"/>
  </hyperlinks>
  <pageMargins left="0.7" right="0.7" top="0.75" bottom="0.75" header="0.3" footer="0.3"/>
  <pageSetup paperSize="9" scale="2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4FA65-E3EA-41E2-9418-C1C4DFCD1CA3}">
  <dimension ref="A1:M31"/>
  <sheetViews>
    <sheetView zoomScaleNormal="100" workbookViewId="0">
      <selection activeCell="M12" sqref="M12"/>
    </sheetView>
  </sheetViews>
  <sheetFormatPr defaultColWidth="9.33203125" defaultRowHeight="14.4" x14ac:dyDescent="0.3"/>
  <cols>
    <col min="1" max="1" width="2.33203125" style="90" bestFit="1" customWidth="1"/>
    <col min="2" max="2" width="41" style="90" customWidth="1"/>
    <col min="3" max="5" width="9.33203125" style="90"/>
    <col min="6" max="7" width="10" style="90" bestFit="1" customWidth="1"/>
    <col min="8" max="9" width="9.33203125" style="90"/>
    <col min="10" max="10" width="12.5546875" style="90" customWidth="1"/>
    <col min="11" max="12" width="9.33203125" style="90"/>
    <col min="13" max="13" width="32.33203125" style="90" customWidth="1"/>
    <col min="14" max="14" width="29.33203125" style="90" customWidth="1"/>
    <col min="15" max="17" width="9.33203125" style="90"/>
    <col min="18" max="18" width="30.6640625" style="90" customWidth="1"/>
    <col min="19" max="19" width="29.33203125" style="90" customWidth="1"/>
    <col min="20" max="16384" width="9.33203125" style="90"/>
  </cols>
  <sheetData>
    <row r="1" spans="2:13" ht="15" thickBot="1" x14ac:dyDescent="0.35">
      <c r="B1" s="75"/>
    </row>
    <row r="2" spans="2:13" ht="15" thickBot="1" x14ac:dyDescent="0.35">
      <c r="B2" s="110" t="s">
        <v>197</v>
      </c>
      <c r="C2" s="210" t="s">
        <v>418</v>
      </c>
      <c r="D2" s="206"/>
      <c r="E2" s="206"/>
      <c r="F2" s="206"/>
      <c r="G2" s="206"/>
      <c r="H2" s="206"/>
      <c r="I2" s="206"/>
      <c r="J2" s="206"/>
      <c r="K2" s="207"/>
      <c r="M2" s="109"/>
    </row>
    <row r="3" spans="2:13" x14ac:dyDescent="0.3">
      <c r="B3" s="198"/>
      <c r="C3" s="200">
        <v>2020</v>
      </c>
      <c r="D3" s="200">
        <v>2030</v>
      </c>
      <c r="E3" s="200">
        <v>2050</v>
      </c>
      <c r="F3" s="202" t="s">
        <v>195</v>
      </c>
      <c r="G3" s="203"/>
      <c r="H3" s="202" t="s">
        <v>194</v>
      </c>
      <c r="I3" s="203"/>
      <c r="J3" s="200" t="s">
        <v>193</v>
      </c>
      <c r="K3" s="200" t="s">
        <v>192</v>
      </c>
    </row>
    <row r="4" spans="2:13" ht="15" thickBot="1" x14ac:dyDescent="0.35">
      <c r="B4" s="199"/>
      <c r="C4" s="201"/>
      <c r="D4" s="201"/>
      <c r="E4" s="201"/>
      <c r="F4" s="204"/>
      <c r="G4" s="205"/>
      <c r="H4" s="204"/>
      <c r="I4" s="205"/>
      <c r="J4" s="201"/>
      <c r="K4" s="201"/>
    </row>
    <row r="5" spans="2:13" ht="15" thickBot="1" x14ac:dyDescent="0.35">
      <c r="B5" s="97" t="s">
        <v>191</v>
      </c>
      <c r="C5" s="104"/>
      <c r="D5" s="104"/>
      <c r="E5" s="104"/>
      <c r="F5" s="108" t="s">
        <v>190</v>
      </c>
      <c r="G5" s="108" t="s">
        <v>189</v>
      </c>
      <c r="H5" s="108" t="s">
        <v>190</v>
      </c>
      <c r="I5" s="108" t="s">
        <v>189</v>
      </c>
      <c r="J5" s="104"/>
      <c r="K5" s="103"/>
    </row>
    <row r="6" spans="2:13" ht="15" thickBot="1" x14ac:dyDescent="0.35">
      <c r="B6" s="95"/>
      <c r="C6" s="99"/>
      <c r="D6" s="99"/>
      <c r="E6" s="99"/>
      <c r="F6" s="93"/>
      <c r="G6" s="93"/>
      <c r="H6" s="93"/>
      <c r="I6" s="93"/>
      <c r="J6" s="93"/>
      <c r="K6" s="93"/>
    </row>
    <row r="7" spans="2:13" ht="15" thickBot="1" x14ac:dyDescent="0.35">
      <c r="B7" s="60" t="s">
        <v>417</v>
      </c>
      <c r="C7" s="115">
        <v>0.17</v>
      </c>
      <c r="D7" s="115">
        <v>0.16</v>
      </c>
      <c r="E7" s="115">
        <v>0.13</v>
      </c>
      <c r="F7" s="115"/>
      <c r="G7" s="115"/>
      <c r="H7" s="115"/>
      <c r="I7" s="115"/>
      <c r="J7" s="93" t="s">
        <v>143</v>
      </c>
      <c r="K7" s="93">
        <v>1</v>
      </c>
    </row>
    <row r="8" spans="2:13" ht="15" thickBot="1" x14ac:dyDescent="0.35">
      <c r="B8" s="95" t="s">
        <v>179</v>
      </c>
      <c r="C8" s="93">
        <v>10</v>
      </c>
      <c r="D8" s="93">
        <v>10</v>
      </c>
      <c r="E8" s="93">
        <v>10</v>
      </c>
      <c r="F8" s="93"/>
      <c r="G8" s="93"/>
      <c r="H8" s="93"/>
      <c r="I8" s="93"/>
      <c r="J8" s="93" t="s">
        <v>141</v>
      </c>
      <c r="K8" s="93"/>
    </row>
    <row r="9" spans="2:13" ht="15" thickBot="1" x14ac:dyDescent="0.35">
      <c r="B9" s="113" t="s">
        <v>177</v>
      </c>
      <c r="C9" s="93">
        <v>0.5</v>
      </c>
      <c r="D9" s="93">
        <v>0.5</v>
      </c>
      <c r="E9" s="93">
        <v>0.5</v>
      </c>
      <c r="F9" s="93"/>
      <c r="G9" s="93"/>
      <c r="H9" s="93"/>
      <c r="I9" s="93"/>
      <c r="J9" s="93"/>
      <c r="K9" s="93"/>
    </row>
    <row r="10" spans="2:13" ht="15" thickBot="1" x14ac:dyDescent="0.35">
      <c r="B10" s="95"/>
      <c r="C10" s="93"/>
      <c r="D10" s="93"/>
      <c r="E10" s="93"/>
      <c r="F10" s="93"/>
      <c r="G10" s="93"/>
      <c r="H10" s="93"/>
      <c r="I10" s="93"/>
      <c r="J10" s="93"/>
      <c r="K10" s="93"/>
    </row>
    <row r="11" spans="2:13" ht="15" thickBot="1" x14ac:dyDescent="0.35">
      <c r="B11" s="97" t="s">
        <v>176</v>
      </c>
      <c r="C11" s="104"/>
      <c r="D11" s="104"/>
      <c r="E11" s="104"/>
      <c r="F11" s="104"/>
      <c r="G11" s="104"/>
      <c r="H11" s="104"/>
      <c r="I11" s="104"/>
      <c r="J11" s="104"/>
      <c r="K11" s="103"/>
    </row>
    <row r="12" spans="2:13" ht="15" customHeight="1" thickBot="1" x14ac:dyDescent="0.35">
      <c r="B12" s="80" t="s">
        <v>416</v>
      </c>
      <c r="C12" s="93">
        <v>3.8</v>
      </c>
      <c r="D12" s="93">
        <v>3.8</v>
      </c>
      <c r="E12" s="93">
        <v>3.8</v>
      </c>
      <c r="F12" s="93"/>
      <c r="G12" s="93"/>
      <c r="H12" s="93"/>
      <c r="I12" s="93"/>
      <c r="J12" s="93" t="s">
        <v>139</v>
      </c>
      <c r="K12" s="93">
        <v>2</v>
      </c>
    </row>
    <row r="13" spans="2:13" ht="15" customHeight="1" thickBot="1" x14ac:dyDescent="0.35">
      <c r="B13" s="80" t="s">
        <v>415</v>
      </c>
      <c r="C13" s="93">
        <v>0.14000000000000001</v>
      </c>
      <c r="D13" s="93">
        <v>0.14000000000000001</v>
      </c>
      <c r="E13" s="93">
        <v>0.14000000000000001</v>
      </c>
      <c r="F13" s="93"/>
      <c r="G13" s="93"/>
      <c r="H13" s="93"/>
      <c r="I13" s="93"/>
      <c r="J13" s="93" t="s">
        <v>139</v>
      </c>
      <c r="K13" s="93">
        <v>2</v>
      </c>
    </row>
    <row r="14" spans="2:13" ht="15" thickBot="1" x14ac:dyDescent="0.35">
      <c r="B14" s="80"/>
      <c r="C14" s="93"/>
      <c r="D14" s="93"/>
      <c r="E14" s="93"/>
      <c r="F14" s="93"/>
      <c r="G14" s="93"/>
      <c r="H14" s="93"/>
      <c r="I14" s="93"/>
      <c r="J14" s="93"/>
      <c r="K14" s="93"/>
    </row>
    <row r="15" spans="2:13" ht="15" thickBot="1" x14ac:dyDescent="0.35">
      <c r="B15" s="96"/>
      <c r="C15" s="93"/>
      <c r="D15" s="93"/>
      <c r="E15" s="93"/>
      <c r="F15" s="93"/>
      <c r="G15" s="93"/>
      <c r="H15" s="93"/>
      <c r="I15" s="93"/>
      <c r="J15" s="93"/>
      <c r="K15" s="93"/>
    </row>
    <row r="16" spans="2:13" ht="15" thickBot="1" x14ac:dyDescent="0.35">
      <c r="B16" s="97" t="s">
        <v>155</v>
      </c>
      <c r="C16" s="93"/>
      <c r="D16" s="93"/>
      <c r="E16" s="93"/>
      <c r="F16" s="93"/>
      <c r="G16" s="93"/>
      <c r="H16" s="93"/>
      <c r="I16" s="93"/>
      <c r="J16" s="93"/>
      <c r="K16" s="93"/>
    </row>
    <row r="17" spans="1:13" ht="15" thickBot="1" x14ac:dyDescent="0.35">
      <c r="B17" s="96"/>
      <c r="C17" s="93"/>
      <c r="D17" s="93"/>
      <c r="E17" s="93"/>
      <c r="F17" s="93"/>
      <c r="G17" s="93"/>
      <c r="H17" s="93"/>
      <c r="I17" s="93"/>
      <c r="J17" s="93"/>
      <c r="K17" s="93"/>
    </row>
    <row r="18" spans="1:13" ht="15" thickBot="1" x14ac:dyDescent="0.35">
      <c r="B18" s="95"/>
      <c r="C18" s="93"/>
      <c r="D18" s="93"/>
      <c r="E18" s="93"/>
      <c r="F18" s="93"/>
      <c r="G18" s="93"/>
      <c r="H18" s="93"/>
      <c r="I18" s="93"/>
      <c r="J18" s="93"/>
      <c r="K18" s="93"/>
    </row>
    <row r="19" spans="1:13" x14ac:dyDescent="0.3">
      <c r="B19" s="55" t="s">
        <v>154</v>
      </c>
    </row>
    <row r="20" spans="1:13" ht="15" customHeight="1" x14ac:dyDescent="0.3">
      <c r="A20" s="53">
        <v>1</v>
      </c>
      <c r="B20" s="208" t="s">
        <v>414</v>
      </c>
      <c r="C20" s="208"/>
      <c r="D20" s="208"/>
      <c r="E20" s="208"/>
      <c r="F20" s="208"/>
      <c r="G20" s="208"/>
      <c r="H20" s="208"/>
      <c r="I20" s="208"/>
      <c r="J20" s="208"/>
      <c r="K20" s="208"/>
    </row>
    <row r="21" spans="1:13" x14ac:dyDescent="0.3">
      <c r="A21" s="53">
        <v>2</v>
      </c>
      <c r="B21" s="208" t="s">
        <v>395</v>
      </c>
      <c r="C21" s="208"/>
      <c r="D21" s="208"/>
      <c r="E21" s="208"/>
      <c r="F21" s="208"/>
      <c r="G21" s="208"/>
      <c r="H21" s="208"/>
      <c r="I21" s="208"/>
      <c r="J21" s="208"/>
      <c r="K21" s="208"/>
    </row>
    <row r="22" spans="1:13" ht="23.25" customHeight="1" x14ac:dyDescent="0.3">
      <c r="A22" s="53"/>
      <c r="B22" s="55" t="s">
        <v>144</v>
      </c>
      <c r="C22" s="54"/>
      <c r="D22" s="54"/>
      <c r="E22" s="54"/>
      <c r="F22" s="54"/>
      <c r="G22" s="54"/>
      <c r="H22" s="54"/>
      <c r="I22" s="54"/>
      <c r="J22" s="54"/>
      <c r="K22" s="54"/>
      <c r="L22" s="54"/>
    </row>
    <row r="23" spans="1:13" x14ac:dyDescent="0.3">
      <c r="A23" s="92" t="s">
        <v>143</v>
      </c>
      <c r="B23" s="188" t="s">
        <v>413</v>
      </c>
      <c r="C23" s="188"/>
      <c r="D23" s="188"/>
      <c r="E23" s="188"/>
      <c r="F23" s="188"/>
      <c r="G23" s="188"/>
      <c r="H23" s="188"/>
      <c r="I23" s="188"/>
      <c r="J23" s="188"/>
      <c r="K23" s="188"/>
      <c r="L23" s="79"/>
    </row>
    <row r="24" spans="1:13" ht="15" customHeight="1" x14ac:dyDescent="0.3">
      <c r="A24" s="92" t="s">
        <v>141</v>
      </c>
      <c r="B24" s="188" t="s">
        <v>412</v>
      </c>
      <c r="C24" s="188"/>
      <c r="D24" s="188"/>
      <c r="E24" s="188"/>
      <c r="F24" s="188"/>
      <c r="G24" s="188"/>
      <c r="H24" s="188"/>
      <c r="I24" s="188"/>
      <c r="J24" s="188"/>
      <c r="K24" s="188"/>
      <c r="L24" s="79"/>
    </row>
    <row r="25" spans="1:13" ht="39.75" customHeight="1" x14ac:dyDescent="0.3">
      <c r="A25" s="92" t="s">
        <v>139</v>
      </c>
      <c r="B25" s="188" t="s">
        <v>411</v>
      </c>
      <c r="C25" s="188"/>
      <c r="D25" s="188"/>
      <c r="E25" s="188"/>
      <c r="F25" s="188"/>
      <c r="G25" s="188"/>
      <c r="H25" s="188"/>
      <c r="I25" s="188"/>
      <c r="J25" s="188"/>
      <c r="K25" s="188"/>
      <c r="L25" s="79"/>
    </row>
    <row r="26" spans="1:13" x14ac:dyDescent="0.3">
      <c r="A26" s="92" t="s">
        <v>137</v>
      </c>
      <c r="B26" s="188"/>
      <c r="C26" s="188"/>
      <c r="D26" s="188"/>
      <c r="E26" s="188"/>
      <c r="F26" s="188"/>
      <c r="G26" s="188"/>
      <c r="H26" s="188"/>
      <c r="I26" s="188"/>
      <c r="J26" s="188"/>
      <c r="K26" s="188"/>
      <c r="L26" s="79"/>
    </row>
    <row r="27" spans="1:13" x14ac:dyDescent="0.3">
      <c r="A27" s="92" t="s">
        <v>135</v>
      </c>
      <c r="B27" s="188"/>
      <c r="C27" s="188"/>
      <c r="D27" s="188"/>
      <c r="E27" s="188"/>
      <c r="F27" s="188"/>
      <c r="G27" s="188"/>
      <c r="H27" s="188"/>
      <c r="I27" s="188"/>
      <c r="J27" s="188"/>
      <c r="K27" s="188"/>
      <c r="L27" s="79"/>
    </row>
    <row r="28" spans="1:13" ht="14.25" customHeight="1" x14ac:dyDescent="0.3">
      <c r="A28" s="92"/>
      <c r="B28" s="188"/>
      <c r="C28" s="188"/>
      <c r="D28" s="188"/>
      <c r="E28" s="188"/>
      <c r="F28" s="188"/>
      <c r="G28" s="188"/>
      <c r="H28" s="188"/>
      <c r="I28" s="188"/>
      <c r="J28" s="188"/>
      <c r="K28" s="188"/>
      <c r="L28" s="79"/>
    </row>
    <row r="29" spans="1:13" ht="15" customHeight="1" x14ac:dyDescent="0.3">
      <c r="A29" s="92"/>
      <c r="B29" s="188"/>
      <c r="C29" s="188"/>
      <c r="D29" s="188"/>
      <c r="E29" s="188"/>
      <c r="F29" s="188"/>
      <c r="G29" s="188"/>
      <c r="H29" s="188"/>
      <c r="I29" s="188"/>
      <c r="J29" s="188"/>
      <c r="K29" s="188"/>
      <c r="L29" s="79"/>
    </row>
    <row r="30" spans="1:13" x14ac:dyDescent="0.3">
      <c r="A30" s="92"/>
      <c r="B30" s="188"/>
      <c r="C30" s="188"/>
      <c r="D30" s="188"/>
      <c r="E30" s="188"/>
      <c r="F30" s="188"/>
      <c r="G30" s="188"/>
      <c r="H30" s="188"/>
      <c r="I30" s="188"/>
      <c r="J30" s="188"/>
      <c r="K30" s="188"/>
      <c r="L30" s="79"/>
      <c r="M30" s="90" t="s">
        <v>295</v>
      </c>
    </row>
    <row r="31" spans="1:13" ht="15" customHeight="1" x14ac:dyDescent="0.3">
      <c r="A31" s="92"/>
      <c r="B31" s="188"/>
      <c r="C31" s="188"/>
      <c r="D31" s="188"/>
      <c r="E31" s="188"/>
      <c r="F31" s="188"/>
      <c r="G31" s="188"/>
      <c r="H31" s="188"/>
      <c r="I31" s="188"/>
      <c r="J31" s="188"/>
      <c r="K31" s="188"/>
      <c r="L31" s="79"/>
    </row>
  </sheetData>
  <mergeCells count="20">
    <mergeCell ref="B23:K23"/>
    <mergeCell ref="B24:K24"/>
    <mergeCell ref="C2:K2"/>
    <mergeCell ref="B3:B4"/>
    <mergeCell ref="C3:C4"/>
    <mergeCell ref="D3:D4"/>
    <mergeCell ref="E3:E4"/>
    <mergeCell ref="F3:G4"/>
    <mergeCell ref="H3:I4"/>
    <mergeCell ref="J3:J4"/>
    <mergeCell ref="K3:K4"/>
    <mergeCell ref="B20:K20"/>
    <mergeCell ref="B21:K21"/>
    <mergeCell ref="B31:K31"/>
    <mergeCell ref="B25:K25"/>
    <mergeCell ref="B26:K26"/>
    <mergeCell ref="B27:K27"/>
    <mergeCell ref="B28:K28"/>
    <mergeCell ref="B29:K29"/>
    <mergeCell ref="B30:K30"/>
  </mergeCells>
  <hyperlinks>
    <hyperlink ref="C2" location="INDEX" display="CO₂ road transport by tanker truck" xr:uid="{EDD0574E-7EE5-4FCD-B6EF-2C321FAD417B}"/>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768E-DC79-4867-B632-2415A53709DF}">
  <dimension ref="A1:M37"/>
  <sheetViews>
    <sheetView zoomScaleNormal="100" workbookViewId="0">
      <selection activeCell="M12" sqref="M12"/>
    </sheetView>
  </sheetViews>
  <sheetFormatPr defaultColWidth="9.33203125" defaultRowHeight="14.4" x14ac:dyDescent="0.3"/>
  <cols>
    <col min="1" max="1" width="2.33203125" style="90" bestFit="1" customWidth="1"/>
    <col min="2" max="2" width="41" style="90" customWidth="1"/>
    <col min="3" max="5" width="9.33203125" style="90"/>
    <col min="6" max="7" width="10" style="90" bestFit="1" customWidth="1"/>
    <col min="8" max="9" width="9.33203125" style="90"/>
    <col min="10" max="10" width="12.5546875" style="90" customWidth="1"/>
    <col min="11" max="12" width="9.33203125" style="90"/>
    <col min="13" max="13" width="32.33203125" style="90" customWidth="1"/>
    <col min="14" max="14" width="29.33203125" style="90" customWidth="1"/>
    <col min="15" max="17" width="9.33203125" style="90"/>
    <col min="18" max="18" width="30.6640625" style="90" customWidth="1"/>
    <col min="19" max="19" width="29.33203125" style="90" customWidth="1"/>
    <col min="20" max="16384" width="9.33203125" style="90"/>
  </cols>
  <sheetData>
    <row r="1" spans="2:13" ht="15" thickBot="1" x14ac:dyDescent="0.35">
      <c r="B1" s="75"/>
    </row>
    <row r="2" spans="2:13" ht="15" thickBot="1" x14ac:dyDescent="0.35">
      <c r="B2" s="110" t="s">
        <v>197</v>
      </c>
      <c r="C2" s="210" t="s">
        <v>435</v>
      </c>
      <c r="D2" s="206"/>
      <c r="E2" s="206"/>
      <c r="F2" s="206"/>
      <c r="G2" s="206"/>
      <c r="H2" s="206"/>
      <c r="I2" s="206"/>
      <c r="J2" s="206"/>
      <c r="K2" s="207"/>
      <c r="M2" s="109"/>
    </row>
    <row r="3" spans="2:13" x14ac:dyDescent="0.3">
      <c r="B3" s="198"/>
      <c r="C3" s="200">
        <v>2020</v>
      </c>
      <c r="D3" s="200">
        <v>2030</v>
      </c>
      <c r="E3" s="200">
        <v>2050</v>
      </c>
      <c r="F3" s="202" t="s">
        <v>195</v>
      </c>
      <c r="G3" s="203"/>
      <c r="H3" s="202" t="s">
        <v>194</v>
      </c>
      <c r="I3" s="203"/>
      <c r="J3" s="200" t="s">
        <v>193</v>
      </c>
      <c r="K3" s="200" t="s">
        <v>192</v>
      </c>
    </row>
    <row r="4" spans="2:13" ht="15" thickBot="1" x14ac:dyDescent="0.35">
      <c r="B4" s="199"/>
      <c r="C4" s="201"/>
      <c r="D4" s="201"/>
      <c r="E4" s="201"/>
      <c r="F4" s="204"/>
      <c r="G4" s="205"/>
      <c r="H4" s="204"/>
      <c r="I4" s="205"/>
      <c r="J4" s="201"/>
      <c r="K4" s="201"/>
    </row>
    <row r="5" spans="2:13" ht="15" thickBot="1" x14ac:dyDescent="0.35">
      <c r="B5" s="97" t="s">
        <v>191</v>
      </c>
      <c r="C5" s="104"/>
      <c r="D5" s="104"/>
      <c r="E5" s="104"/>
      <c r="F5" s="108" t="s">
        <v>190</v>
      </c>
      <c r="G5" s="108" t="s">
        <v>189</v>
      </c>
      <c r="H5" s="108" t="s">
        <v>190</v>
      </c>
      <c r="I5" s="108" t="s">
        <v>189</v>
      </c>
      <c r="J5" s="104"/>
      <c r="K5" s="103"/>
    </row>
    <row r="6" spans="2:13" ht="15" thickBot="1" x14ac:dyDescent="0.35">
      <c r="B6" s="95" t="s">
        <v>434</v>
      </c>
      <c r="C6" s="100">
        <v>90</v>
      </c>
      <c r="D6" s="100">
        <v>90</v>
      </c>
      <c r="E6" s="100">
        <v>80</v>
      </c>
      <c r="F6" s="93">
        <v>80</v>
      </c>
      <c r="G6" s="93">
        <v>200</v>
      </c>
      <c r="H6" s="93">
        <v>60</v>
      </c>
      <c r="I6" s="93">
        <v>160</v>
      </c>
      <c r="J6" s="93" t="s">
        <v>143</v>
      </c>
      <c r="K6" s="93">
        <v>1</v>
      </c>
    </row>
    <row r="7" spans="2:13" ht="15" thickBot="1" x14ac:dyDescent="0.35">
      <c r="B7" s="95" t="s">
        <v>433</v>
      </c>
      <c r="C7" s="115">
        <v>180</v>
      </c>
      <c r="D7" s="134">
        <v>180</v>
      </c>
      <c r="E7" s="134">
        <v>150</v>
      </c>
      <c r="F7" s="115">
        <v>160</v>
      </c>
      <c r="G7" s="115">
        <v>280</v>
      </c>
      <c r="H7" s="115">
        <v>140</v>
      </c>
      <c r="I7" s="115">
        <v>240</v>
      </c>
      <c r="J7" s="93" t="s">
        <v>143</v>
      </c>
      <c r="K7" s="93">
        <v>1</v>
      </c>
    </row>
    <row r="8" spans="2:13" ht="15" thickBot="1" x14ac:dyDescent="0.35">
      <c r="B8" s="95" t="s">
        <v>432</v>
      </c>
      <c r="C8" s="93">
        <v>40</v>
      </c>
      <c r="D8" s="93">
        <v>40</v>
      </c>
      <c r="E8" s="93">
        <v>40</v>
      </c>
      <c r="F8" s="93"/>
      <c r="G8" s="93"/>
      <c r="H8" s="93"/>
      <c r="I8" s="93"/>
      <c r="J8" s="93"/>
      <c r="K8" s="93">
        <v>2</v>
      </c>
    </row>
    <row r="9" spans="2:13" ht="15" thickBot="1" x14ac:dyDescent="0.35">
      <c r="B9" s="113" t="s">
        <v>177</v>
      </c>
      <c r="C9" s="93">
        <v>2</v>
      </c>
      <c r="D9" s="93">
        <v>2</v>
      </c>
      <c r="E9" s="93">
        <v>2</v>
      </c>
      <c r="F9" s="93">
        <v>1.5</v>
      </c>
      <c r="G9" s="93">
        <v>2.5</v>
      </c>
      <c r="H9" s="93">
        <v>1.5</v>
      </c>
      <c r="I9" s="93">
        <v>2.5</v>
      </c>
      <c r="J9" s="93"/>
      <c r="K9" s="93"/>
    </row>
    <row r="10" spans="2:13" ht="15" thickBot="1" x14ac:dyDescent="0.35">
      <c r="B10" s="95"/>
      <c r="C10" s="93"/>
      <c r="D10" s="93"/>
      <c r="E10" s="93"/>
      <c r="F10" s="93"/>
      <c r="G10" s="93"/>
      <c r="H10" s="93"/>
      <c r="I10" s="93"/>
      <c r="J10" s="93"/>
      <c r="K10" s="93"/>
    </row>
    <row r="11" spans="2:13" ht="15" thickBot="1" x14ac:dyDescent="0.35">
      <c r="B11" s="97" t="s">
        <v>176</v>
      </c>
      <c r="C11" s="104"/>
      <c r="D11" s="104"/>
      <c r="E11" s="104"/>
      <c r="F11" s="104"/>
      <c r="G11" s="104"/>
      <c r="H11" s="104"/>
      <c r="I11" s="104"/>
      <c r="J11" s="104"/>
      <c r="K11" s="103"/>
    </row>
    <row r="12" spans="2:13" ht="15" thickBot="1" x14ac:dyDescent="0.35">
      <c r="B12" s="133" t="s">
        <v>431</v>
      </c>
      <c r="C12" s="132">
        <v>10000</v>
      </c>
      <c r="D12" s="132">
        <v>9500</v>
      </c>
      <c r="E12" s="132">
        <v>8000</v>
      </c>
      <c r="F12" s="132">
        <v>7000</v>
      </c>
      <c r="G12" s="132">
        <v>13000</v>
      </c>
      <c r="H12" s="132">
        <v>5000</v>
      </c>
      <c r="I12" s="132">
        <v>10000</v>
      </c>
      <c r="J12" s="132" t="s">
        <v>141</v>
      </c>
      <c r="K12" s="132">
        <v>3</v>
      </c>
    </row>
    <row r="13" spans="2:13" ht="15" customHeight="1" thickBot="1" x14ac:dyDescent="0.35">
      <c r="B13" s="133" t="s">
        <v>430</v>
      </c>
      <c r="C13" s="132">
        <v>6500</v>
      </c>
      <c r="D13" s="132">
        <v>6200</v>
      </c>
      <c r="E13" s="132">
        <v>5000</v>
      </c>
      <c r="F13" s="132">
        <v>5000</v>
      </c>
      <c r="G13" s="132">
        <v>6500</v>
      </c>
      <c r="H13" s="132">
        <v>3000</v>
      </c>
      <c r="I13" s="132">
        <v>6500</v>
      </c>
      <c r="J13" s="132" t="s">
        <v>141</v>
      </c>
      <c r="K13" s="132">
        <v>3</v>
      </c>
    </row>
    <row r="14" spans="2:13" ht="15" customHeight="1" thickBot="1" x14ac:dyDescent="0.35">
      <c r="B14" s="60" t="s">
        <v>429</v>
      </c>
      <c r="C14" s="100">
        <f t="shared" ref="C14:I15" si="0">0.05*C12</f>
        <v>500</v>
      </c>
      <c r="D14" s="100">
        <f t="shared" si="0"/>
        <v>475</v>
      </c>
      <c r="E14" s="100">
        <f t="shared" si="0"/>
        <v>400</v>
      </c>
      <c r="F14" s="100">
        <f t="shared" si="0"/>
        <v>350</v>
      </c>
      <c r="G14" s="100">
        <f t="shared" si="0"/>
        <v>650</v>
      </c>
      <c r="H14" s="100">
        <f t="shared" si="0"/>
        <v>250</v>
      </c>
      <c r="I14" s="100">
        <f t="shared" si="0"/>
        <v>500</v>
      </c>
      <c r="J14" s="93" t="s">
        <v>139</v>
      </c>
      <c r="K14" s="93">
        <v>3</v>
      </c>
    </row>
    <row r="15" spans="2:13" ht="15" thickBot="1" x14ac:dyDescent="0.35">
      <c r="B15" s="60" t="s">
        <v>428</v>
      </c>
      <c r="C15" s="100">
        <f t="shared" si="0"/>
        <v>325</v>
      </c>
      <c r="D15" s="100">
        <f t="shared" si="0"/>
        <v>310</v>
      </c>
      <c r="E15" s="100">
        <f t="shared" si="0"/>
        <v>250</v>
      </c>
      <c r="F15" s="100">
        <f t="shared" si="0"/>
        <v>250</v>
      </c>
      <c r="G15" s="100">
        <f t="shared" si="0"/>
        <v>325</v>
      </c>
      <c r="H15" s="100">
        <f t="shared" si="0"/>
        <v>150</v>
      </c>
      <c r="I15" s="100">
        <f t="shared" si="0"/>
        <v>325</v>
      </c>
      <c r="J15" s="93" t="s">
        <v>139</v>
      </c>
      <c r="K15" s="93">
        <v>3</v>
      </c>
    </row>
    <row r="16" spans="2:13" ht="15" thickBot="1" x14ac:dyDescent="0.35">
      <c r="B16" s="60" t="s">
        <v>427</v>
      </c>
      <c r="C16" s="93">
        <v>0</v>
      </c>
      <c r="D16" s="93">
        <v>0</v>
      </c>
      <c r="E16" s="93">
        <v>0</v>
      </c>
      <c r="F16" s="93"/>
      <c r="G16" s="93"/>
      <c r="H16" s="93"/>
      <c r="I16" s="93"/>
      <c r="J16" s="93" t="s">
        <v>137</v>
      </c>
      <c r="K16" s="93"/>
    </row>
    <row r="17" spans="1:12" ht="15" thickBot="1" x14ac:dyDescent="0.35">
      <c r="B17" s="60" t="s">
        <v>426</v>
      </c>
      <c r="C17" s="100">
        <v>0</v>
      </c>
      <c r="D17" s="100">
        <v>0</v>
      </c>
      <c r="E17" s="100">
        <v>0</v>
      </c>
      <c r="F17" s="93"/>
      <c r="G17" s="100"/>
      <c r="H17" s="93"/>
      <c r="I17" s="100"/>
      <c r="J17" s="93" t="s">
        <v>137</v>
      </c>
      <c r="K17" s="93"/>
    </row>
    <row r="18" spans="1:12" ht="15" thickBot="1" x14ac:dyDescent="0.35">
      <c r="B18" s="60"/>
      <c r="C18" s="100"/>
      <c r="D18" s="100"/>
      <c r="E18" s="100"/>
      <c r="F18" s="93"/>
      <c r="G18" s="100"/>
      <c r="H18" s="93"/>
      <c r="I18" s="100"/>
      <c r="J18" s="93"/>
      <c r="K18" s="93"/>
    </row>
    <row r="19" spans="1:12" ht="15" customHeight="1" thickBot="1" x14ac:dyDescent="0.35">
      <c r="B19" s="60"/>
      <c r="C19" s="100"/>
      <c r="D19" s="93"/>
      <c r="E19" s="93"/>
      <c r="F19" s="93"/>
      <c r="G19" s="93"/>
      <c r="H19" s="93"/>
      <c r="I19" s="93"/>
      <c r="J19" s="93"/>
      <c r="K19" s="93"/>
    </row>
    <row r="20" spans="1:12" ht="15" thickBot="1" x14ac:dyDescent="0.35">
      <c r="B20" s="60"/>
      <c r="C20" s="93"/>
      <c r="D20" s="93"/>
      <c r="E20" s="93"/>
      <c r="F20" s="93"/>
      <c r="G20" s="93"/>
      <c r="H20" s="93"/>
      <c r="I20" s="93"/>
      <c r="J20" s="93"/>
      <c r="K20" s="93"/>
    </row>
    <row r="21" spans="1:12" ht="15" thickBot="1" x14ac:dyDescent="0.35">
      <c r="B21" s="97" t="s">
        <v>155</v>
      </c>
      <c r="C21" s="93"/>
      <c r="D21" s="93"/>
      <c r="E21" s="93"/>
      <c r="F21" s="93"/>
      <c r="G21" s="93"/>
      <c r="H21" s="93"/>
      <c r="I21" s="93"/>
      <c r="J21" s="93"/>
      <c r="K21" s="93"/>
    </row>
    <row r="22" spans="1:12" ht="15" thickBot="1" x14ac:dyDescent="0.35">
      <c r="B22" s="96"/>
      <c r="C22" s="93"/>
      <c r="D22" s="93"/>
      <c r="E22" s="93"/>
      <c r="F22" s="93"/>
      <c r="G22" s="93"/>
      <c r="H22" s="93"/>
      <c r="I22" s="93"/>
      <c r="J22" s="93"/>
      <c r="K22" s="93"/>
    </row>
    <row r="23" spans="1:12" ht="15" thickBot="1" x14ac:dyDescent="0.35">
      <c r="B23" s="95"/>
      <c r="C23" s="93"/>
      <c r="D23" s="93"/>
      <c r="E23" s="93"/>
      <c r="F23" s="93"/>
      <c r="G23" s="93"/>
      <c r="H23" s="93"/>
      <c r="I23" s="93"/>
      <c r="J23" s="93"/>
      <c r="K23" s="93"/>
    </row>
    <row r="24" spans="1:12" x14ac:dyDescent="0.3">
      <c r="B24" s="55" t="s">
        <v>154</v>
      </c>
    </row>
    <row r="25" spans="1:12" ht="15" customHeight="1" x14ac:dyDescent="0.3">
      <c r="A25" s="53">
        <v>1</v>
      </c>
      <c r="B25" s="208" t="s">
        <v>425</v>
      </c>
      <c r="C25" s="208"/>
      <c r="D25" s="208"/>
      <c r="E25" s="208"/>
      <c r="F25" s="208"/>
      <c r="G25" s="208"/>
      <c r="H25" s="208"/>
      <c r="I25" s="208"/>
      <c r="J25" s="208"/>
      <c r="K25" s="208"/>
    </row>
    <row r="26" spans="1:12" ht="15" customHeight="1" x14ac:dyDescent="0.3">
      <c r="A26" s="53">
        <v>2</v>
      </c>
      <c r="B26" s="208" t="s">
        <v>424</v>
      </c>
      <c r="C26" s="208"/>
      <c r="D26" s="208"/>
      <c r="E26" s="208"/>
      <c r="F26" s="208"/>
      <c r="G26" s="208"/>
      <c r="H26" s="208"/>
      <c r="I26" s="208"/>
      <c r="J26" s="208"/>
      <c r="K26" s="208"/>
    </row>
    <row r="27" spans="1:12" ht="15" customHeight="1" x14ac:dyDescent="0.3">
      <c r="A27" s="53">
        <v>3</v>
      </c>
      <c r="B27" s="208" t="s">
        <v>423</v>
      </c>
      <c r="C27" s="208"/>
      <c r="D27" s="208"/>
      <c r="E27" s="208"/>
      <c r="F27" s="208"/>
      <c r="G27" s="208"/>
      <c r="H27" s="208"/>
      <c r="I27" s="208"/>
      <c r="J27" s="208"/>
      <c r="K27" s="208"/>
    </row>
    <row r="28" spans="1:12" ht="23.25" customHeight="1" x14ac:dyDescent="0.3">
      <c r="A28" s="53"/>
      <c r="B28" s="55" t="s">
        <v>144</v>
      </c>
      <c r="C28" s="54"/>
      <c r="D28" s="54"/>
      <c r="E28" s="54"/>
      <c r="F28" s="54"/>
      <c r="G28" s="54"/>
      <c r="H28" s="54"/>
      <c r="I28" s="54"/>
      <c r="J28" s="54"/>
      <c r="K28" s="54"/>
      <c r="L28" s="54"/>
    </row>
    <row r="29" spans="1:12" ht="13.2" customHeight="1" x14ac:dyDescent="0.3">
      <c r="A29" s="92" t="s">
        <v>143</v>
      </c>
      <c r="B29" s="188" t="s">
        <v>422</v>
      </c>
      <c r="C29" s="188"/>
      <c r="D29" s="188"/>
      <c r="E29" s="188"/>
      <c r="F29" s="188"/>
      <c r="G29" s="188"/>
      <c r="H29" s="188"/>
      <c r="I29" s="188"/>
      <c r="J29" s="188"/>
      <c r="K29" s="188"/>
      <c r="L29" s="79"/>
    </row>
    <row r="30" spans="1:12" ht="24.45" customHeight="1" x14ac:dyDescent="0.3">
      <c r="A30" s="92" t="s">
        <v>141</v>
      </c>
      <c r="B30" s="188" t="s">
        <v>421</v>
      </c>
      <c r="C30" s="188"/>
      <c r="D30" s="188"/>
      <c r="E30" s="188"/>
      <c r="F30" s="188"/>
      <c r="G30" s="188"/>
      <c r="H30" s="188"/>
      <c r="I30" s="188"/>
      <c r="J30" s="188"/>
      <c r="K30" s="188"/>
      <c r="L30" s="79"/>
    </row>
    <row r="31" spans="1:12" ht="15" customHeight="1" x14ac:dyDescent="0.3">
      <c r="A31" s="92" t="s">
        <v>139</v>
      </c>
      <c r="B31" s="188" t="s">
        <v>420</v>
      </c>
      <c r="C31" s="188"/>
      <c r="D31" s="188"/>
      <c r="E31" s="188"/>
      <c r="F31" s="188"/>
      <c r="G31" s="188"/>
      <c r="H31" s="188"/>
      <c r="I31" s="188"/>
      <c r="J31" s="188"/>
      <c r="K31" s="188"/>
      <c r="L31" s="79"/>
    </row>
    <row r="32" spans="1:12" ht="16.95" customHeight="1" x14ac:dyDescent="0.3">
      <c r="A32" s="92" t="s">
        <v>137</v>
      </c>
      <c r="B32" s="188" t="s">
        <v>419</v>
      </c>
      <c r="C32" s="188"/>
      <c r="D32" s="188"/>
      <c r="E32" s="188"/>
      <c r="F32" s="188"/>
      <c r="G32" s="188"/>
      <c r="H32" s="188"/>
      <c r="I32" s="188"/>
      <c r="J32" s="188"/>
      <c r="K32" s="188"/>
      <c r="L32" s="79"/>
    </row>
    <row r="33" spans="1:13" x14ac:dyDescent="0.3">
      <c r="A33" s="92" t="s">
        <v>135</v>
      </c>
      <c r="L33" s="79"/>
    </row>
    <row r="34" spans="1:13" ht="14.25" customHeight="1" x14ac:dyDescent="0.3">
      <c r="A34" s="92" t="s">
        <v>133</v>
      </c>
      <c r="B34" s="188"/>
      <c r="C34" s="188"/>
      <c r="D34" s="188"/>
      <c r="E34" s="188"/>
      <c r="F34" s="188"/>
      <c r="G34" s="188"/>
      <c r="H34" s="188"/>
      <c r="I34" s="188"/>
      <c r="J34" s="188"/>
      <c r="K34" s="188"/>
      <c r="L34" s="79"/>
    </row>
    <row r="35" spans="1:13" ht="15" customHeight="1" x14ac:dyDescent="0.3">
      <c r="A35" s="92" t="s">
        <v>131</v>
      </c>
      <c r="B35" s="188"/>
      <c r="C35" s="188"/>
      <c r="D35" s="188"/>
      <c r="E35" s="188"/>
      <c r="F35" s="188"/>
      <c r="G35" s="188"/>
      <c r="H35" s="188"/>
      <c r="I35" s="188"/>
      <c r="J35" s="188"/>
      <c r="K35" s="188"/>
      <c r="L35" s="79"/>
    </row>
    <row r="36" spans="1:13" x14ac:dyDescent="0.3">
      <c r="A36" s="92" t="s">
        <v>129</v>
      </c>
      <c r="B36" s="188"/>
      <c r="C36" s="188"/>
      <c r="D36" s="188"/>
      <c r="E36" s="188"/>
      <c r="F36" s="188"/>
      <c r="G36" s="188"/>
      <c r="H36" s="188"/>
      <c r="I36" s="188"/>
      <c r="J36" s="188"/>
      <c r="K36" s="188"/>
      <c r="L36" s="79"/>
      <c r="M36" s="90" t="s">
        <v>295</v>
      </c>
    </row>
    <row r="37" spans="1:13" ht="15" customHeight="1" x14ac:dyDescent="0.3">
      <c r="A37" s="92" t="s">
        <v>127</v>
      </c>
      <c r="B37" s="188"/>
      <c r="C37" s="188"/>
      <c r="D37" s="188"/>
      <c r="E37" s="188"/>
      <c r="F37" s="188"/>
      <c r="G37" s="188"/>
      <c r="H37" s="188"/>
      <c r="I37" s="188"/>
      <c r="J37" s="188"/>
      <c r="K37" s="188"/>
      <c r="L37" s="79"/>
    </row>
  </sheetData>
  <mergeCells count="20">
    <mergeCell ref="B26:K26"/>
    <mergeCell ref="B29:K29"/>
    <mergeCell ref="B25:K25"/>
    <mergeCell ref="B27:K27"/>
    <mergeCell ref="B30:K30"/>
    <mergeCell ref="C2:K2"/>
    <mergeCell ref="B3:B4"/>
    <mergeCell ref="C3:C4"/>
    <mergeCell ref="D3:D4"/>
    <mergeCell ref="E3:E4"/>
    <mergeCell ref="F3:G4"/>
    <mergeCell ref="H3:I4"/>
    <mergeCell ref="J3:J4"/>
    <mergeCell ref="K3:K4"/>
    <mergeCell ref="B31:K31"/>
    <mergeCell ref="B34:K34"/>
    <mergeCell ref="B35:K35"/>
    <mergeCell ref="B36:K36"/>
    <mergeCell ref="B37:K37"/>
    <mergeCell ref="B32:K32"/>
  </mergeCells>
  <hyperlinks>
    <hyperlink ref="C2" location="INDEX" display="CO₂ ship transportation" xr:uid="{EAE19C35-CABE-463D-A1BB-A9D0E0EE31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73F94-F918-4BD7-A039-F71DBC2A9F59}">
  <dimension ref="A1:M34"/>
  <sheetViews>
    <sheetView zoomScaleNormal="100" workbookViewId="0">
      <selection activeCell="M12" sqref="M12"/>
    </sheetView>
  </sheetViews>
  <sheetFormatPr defaultColWidth="9.33203125" defaultRowHeight="14.4" x14ac:dyDescent="0.3"/>
  <cols>
    <col min="1" max="1" width="2.33203125" style="90" bestFit="1" customWidth="1"/>
    <col min="2" max="2" width="41" style="90" customWidth="1"/>
    <col min="3" max="5" width="9.33203125" style="90"/>
    <col min="6" max="7" width="10" style="90" bestFit="1" customWidth="1"/>
    <col min="8" max="9" width="9.33203125" style="90"/>
    <col min="10" max="10" width="12.5546875" style="90" customWidth="1"/>
    <col min="11" max="12" width="9.33203125" style="90"/>
    <col min="13" max="13" width="32.33203125" style="90" customWidth="1"/>
    <col min="14" max="14" width="29.33203125" style="90" customWidth="1"/>
    <col min="15" max="17" width="9.33203125" style="90"/>
    <col min="18" max="18" width="30.6640625" style="90" customWidth="1"/>
    <col min="19" max="19" width="29.33203125" style="90" customWidth="1"/>
    <col min="20" max="16384" width="9.33203125" style="90"/>
  </cols>
  <sheetData>
    <row r="1" spans="2:13" ht="15" thickBot="1" x14ac:dyDescent="0.35">
      <c r="B1" s="75"/>
    </row>
    <row r="2" spans="2:13" ht="15" thickBot="1" x14ac:dyDescent="0.35">
      <c r="B2" s="110" t="s">
        <v>197</v>
      </c>
      <c r="C2" s="210" t="s">
        <v>447</v>
      </c>
      <c r="D2" s="206"/>
      <c r="E2" s="206"/>
      <c r="F2" s="206"/>
      <c r="G2" s="206"/>
      <c r="H2" s="206"/>
      <c r="I2" s="206"/>
      <c r="J2" s="206"/>
      <c r="K2" s="207"/>
      <c r="M2" s="109"/>
    </row>
    <row r="3" spans="2:13" x14ac:dyDescent="0.3">
      <c r="B3" s="198"/>
      <c r="C3" s="200">
        <v>2020</v>
      </c>
      <c r="D3" s="200">
        <v>2030</v>
      </c>
      <c r="E3" s="200">
        <v>2050</v>
      </c>
      <c r="F3" s="202" t="s">
        <v>195</v>
      </c>
      <c r="G3" s="203"/>
      <c r="H3" s="202" t="s">
        <v>194</v>
      </c>
      <c r="I3" s="203"/>
      <c r="J3" s="200" t="s">
        <v>193</v>
      </c>
      <c r="K3" s="200" t="s">
        <v>192</v>
      </c>
    </row>
    <row r="4" spans="2:13" ht="15" thickBot="1" x14ac:dyDescent="0.35">
      <c r="B4" s="199"/>
      <c r="C4" s="201"/>
      <c r="D4" s="201"/>
      <c r="E4" s="201"/>
      <c r="F4" s="204"/>
      <c r="G4" s="205"/>
      <c r="H4" s="204"/>
      <c r="I4" s="205"/>
      <c r="J4" s="201"/>
      <c r="K4" s="201"/>
    </row>
    <row r="5" spans="2:13" ht="15" thickBot="1" x14ac:dyDescent="0.35">
      <c r="B5" s="97" t="s">
        <v>191</v>
      </c>
      <c r="C5" s="104"/>
      <c r="D5" s="104"/>
      <c r="E5" s="104"/>
      <c r="F5" s="108" t="s">
        <v>190</v>
      </c>
      <c r="G5" s="108" t="s">
        <v>189</v>
      </c>
      <c r="H5" s="108" t="s">
        <v>190</v>
      </c>
      <c r="I5" s="108" t="s">
        <v>189</v>
      </c>
      <c r="J5" s="104"/>
      <c r="K5" s="103"/>
    </row>
    <row r="6" spans="2:13" ht="15" thickBot="1" x14ac:dyDescent="0.35">
      <c r="B6" s="95" t="s">
        <v>446</v>
      </c>
      <c r="C6" s="99">
        <v>0.2</v>
      </c>
      <c r="D6" s="99">
        <v>0.2</v>
      </c>
      <c r="E6" s="99">
        <v>0.15</v>
      </c>
      <c r="F6" s="93">
        <v>0.1</v>
      </c>
      <c r="G6" s="93">
        <v>0.3</v>
      </c>
      <c r="H6" s="93">
        <v>0.1</v>
      </c>
      <c r="I6" s="93">
        <v>0.2</v>
      </c>
      <c r="J6" s="93" t="s">
        <v>143</v>
      </c>
      <c r="K6" s="93">
        <v>1</v>
      </c>
    </row>
    <row r="7" spans="2:13" ht="15" thickBot="1" x14ac:dyDescent="0.35">
      <c r="B7" s="95" t="s">
        <v>445</v>
      </c>
      <c r="C7" s="93">
        <v>25</v>
      </c>
      <c r="D7" s="93">
        <v>25</v>
      </c>
      <c r="E7" s="93">
        <v>25</v>
      </c>
      <c r="F7" s="115"/>
      <c r="G7" s="115"/>
      <c r="H7" s="115"/>
      <c r="I7" s="115"/>
      <c r="J7" s="93"/>
      <c r="K7" s="93">
        <v>1</v>
      </c>
    </row>
    <row r="8" spans="2:13" ht="15" thickBot="1" x14ac:dyDescent="0.35">
      <c r="B8" s="113" t="s">
        <v>177</v>
      </c>
      <c r="C8" s="93">
        <v>2</v>
      </c>
      <c r="D8" s="93">
        <v>2</v>
      </c>
      <c r="E8" s="93">
        <v>2</v>
      </c>
      <c r="F8" s="93"/>
      <c r="G8" s="93"/>
      <c r="H8" s="93"/>
      <c r="I8" s="93"/>
      <c r="J8" s="93"/>
      <c r="K8" s="93">
        <v>1</v>
      </c>
    </row>
    <row r="9" spans="2:13" ht="15" thickBot="1" x14ac:dyDescent="0.35">
      <c r="B9" s="113"/>
      <c r="C9" s="93"/>
      <c r="D9" s="93"/>
      <c r="E9" s="93"/>
      <c r="F9" s="93"/>
      <c r="G9" s="93"/>
      <c r="H9" s="93"/>
      <c r="I9" s="93"/>
      <c r="J9" s="93"/>
      <c r="K9" s="93"/>
    </row>
    <row r="10" spans="2:13" ht="15" thickBot="1" x14ac:dyDescent="0.35">
      <c r="B10" s="97" t="s">
        <v>176</v>
      </c>
      <c r="C10" s="104"/>
      <c r="D10" s="104"/>
      <c r="E10" s="104"/>
      <c r="F10" s="104"/>
      <c r="G10" s="104"/>
      <c r="H10" s="104"/>
      <c r="I10" s="104"/>
      <c r="J10" s="104"/>
      <c r="K10" s="103"/>
    </row>
    <row r="11" spans="2:13" ht="15" thickBot="1" x14ac:dyDescent="0.35">
      <c r="B11" s="80"/>
      <c r="C11" s="93"/>
      <c r="D11" s="93"/>
      <c r="E11" s="93"/>
      <c r="F11" s="93"/>
      <c r="G11" s="93"/>
      <c r="H11" s="93"/>
      <c r="I11" s="93"/>
      <c r="J11" s="93"/>
      <c r="K11" s="93"/>
    </row>
    <row r="12" spans="2:13" ht="15" customHeight="1" thickBot="1" x14ac:dyDescent="0.35">
      <c r="B12" s="80" t="s">
        <v>444</v>
      </c>
      <c r="C12" s="93">
        <v>2500</v>
      </c>
      <c r="D12" s="93">
        <v>2300</v>
      </c>
      <c r="E12" s="93">
        <v>2000</v>
      </c>
      <c r="F12" s="93">
        <v>2000</v>
      </c>
      <c r="G12" s="93">
        <v>3000</v>
      </c>
      <c r="H12" s="93">
        <v>1400</v>
      </c>
      <c r="I12" s="93">
        <v>2400</v>
      </c>
      <c r="J12" s="93" t="s">
        <v>141</v>
      </c>
      <c r="K12" s="93">
        <v>1</v>
      </c>
    </row>
    <row r="13" spans="2:13" ht="15" customHeight="1" thickBot="1" x14ac:dyDescent="0.35">
      <c r="B13" s="80" t="s">
        <v>443</v>
      </c>
      <c r="C13" s="93">
        <v>1500</v>
      </c>
      <c r="D13" s="93">
        <v>1400</v>
      </c>
      <c r="E13" s="93">
        <v>1200</v>
      </c>
      <c r="F13" s="93">
        <v>1200</v>
      </c>
      <c r="G13" s="93">
        <v>1800</v>
      </c>
      <c r="H13" s="93">
        <v>1000</v>
      </c>
      <c r="I13" s="93">
        <v>1400</v>
      </c>
      <c r="J13" s="93" t="s">
        <v>141</v>
      </c>
      <c r="K13" s="93">
        <v>1</v>
      </c>
    </row>
    <row r="14" spans="2:13" ht="15" thickBot="1" x14ac:dyDescent="0.35">
      <c r="B14" s="60" t="s">
        <v>442</v>
      </c>
      <c r="C14" s="93">
        <f t="shared" ref="C14:E15" si="0">0.03*C12</f>
        <v>75</v>
      </c>
      <c r="D14" s="93">
        <f t="shared" si="0"/>
        <v>69</v>
      </c>
      <c r="E14" s="93">
        <f t="shared" si="0"/>
        <v>60</v>
      </c>
      <c r="F14" s="93"/>
      <c r="G14" s="93"/>
      <c r="H14" s="93"/>
      <c r="I14" s="93"/>
      <c r="J14" s="93" t="s">
        <v>139</v>
      </c>
      <c r="K14" s="93">
        <v>1</v>
      </c>
    </row>
    <row r="15" spans="2:13" ht="15" thickBot="1" x14ac:dyDescent="0.35">
      <c r="B15" s="60" t="s">
        <v>441</v>
      </c>
      <c r="C15" s="93">
        <f t="shared" si="0"/>
        <v>45</v>
      </c>
      <c r="D15" s="93">
        <f t="shared" si="0"/>
        <v>42</v>
      </c>
      <c r="E15" s="93">
        <f t="shared" si="0"/>
        <v>36</v>
      </c>
      <c r="F15" s="93"/>
      <c r="G15" s="93"/>
      <c r="H15" s="93"/>
      <c r="I15" s="93"/>
      <c r="J15" s="93" t="s">
        <v>139</v>
      </c>
      <c r="K15" s="93">
        <v>1</v>
      </c>
    </row>
    <row r="16" spans="2:13" ht="15" thickBot="1" x14ac:dyDescent="0.35">
      <c r="B16" s="60" t="s">
        <v>440</v>
      </c>
      <c r="C16" s="100">
        <v>0</v>
      </c>
      <c r="D16" s="100">
        <v>0</v>
      </c>
      <c r="E16" s="100">
        <v>0</v>
      </c>
      <c r="F16" s="93"/>
      <c r="G16" s="100"/>
      <c r="H16" s="93"/>
      <c r="I16" s="100"/>
      <c r="J16" s="93" t="s">
        <v>137</v>
      </c>
      <c r="K16" s="93">
        <v>1</v>
      </c>
    </row>
    <row r="17" spans="1:12" ht="15" thickBot="1" x14ac:dyDescent="0.35">
      <c r="B17" s="60"/>
      <c r="C17" s="100"/>
      <c r="D17" s="100"/>
      <c r="E17" s="100"/>
      <c r="F17" s="93"/>
      <c r="G17" s="100"/>
      <c r="H17" s="93"/>
      <c r="I17" s="100"/>
      <c r="J17" s="93"/>
      <c r="K17" s="93"/>
    </row>
    <row r="18" spans="1:12" ht="15" thickBot="1" x14ac:dyDescent="0.35">
      <c r="B18" s="60"/>
      <c r="C18" s="93"/>
      <c r="D18" s="93"/>
      <c r="E18" s="93"/>
      <c r="F18" s="93"/>
      <c r="G18" s="93"/>
      <c r="H18" s="93"/>
      <c r="I18" s="93"/>
      <c r="J18" s="93"/>
      <c r="K18" s="93"/>
    </row>
    <row r="19" spans="1:12" ht="15" thickBot="1" x14ac:dyDescent="0.35">
      <c r="B19" s="97" t="s">
        <v>155</v>
      </c>
      <c r="C19" s="93"/>
      <c r="D19" s="93"/>
      <c r="E19" s="93"/>
      <c r="F19" s="93"/>
      <c r="G19" s="93"/>
      <c r="H19" s="93"/>
      <c r="I19" s="93"/>
      <c r="J19" s="93"/>
      <c r="K19" s="93"/>
    </row>
    <row r="20" spans="1:12" ht="15" thickBot="1" x14ac:dyDescent="0.35">
      <c r="B20" s="96"/>
      <c r="C20" s="93"/>
      <c r="D20" s="93"/>
      <c r="E20" s="93"/>
      <c r="F20" s="93"/>
      <c r="G20" s="93"/>
      <c r="H20" s="93"/>
      <c r="I20" s="93"/>
      <c r="J20" s="93"/>
      <c r="K20" s="93"/>
    </row>
    <row r="21" spans="1:12" ht="15" thickBot="1" x14ac:dyDescent="0.35">
      <c r="B21" s="95"/>
      <c r="C21" s="93"/>
      <c r="D21" s="93"/>
      <c r="E21" s="93"/>
      <c r="F21" s="93"/>
      <c r="G21" s="93"/>
      <c r="H21" s="93"/>
      <c r="I21" s="93"/>
      <c r="J21" s="93"/>
      <c r="K21" s="93"/>
    </row>
    <row r="22" spans="1:12" x14ac:dyDescent="0.3">
      <c r="B22" s="55" t="s">
        <v>154</v>
      </c>
    </row>
    <row r="23" spans="1:12" ht="15" customHeight="1" x14ac:dyDescent="0.3">
      <c r="A23" s="53">
        <v>1</v>
      </c>
      <c r="B23" s="208" t="s">
        <v>395</v>
      </c>
      <c r="C23" s="208"/>
      <c r="D23" s="208"/>
      <c r="E23" s="208"/>
      <c r="F23" s="208"/>
      <c r="G23" s="208"/>
      <c r="H23" s="208"/>
      <c r="I23" s="208"/>
      <c r="J23" s="208"/>
      <c r="K23" s="208"/>
    </row>
    <row r="24" spans="1:12" x14ac:dyDescent="0.3">
      <c r="A24" s="53">
        <v>2</v>
      </c>
      <c r="B24" s="208"/>
      <c r="C24" s="208"/>
      <c r="D24" s="208"/>
      <c r="E24" s="208"/>
      <c r="F24" s="208"/>
      <c r="G24" s="208"/>
      <c r="H24" s="208"/>
      <c r="I24" s="208"/>
      <c r="J24" s="208"/>
      <c r="K24" s="208"/>
    </row>
    <row r="25" spans="1:12" ht="23.25" customHeight="1" x14ac:dyDescent="0.3">
      <c r="A25" s="53"/>
      <c r="B25" s="55" t="s">
        <v>144</v>
      </c>
      <c r="C25" s="54"/>
      <c r="D25" s="54"/>
      <c r="E25" s="54"/>
      <c r="F25" s="54"/>
      <c r="G25" s="54"/>
      <c r="H25" s="54"/>
      <c r="I25" s="54"/>
      <c r="J25" s="54"/>
      <c r="K25" s="54"/>
      <c r="L25" s="54"/>
    </row>
    <row r="26" spans="1:12" ht="18.45" customHeight="1" x14ac:dyDescent="0.3">
      <c r="A26" s="92" t="s">
        <v>143</v>
      </c>
      <c r="B26" s="188" t="s">
        <v>439</v>
      </c>
      <c r="C26" s="188"/>
      <c r="D26" s="188"/>
      <c r="E26" s="188"/>
      <c r="F26" s="188"/>
      <c r="G26" s="188"/>
      <c r="H26" s="188"/>
      <c r="I26" s="188"/>
      <c r="J26" s="188"/>
      <c r="K26" s="188"/>
      <c r="L26" s="79"/>
    </row>
    <row r="27" spans="1:12" ht="27.9" customHeight="1" x14ac:dyDescent="0.3">
      <c r="A27" s="92" t="s">
        <v>141</v>
      </c>
      <c r="B27" s="188" t="s">
        <v>438</v>
      </c>
      <c r="C27" s="188"/>
      <c r="D27" s="188"/>
      <c r="E27" s="188"/>
      <c r="F27" s="188"/>
      <c r="G27" s="188"/>
      <c r="H27" s="188"/>
      <c r="I27" s="188"/>
      <c r="J27" s="188"/>
      <c r="K27" s="188"/>
      <c r="L27" s="79"/>
    </row>
    <row r="28" spans="1:12" ht="15" customHeight="1" x14ac:dyDescent="0.3">
      <c r="A28" s="92" t="s">
        <v>139</v>
      </c>
      <c r="B28" s="188" t="s">
        <v>437</v>
      </c>
      <c r="C28" s="188"/>
      <c r="D28" s="188"/>
      <c r="E28" s="188"/>
      <c r="F28" s="188"/>
      <c r="G28" s="188"/>
      <c r="H28" s="188"/>
      <c r="I28" s="188"/>
      <c r="J28" s="188"/>
      <c r="K28" s="188"/>
      <c r="L28" s="79"/>
    </row>
    <row r="29" spans="1:12" x14ac:dyDescent="0.3">
      <c r="A29" s="92" t="s">
        <v>137</v>
      </c>
      <c r="B29" s="188" t="s">
        <v>436</v>
      </c>
      <c r="C29" s="188"/>
      <c r="D29" s="188"/>
      <c r="E29" s="188"/>
      <c r="F29" s="188"/>
      <c r="G29" s="188"/>
      <c r="H29" s="188"/>
      <c r="I29" s="188"/>
      <c r="J29" s="188"/>
      <c r="K29" s="188"/>
      <c r="L29" s="79"/>
    </row>
    <row r="30" spans="1:12" x14ac:dyDescent="0.3">
      <c r="A30" s="92"/>
      <c r="B30" s="188"/>
      <c r="C30" s="188"/>
      <c r="D30" s="188"/>
      <c r="E30" s="188"/>
      <c r="F30" s="188"/>
      <c r="G30" s="188"/>
      <c r="H30" s="188"/>
      <c r="I30" s="188"/>
      <c r="J30" s="188"/>
      <c r="K30" s="188"/>
      <c r="L30" s="79"/>
    </row>
    <row r="31" spans="1:12" ht="14.25" customHeight="1" x14ac:dyDescent="0.3">
      <c r="A31" s="92"/>
      <c r="B31" s="188"/>
      <c r="C31" s="188"/>
      <c r="D31" s="188"/>
      <c r="E31" s="188"/>
      <c r="F31" s="188"/>
      <c r="G31" s="188"/>
      <c r="H31" s="188"/>
      <c r="I31" s="188"/>
      <c r="J31" s="188"/>
      <c r="K31" s="188"/>
      <c r="L31" s="79"/>
    </row>
    <row r="32" spans="1:12" ht="15" customHeight="1" x14ac:dyDescent="0.3">
      <c r="A32" s="92"/>
      <c r="B32" s="188"/>
      <c r="C32" s="188"/>
      <c r="D32" s="188"/>
      <c r="E32" s="188"/>
      <c r="F32" s="188"/>
      <c r="G32" s="188"/>
      <c r="H32" s="188"/>
      <c r="I32" s="188"/>
      <c r="J32" s="188"/>
      <c r="K32" s="188"/>
      <c r="L32" s="79"/>
    </row>
    <row r="33" spans="1:13" x14ac:dyDescent="0.3">
      <c r="A33" s="92"/>
      <c r="B33" s="188"/>
      <c r="C33" s="188"/>
      <c r="D33" s="188"/>
      <c r="E33" s="188"/>
      <c r="F33" s="188"/>
      <c r="G33" s="188"/>
      <c r="H33" s="188"/>
      <c r="I33" s="188"/>
      <c r="J33" s="188"/>
      <c r="K33" s="188"/>
      <c r="L33" s="79"/>
      <c r="M33" s="90" t="s">
        <v>295</v>
      </c>
    </row>
    <row r="34" spans="1:13" ht="15" customHeight="1" x14ac:dyDescent="0.3">
      <c r="A34" s="92"/>
      <c r="B34" s="188"/>
      <c r="C34" s="188"/>
      <c r="D34" s="188"/>
      <c r="E34" s="188"/>
      <c r="F34" s="188"/>
      <c r="G34" s="188"/>
      <c r="H34" s="188"/>
      <c r="I34" s="188"/>
      <c r="J34" s="188"/>
      <c r="K34" s="188"/>
      <c r="L34" s="79"/>
    </row>
  </sheetData>
  <mergeCells count="20">
    <mergeCell ref="B29:K29"/>
    <mergeCell ref="B23:K23"/>
    <mergeCell ref="B24:K24"/>
    <mergeCell ref="B26:K26"/>
    <mergeCell ref="B27:K27"/>
    <mergeCell ref="B28:K28"/>
    <mergeCell ref="B30:K30"/>
    <mergeCell ref="B31:K31"/>
    <mergeCell ref="B32:K32"/>
    <mergeCell ref="B33:K33"/>
    <mergeCell ref="B34:K34"/>
    <mergeCell ref="C2:K2"/>
    <mergeCell ref="B3:B4"/>
    <mergeCell ref="C3:C4"/>
    <mergeCell ref="D3:D4"/>
    <mergeCell ref="E3:E4"/>
    <mergeCell ref="F3:G4"/>
    <mergeCell ref="H3:I4"/>
    <mergeCell ref="J3:J4"/>
    <mergeCell ref="K3:K4"/>
  </mergeCells>
  <hyperlinks>
    <hyperlink ref="C2" location="INDEX" display="CO₂ terminals" xr:uid="{8B415692-72D9-4A59-BCBD-E2DCBACBCE4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B3C3-86EE-4E71-B6BE-D42525D45570}">
  <sheetPr>
    <pageSetUpPr fitToPage="1"/>
  </sheetPr>
  <dimension ref="A1:T62"/>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42.6640625" style="90" customWidth="1"/>
    <col min="3" max="3" width="10" style="90" bestFit="1" customWidth="1"/>
    <col min="4" max="5" width="9.33203125" style="90"/>
    <col min="6" max="7" width="10" style="90" bestFit="1" customWidth="1"/>
    <col min="8" max="9" width="9.33203125" style="90"/>
    <col min="10" max="10" width="9.33203125" style="90" customWidth="1"/>
    <col min="11" max="11" width="10.44140625" style="90" hidden="1" customWidth="1"/>
    <col min="12" max="12" width="0.6640625" style="90" customWidth="1"/>
    <col min="13" max="13" width="5.6640625" style="90" customWidth="1"/>
    <col min="14" max="14" width="7" style="90" customWidth="1"/>
    <col min="15" max="15" width="7.6640625" style="90" customWidth="1"/>
    <col min="16" max="16" width="7.33203125" style="90" customWidth="1"/>
    <col min="17" max="17" width="7.44140625" style="90" customWidth="1"/>
    <col min="18" max="18" width="7.33203125" style="90" customWidth="1"/>
    <col min="19" max="19" width="7.6640625" style="90" customWidth="1"/>
    <col min="20" max="20" width="8.33203125" style="90" customWidth="1"/>
    <col min="21" max="22" width="5.6640625" style="90" customWidth="1"/>
    <col min="23" max="16384" width="9.33203125" style="90"/>
  </cols>
  <sheetData>
    <row r="1" spans="2:20" ht="24" customHeight="1" thickBot="1" x14ac:dyDescent="0.35">
      <c r="B1" s="75"/>
    </row>
    <row r="2" spans="2:20" ht="15.75" customHeight="1" thickBot="1" x14ac:dyDescent="0.35">
      <c r="B2" s="110" t="s">
        <v>197</v>
      </c>
      <c r="C2" s="196" t="s">
        <v>469</v>
      </c>
      <c r="D2" s="196"/>
      <c r="E2" s="196"/>
      <c r="F2" s="196"/>
      <c r="G2" s="196"/>
      <c r="H2" s="196"/>
      <c r="I2" s="196"/>
      <c r="J2" s="196"/>
      <c r="K2" s="197"/>
      <c r="M2" s="109"/>
      <c r="N2" s="106"/>
      <c r="O2" s="106"/>
      <c r="P2" s="106"/>
      <c r="Q2" s="106"/>
      <c r="R2" s="106"/>
      <c r="S2" s="106"/>
      <c r="T2" s="106"/>
    </row>
    <row r="3" spans="2:20" ht="12.75" customHeight="1" x14ac:dyDescent="0.3">
      <c r="B3" s="198"/>
      <c r="C3" s="200">
        <v>2020</v>
      </c>
      <c r="D3" s="200">
        <v>2030</v>
      </c>
      <c r="E3" s="200">
        <v>2050</v>
      </c>
      <c r="F3" s="202" t="s">
        <v>195</v>
      </c>
      <c r="G3" s="203"/>
      <c r="H3" s="202" t="s">
        <v>194</v>
      </c>
      <c r="I3" s="203"/>
      <c r="J3" s="200" t="s">
        <v>193</v>
      </c>
      <c r="K3" s="200" t="s">
        <v>192</v>
      </c>
      <c r="M3" s="106"/>
      <c r="N3" s="106"/>
      <c r="O3" s="106"/>
      <c r="P3" s="106"/>
      <c r="Q3" s="106"/>
      <c r="R3" s="106"/>
      <c r="S3" s="106"/>
      <c r="T3" s="106"/>
    </row>
    <row r="4" spans="2:20" ht="14.25" customHeight="1" thickBot="1" x14ac:dyDescent="0.35">
      <c r="B4" s="199"/>
      <c r="C4" s="201"/>
      <c r="D4" s="201"/>
      <c r="E4" s="201"/>
      <c r="F4" s="204"/>
      <c r="G4" s="205"/>
      <c r="H4" s="204"/>
      <c r="I4" s="205"/>
      <c r="J4" s="201"/>
      <c r="K4" s="201"/>
      <c r="Q4" s="106"/>
    </row>
    <row r="5" spans="2:20" ht="15" thickBot="1" x14ac:dyDescent="0.35">
      <c r="B5" s="97" t="s">
        <v>191</v>
      </c>
      <c r="C5" s="104"/>
      <c r="D5" s="104"/>
      <c r="E5" s="104"/>
      <c r="F5" s="108" t="s">
        <v>190</v>
      </c>
      <c r="G5" s="108" t="s">
        <v>189</v>
      </c>
      <c r="H5" s="108" t="s">
        <v>190</v>
      </c>
      <c r="I5" s="108" t="s">
        <v>189</v>
      </c>
      <c r="J5" s="104"/>
      <c r="K5" s="103"/>
    </row>
    <row r="6" spans="2:20" ht="15" thickBot="1" x14ac:dyDescent="0.35">
      <c r="B6" s="95" t="s">
        <v>468</v>
      </c>
      <c r="C6" s="102">
        <v>7.5</v>
      </c>
      <c r="D6" s="102">
        <v>7</v>
      </c>
      <c r="E6" s="102">
        <v>6.3</v>
      </c>
      <c r="F6" s="102">
        <v>6.2</v>
      </c>
      <c r="G6" s="102">
        <v>12.3</v>
      </c>
      <c r="H6" s="102">
        <v>5.5</v>
      </c>
      <c r="I6" s="102">
        <v>10.3</v>
      </c>
      <c r="J6" s="93" t="s">
        <v>143</v>
      </c>
      <c r="K6" s="93"/>
    </row>
    <row r="7" spans="2:20" ht="15" thickBot="1" x14ac:dyDescent="0.35">
      <c r="B7" s="95" t="s">
        <v>467</v>
      </c>
      <c r="C7" s="102">
        <v>6.4</v>
      </c>
      <c r="D7" s="102">
        <v>5.9</v>
      </c>
      <c r="E7" s="102">
        <v>5.3</v>
      </c>
      <c r="F7" s="102">
        <v>5.2</v>
      </c>
      <c r="G7" s="102">
        <v>10.4</v>
      </c>
      <c r="H7" s="102">
        <v>4.5999999999999996</v>
      </c>
      <c r="I7" s="102">
        <v>8.6999999999999993</v>
      </c>
      <c r="J7" s="93" t="s">
        <v>143</v>
      </c>
      <c r="K7" s="93"/>
    </row>
    <row r="8" spans="2:20" ht="15" thickBot="1" x14ac:dyDescent="0.35">
      <c r="B8" s="95" t="s">
        <v>466</v>
      </c>
      <c r="C8" s="102">
        <v>5.0999999999999996</v>
      </c>
      <c r="D8" s="102">
        <v>4.7</v>
      </c>
      <c r="E8" s="102">
        <v>4.2</v>
      </c>
      <c r="F8" s="102">
        <v>4.0999999999999996</v>
      </c>
      <c r="G8" s="102">
        <v>8.3000000000000007</v>
      </c>
      <c r="H8" s="102">
        <v>3.7</v>
      </c>
      <c r="I8" s="102">
        <v>6.9</v>
      </c>
      <c r="J8" s="93" t="s">
        <v>143</v>
      </c>
      <c r="K8" s="93"/>
    </row>
    <row r="9" spans="2:20" ht="15" thickBot="1" x14ac:dyDescent="0.35">
      <c r="B9" s="95" t="s">
        <v>465</v>
      </c>
      <c r="C9" s="102">
        <v>3.8</v>
      </c>
      <c r="D9" s="102">
        <v>3.5</v>
      </c>
      <c r="E9" s="102">
        <v>3.1</v>
      </c>
      <c r="F9" s="102">
        <v>3.1</v>
      </c>
      <c r="G9" s="102">
        <v>6.2</v>
      </c>
      <c r="H9" s="102">
        <v>2.7</v>
      </c>
      <c r="I9" s="102">
        <v>5.2</v>
      </c>
      <c r="J9" s="93" t="s">
        <v>143</v>
      </c>
      <c r="K9" s="93"/>
    </row>
    <row r="10" spans="2:20" ht="15" thickBot="1" x14ac:dyDescent="0.35">
      <c r="B10" s="95" t="s">
        <v>464</v>
      </c>
      <c r="C10" s="102">
        <v>2.7</v>
      </c>
      <c r="D10" s="102">
        <v>2.5</v>
      </c>
      <c r="E10" s="102">
        <v>2.2000000000000002</v>
      </c>
      <c r="F10" s="102">
        <v>2.2000000000000002</v>
      </c>
      <c r="G10" s="102">
        <v>4.3</v>
      </c>
      <c r="H10" s="102">
        <v>1.9</v>
      </c>
      <c r="I10" s="102">
        <v>3.6</v>
      </c>
      <c r="J10" s="93" t="s">
        <v>143</v>
      </c>
      <c r="K10" s="93"/>
    </row>
    <row r="11" spans="2:20" ht="15" thickBot="1" x14ac:dyDescent="0.35">
      <c r="B11" s="95" t="s">
        <v>463</v>
      </c>
      <c r="C11" s="137">
        <v>2.1</v>
      </c>
      <c r="D11" s="102">
        <v>1.9</v>
      </c>
      <c r="E11" s="102">
        <v>1.7</v>
      </c>
      <c r="F11" s="102">
        <v>1.7</v>
      </c>
      <c r="G11" s="102">
        <v>3.4</v>
      </c>
      <c r="H11" s="102">
        <v>1.5</v>
      </c>
      <c r="I11" s="102">
        <v>2.8</v>
      </c>
      <c r="J11" s="93" t="s">
        <v>143</v>
      </c>
      <c r="K11" s="93"/>
    </row>
    <row r="12" spans="2:20" ht="15" thickBot="1" x14ac:dyDescent="0.35">
      <c r="B12" s="95" t="s">
        <v>462</v>
      </c>
      <c r="C12" s="136">
        <v>1.5</v>
      </c>
      <c r="D12" s="136">
        <v>1.4</v>
      </c>
      <c r="E12" s="136">
        <v>1.3</v>
      </c>
      <c r="F12" s="136">
        <v>1.3</v>
      </c>
      <c r="G12" s="136">
        <v>2.5</v>
      </c>
      <c r="H12" s="136">
        <v>1.1000000000000001</v>
      </c>
      <c r="I12" s="136">
        <v>2.1</v>
      </c>
      <c r="J12" s="93" t="s">
        <v>143</v>
      </c>
      <c r="K12" s="93"/>
    </row>
    <row r="13" spans="2:20" ht="15" thickBot="1" x14ac:dyDescent="0.35">
      <c r="B13" s="95" t="s">
        <v>461</v>
      </c>
      <c r="C13" s="137">
        <v>2.1</v>
      </c>
      <c r="D13" s="136">
        <v>1.6800000000000002</v>
      </c>
      <c r="E13" s="136">
        <v>1.47</v>
      </c>
      <c r="F13" s="136">
        <v>1.47</v>
      </c>
      <c r="G13" s="136">
        <v>3.7</v>
      </c>
      <c r="H13" s="136">
        <v>0.9</v>
      </c>
      <c r="I13" s="136">
        <v>2.5</v>
      </c>
      <c r="J13" s="93" t="s">
        <v>141</v>
      </c>
      <c r="K13" s="93"/>
      <c r="Q13" s="106"/>
    </row>
    <row r="14" spans="2:20" ht="15" thickBot="1" x14ac:dyDescent="0.35">
      <c r="B14" s="95"/>
      <c r="C14" s="136"/>
      <c r="D14" s="101"/>
      <c r="E14" s="101"/>
      <c r="F14" s="101"/>
      <c r="G14" s="101"/>
      <c r="H14" s="101"/>
      <c r="I14" s="101"/>
      <c r="J14" s="93"/>
      <c r="K14" s="93"/>
      <c r="N14" s="106"/>
      <c r="O14" s="106"/>
      <c r="P14" s="106"/>
      <c r="Q14" s="106"/>
      <c r="R14" s="106"/>
      <c r="S14" s="106"/>
      <c r="T14" s="106"/>
    </row>
    <row r="15" spans="2:20" ht="15" customHeight="1" thickBot="1" x14ac:dyDescent="0.35">
      <c r="B15" s="95" t="s">
        <v>179</v>
      </c>
      <c r="C15" s="93">
        <v>50</v>
      </c>
      <c r="D15" s="93">
        <v>50</v>
      </c>
      <c r="E15" s="93">
        <v>50</v>
      </c>
      <c r="F15" s="93">
        <v>45</v>
      </c>
      <c r="G15" s="93">
        <v>55</v>
      </c>
      <c r="H15" s="93">
        <v>45</v>
      </c>
      <c r="I15" s="93">
        <v>55</v>
      </c>
      <c r="J15" s="93"/>
      <c r="K15" s="93"/>
      <c r="N15" s="106"/>
      <c r="O15" s="106"/>
      <c r="P15" s="106"/>
      <c r="Q15" s="106"/>
      <c r="R15" s="106"/>
      <c r="S15" s="106"/>
      <c r="T15" s="106"/>
    </row>
    <row r="16" spans="2:20" ht="15" thickBot="1" x14ac:dyDescent="0.35">
      <c r="B16" s="95" t="s">
        <v>177</v>
      </c>
      <c r="C16" s="93">
        <v>1</v>
      </c>
      <c r="D16" s="93">
        <v>1</v>
      </c>
      <c r="E16" s="93">
        <v>1</v>
      </c>
      <c r="F16" s="93">
        <v>0.5</v>
      </c>
      <c r="G16" s="93">
        <v>2</v>
      </c>
      <c r="H16" s="93">
        <v>0.5</v>
      </c>
      <c r="I16" s="93">
        <v>2</v>
      </c>
      <c r="J16" s="93"/>
      <c r="K16" s="93"/>
      <c r="M16" s="106"/>
    </row>
    <row r="17" spans="2:20" ht="15" thickBot="1" x14ac:dyDescent="0.35">
      <c r="B17" s="97" t="s">
        <v>176</v>
      </c>
      <c r="C17" s="104"/>
      <c r="D17" s="104"/>
      <c r="E17" s="104"/>
      <c r="F17" s="104"/>
      <c r="G17" s="104"/>
      <c r="H17" s="104"/>
      <c r="I17" s="104"/>
      <c r="J17" s="104"/>
      <c r="K17" s="103"/>
      <c r="M17" s="106"/>
    </row>
    <row r="18" spans="2:20" ht="15" thickBot="1" x14ac:dyDescent="0.35">
      <c r="B18" s="105" t="s">
        <v>291</v>
      </c>
      <c r="C18" s="104"/>
      <c r="D18" s="104"/>
      <c r="E18" s="104"/>
      <c r="F18" s="104"/>
      <c r="G18" s="104"/>
      <c r="H18" s="104"/>
      <c r="I18" s="104"/>
      <c r="J18" s="104"/>
      <c r="K18" s="103"/>
    </row>
    <row r="19" spans="2:20" ht="15" customHeight="1" thickBot="1" x14ac:dyDescent="0.35">
      <c r="B19" s="60" t="s">
        <v>460</v>
      </c>
      <c r="C19" s="102">
        <v>4.0999999999999996</v>
      </c>
      <c r="D19" s="102">
        <v>3.9</v>
      </c>
      <c r="E19" s="102">
        <v>3.7</v>
      </c>
      <c r="F19" s="102">
        <v>3.7</v>
      </c>
      <c r="G19" s="102">
        <v>5.2</v>
      </c>
      <c r="H19" s="102">
        <v>3.3</v>
      </c>
      <c r="I19" s="102">
        <v>4.7</v>
      </c>
      <c r="J19" s="93" t="s">
        <v>139</v>
      </c>
      <c r="K19" s="93"/>
      <c r="N19" s="135"/>
      <c r="O19" s="135"/>
      <c r="P19" s="135"/>
      <c r="Q19" s="135"/>
      <c r="R19" s="135"/>
      <c r="S19" s="135"/>
      <c r="T19" s="135"/>
    </row>
    <row r="20" spans="2:20" ht="14.25" customHeight="1" thickBot="1" x14ac:dyDescent="0.35">
      <c r="B20" s="60" t="s">
        <v>171</v>
      </c>
      <c r="C20" s="102">
        <v>1.8</v>
      </c>
      <c r="D20" s="102">
        <v>1.7</v>
      </c>
      <c r="E20" s="102">
        <v>1.6</v>
      </c>
      <c r="F20" s="102">
        <v>1.6</v>
      </c>
      <c r="G20" s="102">
        <v>2.2999999999999998</v>
      </c>
      <c r="H20" s="102">
        <v>1.5</v>
      </c>
      <c r="I20" s="102">
        <v>2.1</v>
      </c>
      <c r="J20" s="93" t="s">
        <v>139</v>
      </c>
      <c r="K20" s="93"/>
      <c r="N20" s="135"/>
      <c r="O20" s="135"/>
      <c r="P20" s="135"/>
      <c r="Q20" s="135"/>
      <c r="R20" s="135"/>
      <c r="S20" s="135"/>
      <c r="T20" s="135"/>
    </row>
    <row r="21" spans="2:20" ht="15" thickBot="1" x14ac:dyDescent="0.35">
      <c r="B21" s="60" t="s">
        <v>169</v>
      </c>
      <c r="C21" s="102">
        <v>1.1000000000000001</v>
      </c>
      <c r="D21" s="102">
        <v>1.1000000000000001</v>
      </c>
      <c r="E21" s="102">
        <v>1</v>
      </c>
      <c r="F21" s="102">
        <v>1</v>
      </c>
      <c r="G21" s="102">
        <v>1.4</v>
      </c>
      <c r="H21" s="102">
        <v>0.9</v>
      </c>
      <c r="I21" s="102">
        <v>1.3</v>
      </c>
      <c r="J21" s="93" t="s">
        <v>139</v>
      </c>
      <c r="K21" s="93"/>
      <c r="N21" s="135"/>
      <c r="O21" s="135"/>
      <c r="P21" s="135"/>
      <c r="Q21" s="135"/>
      <c r="R21" s="135"/>
      <c r="S21" s="135"/>
      <c r="T21" s="135"/>
    </row>
    <row r="22" spans="2:20" ht="15" thickBot="1" x14ac:dyDescent="0.35">
      <c r="B22" s="60" t="s">
        <v>168</v>
      </c>
      <c r="C22" s="102">
        <v>0.8</v>
      </c>
      <c r="D22" s="102">
        <v>0.7</v>
      </c>
      <c r="E22" s="102">
        <v>0.7</v>
      </c>
      <c r="F22" s="102">
        <v>0.7</v>
      </c>
      <c r="G22" s="102">
        <v>0.9</v>
      </c>
      <c r="H22" s="102">
        <v>0.6</v>
      </c>
      <c r="I22" s="102">
        <v>0.9</v>
      </c>
      <c r="J22" s="93" t="s">
        <v>139</v>
      </c>
      <c r="K22" s="93"/>
      <c r="N22" s="135"/>
      <c r="O22" s="135"/>
      <c r="P22" s="135"/>
      <c r="Q22" s="135"/>
      <c r="R22" s="135"/>
      <c r="S22" s="135"/>
      <c r="T22" s="135"/>
    </row>
    <row r="23" spans="2:20" ht="15" thickBot="1" x14ac:dyDescent="0.35">
      <c r="B23" s="60" t="s">
        <v>459</v>
      </c>
      <c r="C23" s="102">
        <v>0.4</v>
      </c>
      <c r="D23" s="102">
        <v>0.4</v>
      </c>
      <c r="E23" s="102">
        <v>0.4</v>
      </c>
      <c r="F23" s="102">
        <v>0.4</v>
      </c>
      <c r="G23" s="102">
        <v>0.5</v>
      </c>
      <c r="H23" s="102">
        <v>0.4</v>
      </c>
      <c r="I23" s="102">
        <v>0.5</v>
      </c>
      <c r="J23" s="93" t="s">
        <v>139</v>
      </c>
      <c r="K23" s="93"/>
      <c r="N23" s="135"/>
      <c r="O23" s="135"/>
      <c r="P23" s="135"/>
      <c r="Q23" s="135"/>
      <c r="R23" s="135"/>
      <c r="S23" s="135"/>
      <c r="T23" s="135"/>
    </row>
    <row r="24" spans="2:20" ht="15" thickBot="1" x14ac:dyDescent="0.35">
      <c r="B24" s="60" t="s">
        <v>458</v>
      </c>
      <c r="C24" s="102">
        <v>0.23</v>
      </c>
      <c r="D24" s="102">
        <v>0.2</v>
      </c>
      <c r="E24" s="102">
        <v>0.2</v>
      </c>
      <c r="F24" s="102">
        <v>0.2</v>
      </c>
      <c r="G24" s="102">
        <v>0.2</v>
      </c>
      <c r="H24" s="102">
        <v>0.2</v>
      </c>
      <c r="I24" s="102">
        <v>0.2</v>
      </c>
      <c r="J24" s="93" t="s">
        <v>139</v>
      </c>
      <c r="K24" s="93"/>
      <c r="N24" s="135"/>
      <c r="O24" s="135"/>
      <c r="P24" s="135"/>
      <c r="Q24" s="135"/>
      <c r="R24" s="135"/>
      <c r="S24" s="135"/>
      <c r="T24" s="135"/>
    </row>
    <row r="25" spans="2:20" ht="15" thickBot="1" x14ac:dyDescent="0.35">
      <c r="B25" s="60" t="s">
        <v>402</v>
      </c>
      <c r="C25" s="100" t="s">
        <v>457</v>
      </c>
      <c r="D25" s="98" t="s">
        <v>457</v>
      </c>
      <c r="E25" s="98" t="s">
        <v>457</v>
      </c>
      <c r="F25" s="100">
        <v>75</v>
      </c>
      <c r="G25" s="100">
        <v>80</v>
      </c>
      <c r="H25" s="100">
        <v>70</v>
      </c>
      <c r="I25" s="100">
        <v>80</v>
      </c>
      <c r="J25" s="93" t="s">
        <v>137</v>
      </c>
      <c r="K25" s="93"/>
    </row>
    <row r="26" spans="2:20" ht="15" thickBot="1" x14ac:dyDescent="0.35">
      <c r="B26" s="60" t="s">
        <v>401</v>
      </c>
      <c r="C26" s="100" t="s">
        <v>456</v>
      </c>
      <c r="D26" s="98" t="s">
        <v>456</v>
      </c>
      <c r="E26" s="98" t="s">
        <v>456</v>
      </c>
      <c r="F26" s="100">
        <v>20</v>
      </c>
      <c r="G26" s="100">
        <v>25</v>
      </c>
      <c r="H26" s="100">
        <v>20</v>
      </c>
      <c r="I26" s="100">
        <v>30</v>
      </c>
      <c r="J26" s="93" t="s">
        <v>137</v>
      </c>
      <c r="K26" s="93"/>
    </row>
    <row r="27" spans="2:20" ht="15" thickBot="1" x14ac:dyDescent="0.35">
      <c r="B27" s="60" t="s">
        <v>455</v>
      </c>
      <c r="C27" s="102">
        <v>0.51</v>
      </c>
      <c r="D27" s="99">
        <v>0.25</v>
      </c>
      <c r="E27" s="102">
        <v>0.1875</v>
      </c>
      <c r="F27" s="102">
        <v>0.2</v>
      </c>
      <c r="G27" s="102">
        <v>1</v>
      </c>
      <c r="H27" s="102">
        <v>0.11</v>
      </c>
      <c r="I27" s="102">
        <v>1</v>
      </c>
      <c r="J27" s="93" t="s">
        <v>135</v>
      </c>
      <c r="K27" s="93"/>
    </row>
    <row r="28" spans="2:20" ht="15" thickBot="1" x14ac:dyDescent="0.35">
      <c r="B28" s="60" t="s">
        <v>454</v>
      </c>
      <c r="C28" s="93">
        <v>0</v>
      </c>
      <c r="D28" s="93">
        <v>0</v>
      </c>
      <c r="E28" s="93">
        <v>0</v>
      </c>
      <c r="F28" s="100"/>
      <c r="G28" s="100"/>
      <c r="H28" s="100"/>
      <c r="I28" s="100"/>
      <c r="J28" s="93"/>
      <c r="K28" s="93"/>
    </row>
    <row r="29" spans="2:20" ht="15" thickBot="1" x14ac:dyDescent="0.35">
      <c r="B29" s="96"/>
      <c r="C29" s="93"/>
      <c r="D29" s="93"/>
      <c r="E29" s="93"/>
      <c r="F29" s="93"/>
      <c r="G29" s="93"/>
      <c r="H29" s="93"/>
      <c r="I29" s="93"/>
      <c r="J29" s="93"/>
      <c r="K29" s="93"/>
    </row>
    <row r="30" spans="2:20" ht="15" thickBot="1" x14ac:dyDescent="0.35">
      <c r="B30" s="97" t="s">
        <v>155</v>
      </c>
      <c r="C30" s="93"/>
      <c r="D30" s="93"/>
      <c r="E30" s="93"/>
      <c r="F30" s="93"/>
      <c r="G30" s="93"/>
      <c r="H30" s="93"/>
      <c r="I30" s="93"/>
      <c r="J30" s="93"/>
      <c r="K30" s="93"/>
    </row>
    <row r="31" spans="2:20" ht="15" thickBot="1" x14ac:dyDescent="0.35">
      <c r="B31" s="96"/>
      <c r="C31" s="93"/>
      <c r="D31" s="93"/>
      <c r="E31" s="93"/>
      <c r="F31" s="93"/>
      <c r="G31" s="93"/>
      <c r="H31" s="93"/>
      <c r="I31" s="93"/>
      <c r="J31" s="93"/>
      <c r="K31" s="93"/>
    </row>
    <row r="32" spans="2:20" ht="15" thickBot="1" x14ac:dyDescent="0.35">
      <c r="B32" s="95"/>
      <c r="C32" s="93"/>
      <c r="D32" s="93"/>
      <c r="E32" s="93"/>
      <c r="F32" s="93"/>
      <c r="G32" s="93"/>
      <c r="H32" s="93"/>
      <c r="I32" s="93"/>
      <c r="J32" s="93"/>
      <c r="K32" s="93"/>
    </row>
    <row r="33" spans="1:12" x14ac:dyDescent="0.3">
      <c r="B33" s="55" t="s">
        <v>154</v>
      </c>
    </row>
    <row r="34" spans="1:12" x14ac:dyDescent="0.3">
      <c r="A34" s="53"/>
      <c r="B34" s="188"/>
      <c r="C34" s="188"/>
      <c r="D34" s="188"/>
      <c r="E34" s="188"/>
      <c r="F34" s="188"/>
      <c r="G34" s="188"/>
      <c r="H34" s="188"/>
      <c r="I34" s="188"/>
      <c r="J34" s="188"/>
      <c r="K34" s="188"/>
    </row>
    <row r="35" spans="1:12" x14ac:dyDescent="0.3">
      <c r="A35" s="53"/>
      <c r="B35" s="188"/>
      <c r="C35" s="188"/>
      <c r="D35" s="188"/>
      <c r="E35" s="188"/>
      <c r="F35" s="188"/>
      <c r="G35" s="188"/>
      <c r="H35" s="188"/>
      <c r="I35" s="188"/>
      <c r="J35" s="188"/>
      <c r="K35" s="188"/>
    </row>
    <row r="36" spans="1:12" x14ac:dyDescent="0.3">
      <c r="A36" s="53"/>
      <c r="B36" s="55" t="s">
        <v>144</v>
      </c>
      <c r="C36" s="54"/>
      <c r="D36" s="54"/>
      <c r="E36" s="54"/>
      <c r="F36" s="54"/>
      <c r="G36" s="54"/>
      <c r="H36" s="54"/>
      <c r="I36" s="54"/>
      <c r="J36" s="54"/>
      <c r="K36" s="54"/>
      <c r="L36" s="54"/>
    </row>
    <row r="37" spans="1:12" s="91" customFormat="1" ht="15" customHeight="1" x14ac:dyDescent="0.3">
      <c r="A37" s="92" t="s">
        <v>143</v>
      </c>
      <c r="B37" s="211" t="s">
        <v>453</v>
      </c>
      <c r="C37" s="211"/>
      <c r="D37" s="211"/>
      <c r="E37" s="211"/>
      <c r="F37" s="211"/>
      <c r="G37" s="211"/>
      <c r="H37" s="211"/>
      <c r="I37" s="211"/>
      <c r="J37" s="211"/>
      <c r="K37" s="211"/>
    </row>
    <row r="38" spans="1:12" s="91" customFormat="1" ht="13.5" customHeight="1" x14ac:dyDescent="0.3">
      <c r="A38" s="92"/>
      <c r="B38" s="191" t="s">
        <v>452</v>
      </c>
      <c r="C38" s="191"/>
      <c r="D38" s="191"/>
      <c r="E38" s="191"/>
      <c r="F38" s="191"/>
      <c r="G38" s="191"/>
      <c r="H38" s="191"/>
      <c r="I38" s="191"/>
      <c r="J38" s="191"/>
      <c r="K38" s="191"/>
      <c r="L38" s="191"/>
    </row>
    <row r="39" spans="1:12" s="91" customFormat="1" ht="25.95" customHeight="1" x14ac:dyDescent="0.3">
      <c r="A39" s="92" t="s">
        <v>141</v>
      </c>
      <c r="B39" s="191" t="s">
        <v>451</v>
      </c>
      <c r="C39" s="191"/>
      <c r="D39" s="191"/>
      <c r="E39" s="191"/>
      <c r="F39" s="191"/>
      <c r="G39" s="191"/>
      <c r="H39" s="191"/>
      <c r="I39" s="191"/>
      <c r="J39" s="191"/>
      <c r="K39" s="122"/>
      <c r="L39" s="122"/>
    </row>
    <row r="40" spans="1:12" s="91" customFormat="1" ht="26.25" customHeight="1" x14ac:dyDescent="0.3">
      <c r="A40" s="92" t="s">
        <v>139</v>
      </c>
      <c r="B40" s="188" t="s">
        <v>450</v>
      </c>
      <c r="C40" s="188"/>
      <c r="D40" s="188"/>
      <c r="E40" s="188"/>
      <c r="F40" s="188"/>
      <c r="G40" s="188"/>
      <c r="H40" s="188"/>
      <c r="I40" s="188"/>
      <c r="J40" s="188"/>
      <c r="K40" s="188"/>
    </row>
    <row r="41" spans="1:12" s="91" customFormat="1" ht="13.5" customHeight="1" x14ac:dyDescent="0.3">
      <c r="A41" s="92" t="s">
        <v>137</v>
      </c>
      <c r="B41" s="212" t="s">
        <v>449</v>
      </c>
      <c r="C41" s="212"/>
      <c r="D41" s="212"/>
      <c r="E41" s="212"/>
      <c r="F41" s="212"/>
      <c r="G41" s="212"/>
      <c r="H41" s="212"/>
      <c r="I41" s="212"/>
      <c r="J41" s="212"/>
      <c r="K41" s="212"/>
    </row>
    <row r="42" spans="1:12" s="91" customFormat="1" ht="12.75" customHeight="1" x14ac:dyDescent="0.3">
      <c r="A42" s="92" t="s">
        <v>135</v>
      </c>
      <c r="B42" s="188" t="s">
        <v>448</v>
      </c>
      <c r="C42" s="188"/>
      <c r="D42" s="188"/>
      <c r="E42" s="188"/>
      <c r="F42" s="188"/>
      <c r="G42" s="188"/>
      <c r="H42" s="188"/>
      <c r="I42" s="188"/>
      <c r="J42" s="188"/>
      <c r="K42" s="188"/>
    </row>
    <row r="43" spans="1:12" s="91" customFormat="1" ht="12.75" customHeight="1" x14ac:dyDescent="0.3">
      <c r="A43" s="92"/>
      <c r="B43" s="188"/>
      <c r="C43" s="188"/>
      <c r="D43" s="188"/>
      <c r="E43" s="188"/>
      <c r="F43" s="188"/>
      <c r="G43" s="188"/>
      <c r="H43" s="188"/>
      <c r="I43" s="188"/>
      <c r="J43" s="188"/>
      <c r="K43" s="188"/>
    </row>
    <row r="44" spans="1:12" s="91" customFormat="1" x14ac:dyDescent="0.3">
      <c r="A44" s="92"/>
      <c r="B44" s="188"/>
      <c r="C44" s="188"/>
      <c r="D44" s="188"/>
      <c r="E44" s="188"/>
      <c r="F44" s="188"/>
      <c r="G44" s="188"/>
      <c r="H44" s="188"/>
      <c r="I44" s="188"/>
      <c r="J44" s="188"/>
      <c r="K44" s="188"/>
    </row>
    <row r="45" spans="1:12" s="91" customFormat="1" ht="15" customHeight="1" x14ac:dyDescent="0.3">
      <c r="A45" s="92"/>
      <c r="B45" s="188"/>
      <c r="C45" s="188"/>
      <c r="D45" s="188"/>
      <c r="E45" s="188"/>
      <c r="F45" s="188"/>
      <c r="G45" s="188"/>
      <c r="H45" s="188"/>
      <c r="I45" s="188"/>
      <c r="J45" s="188"/>
      <c r="K45" s="188"/>
    </row>
    <row r="46" spans="1:12" s="91" customFormat="1" ht="15" customHeight="1" x14ac:dyDescent="0.3">
      <c r="A46" s="92"/>
      <c r="B46" s="188"/>
      <c r="C46" s="188"/>
      <c r="D46" s="188"/>
      <c r="E46" s="188"/>
      <c r="F46" s="188"/>
      <c r="G46" s="188"/>
      <c r="H46" s="188"/>
      <c r="I46" s="188"/>
      <c r="J46" s="188"/>
      <c r="K46" s="188"/>
    </row>
    <row r="47" spans="1:12" s="91" customFormat="1" x14ac:dyDescent="0.3">
      <c r="A47" s="92"/>
      <c r="B47" s="188"/>
      <c r="C47" s="188"/>
      <c r="D47" s="188"/>
      <c r="E47" s="188"/>
      <c r="F47" s="188"/>
      <c r="G47" s="188"/>
      <c r="H47" s="188"/>
      <c r="I47" s="188"/>
      <c r="J47" s="188"/>
      <c r="K47" s="188"/>
    </row>
    <row r="48" spans="1:12" s="91" customFormat="1" ht="15" customHeight="1" x14ac:dyDescent="0.3">
      <c r="A48" s="92"/>
      <c r="B48" s="188"/>
      <c r="C48" s="188"/>
      <c r="D48" s="188"/>
      <c r="E48" s="188"/>
      <c r="F48" s="188"/>
      <c r="G48" s="188"/>
      <c r="H48" s="188"/>
      <c r="I48" s="188"/>
      <c r="J48" s="188"/>
      <c r="K48" s="188"/>
    </row>
    <row r="49" spans="1:12" s="91" customFormat="1" ht="11.25" customHeight="1" x14ac:dyDescent="0.3">
      <c r="A49" s="92"/>
      <c r="B49" s="188"/>
      <c r="C49" s="188"/>
      <c r="D49" s="188"/>
      <c r="E49" s="188"/>
      <c r="F49" s="188"/>
      <c r="G49" s="188"/>
      <c r="H49" s="188"/>
      <c r="I49" s="188"/>
      <c r="J49" s="188"/>
      <c r="K49" s="188"/>
    </row>
    <row r="50" spans="1:12" x14ac:dyDescent="0.3">
      <c r="A50" s="53"/>
    </row>
    <row r="51" spans="1:12" ht="12.75" customHeight="1" x14ac:dyDescent="0.3">
      <c r="A51" s="53"/>
      <c r="C51" s="188"/>
      <c r="D51" s="188"/>
      <c r="E51" s="188"/>
      <c r="F51" s="188"/>
      <c r="G51" s="188"/>
      <c r="H51" s="188"/>
      <c r="I51" s="188"/>
      <c r="J51" s="188"/>
      <c r="K51" s="188"/>
      <c r="L51" s="188"/>
    </row>
    <row r="52" spans="1:12" ht="12.75" customHeight="1" x14ac:dyDescent="0.3">
      <c r="A52" s="53"/>
      <c r="C52" s="188"/>
      <c r="D52" s="188"/>
      <c r="E52" s="188"/>
      <c r="F52" s="188"/>
      <c r="G52" s="188"/>
      <c r="H52" s="188"/>
      <c r="I52" s="188"/>
      <c r="J52" s="188"/>
      <c r="K52" s="188"/>
      <c r="L52" s="188"/>
    </row>
    <row r="53" spans="1:12" x14ac:dyDescent="0.3">
      <c r="A53" s="53"/>
    </row>
    <row r="54" spans="1:12" x14ac:dyDescent="0.3">
      <c r="A54" s="53"/>
    </row>
    <row r="55" spans="1:12" x14ac:dyDescent="0.3">
      <c r="A55" s="53"/>
    </row>
    <row r="56" spans="1:12" x14ac:dyDescent="0.3">
      <c r="A56" s="53"/>
    </row>
    <row r="57" spans="1:12" x14ac:dyDescent="0.3">
      <c r="A57" s="53"/>
    </row>
    <row r="58" spans="1:12" x14ac:dyDescent="0.3">
      <c r="A58" s="53"/>
    </row>
    <row r="59" spans="1:12" x14ac:dyDescent="0.3">
      <c r="A59" s="53"/>
    </row>
    <row r="60" spans="1:12" x14ac:dyDescent="0.3">
      <c r="A60" s="53"/>
    </row>
    <row r="61" spans="1:12" x14ac:dyDescent="0.3">
      <c r="A61" s="53"/>
    </row>
    <row r="62" spans="1:12" x14ac:dyDescent="0.3">
      <c r="A62" s="53"/>
    </row>
  </sheetData>
  <mergeCells count="26">
    <mergeCell ref="B38:L38"/>
    <mergeCell ref="B39:J39"/>
    <mergeCell ref="C52:L52"/>
    <mergeCell ref="B44:K44"/>
    <mergeCell ref="B45:K45"/>
    <mergeCell ref="B47:K47"/>
    <mergeCell ref="B48:K48"/>
    <mergeCell ref="B49:K49"/>
    <mergeCell ref="C51:L51"/>
    <mergeCell ref="B46:K46"/>
    <mergeCell ref="B40:K40"/>
    <mergeCell ref="B41:K41"/>
    <mergeCell ref="B42:K42"/>
    <mergeCell ref="B43:K43"/>
    <mergeCell ref="B34:K34"/>
    <mergeCell ref="B35:K35"/>
    <mergeCell ref="B37:K37"/>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7F7F-C764-40FF-919E-5212CC14156E}">
  <sheetPr>
    <pageSetUpPr fitToPage="1"/>
  </sheetPr>
  <dimension ref="A1:T62"/>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51.33203125" style="90" customWidth="1"/>
    <col min="3" max="3" width="10" style="90" bestFit="1" customWidth="1"/>
    <col min="4" max="5" width="9.33203125" style="90"/>
    <col min="6" max="7" width="10" style="90" bestFit="1" customWidth="1"/>
    <col min="8" max="10" width="9.33203125" style="90"/>
    <col min="11" max="11" width="19.33203125" style="90" hidden="1" customWidth="1"/>
    <col min="12" max="13" width="5.6640625" style="90" customWidth="1"/>
    <col min="14" max="14" width="7" style="90" customWidth="1"/>
    <col min="15" max="15" width="7.6640625" style="90" customWidth="1"/>
    <col min="16" max="16" width="7.33203125" style="90" customWidth="1"/>
    <col min="17" max="17" width="7.44140625" style="90" customWidth="1"/>
    <col min="18" max="18" width="7.33203125" style="90" customWidth="1"/>
    <col min="19" max="19" width="7.6640625" style="90" customWidth="1"/>
    <col min="20" max="20" width="8.33203125" style="90" customWidth="1"/>
    <col min="21" max="22" width="5.6640625" style="90" customWidth="1"/>
    <col min="23" max="16384" width="9.33203125" style="90"/>
  </cols>
  <sheetData>
    <row r="1" spans="2:20" ht="24" customHeight="1" thickBot="1" x14ac:dyDescent="0.35">
      <c r="B1" s="75"/>
    </row>
    <row r="2" spans="2:20" ht="15.75" customHeight="1" thickBot="1" x14ac:dyDescent="0.35">
      <c r="B2" s="110" t="s">
        <v>197</v>
      </c>
      <c r="C2" s="196" t="s">
        <v>472</v>
      </c>
      <c r="D2" s="196"/>
      <c r="E2" s="196"/>
      <c r="F2" s="196"/>
      <c r="G2" s="196"/>
      <c r="H2" s="196"/>
      <c r="I2" s="196"/>
      <c r="J2" s="196"/>
      <c r="K2" s="197"/>
      <c r="M2" s="109"/>
      <c r="N2" s="106"/>
      <c r="O2" s="106"/>
      <c r="P2" s="106"/>
      <c r="Q2" s="106"/>
      <c r="R2" s="106"/>
      <c r="S2" s="106"/>
      <c r="T2" s="106"/>
    </row>
    <row r="3" spans="2:20" ht="12.75" customHeight="1" x14ac:dyDescent="0.3">
      <c r="B3" s="198"/>
      <c r="C3" s="200">
        <v>2020</v>
      </c>
      <c r="D3" s="200">
        <v>2030</v>
      </c>
      <c r="E3" s="200">
        <v>2050</v>
      </c>
      <c r="F3" s="202" t="s">
        <v>195</v>
      </c>
      <c r="G3" s="203"/>
      <c r="H3" s="202" t="s">
        <v>194</v>
      </c>
      <c r="I3" s="203"/>
      <c r="J3" s="200" t="s">
        <v>193</v>
      </c>
      <c r="K3" s="200" t="s">
        <v>192</v>
      </c>
      <c r="M3" s="106"/>
      <c r="N3" s="106"/>
      <c r="O3" s="106"/>
      <c r="P3" s="106"/>
      <c r="Q3" s="106"/>
      <c r="R3" s="106"/>
      <c r="S3" s="106"/>
      <c r="T3" s="106"/>
    </row>
    <row r="4" spans="2:20" ht="14.25" customHeight="1" thickBot="1" x14ac:dyDescent="0.35">
      <c r="B4" s="199"/>
      <c r="C4" s="201"/>
      <c r="D4" s="201"/>
      <c r="E4" s="201"/>
      <c r="F4" s="204"/>
      <c r="G4" s="205"/>
      <c r="H4" s="204"/>
      <c r="I4" s="205"/>
      <c r="J4" s="201"/>
      <c r="K4" s="201"/>
      <c r="Q4" s="106"/>
    </row>
    <row r="5" spans="2:20" ht="15" thickBot="1" x14ac:dyDescent="0.35">
      <c r="B5" s="97" t="s">
        <v>191</v>
      </c>
      <c r="C5" s="104"/>
      <c r="D5" s="104"/>
      <c r="E5" s="104"/>
      <c r="F5" s="108" t="s">
        <v>190</v>
      </c>
      <c r="G5" s="108" t="s">
        <v>189</v>
      </c>
      <c r="H5" s="108" t="s">
        <v>190</v>
      </c>
      <c r="I5" s="108" t="s">
        <v>189</v>
      </c>
      <c r="J5" s="104"/>
      <c r="K5" s="103"/>
    </row>
    <row r="6" spans="2:20" ht="15" thickBot="1" x14ac:dyDescent="0.35">
      <c r="B6" s="95" t="s">
        <v>468</v>
      </c>
      <c r="C6" s="102">
        <v>10</v>
      </c>
      <c r="D6" s="102">
        <v>9.3000000000000007</v>
      </c>
      <c r="E6" s="102">
        <v>8.3000000000000007</v>
      </c>
      <c r="F6" s="102">
        <v>8.1999999999999993</v>
      </c>
      <c r="G6" s="102">
        <v>16.3</v>
      </c>
      <c r="H6" s="102">
        <v>7.3</v>
      </c>
      <c r="I6" s="102">
        <v>13.6</v>
      </c>
      <c r="J6" s="93" t="s">
        <v>143</v>
      </c>
      <c r="K6" s="93"/>
    </row>
    <row r="7" spans="2:20" ht="15" thickBot="1" x14ac:dyDescent="0.35">
      <c r="B7" s="95" t="s">
        <v>467</v>
      </c>
      <c r="C7" s="102">
        <v>8.1999999999999993</v>
      </c>
      <c r="D7" s="102">
        <v>7.6</v>
      </c>
      <c r="E7" s="102">
        <v>6.8</v>
      </c>
      <c r="F7" s="102">
        <v>6.7</v>
      </c>
      <c r="G7" s="102">
        <v>13.4</v>
      </c>
      <c r="H7" s="102">
        <v>6</v>
      </c>
      <c r="I7" s="102">
        <v>11.2</v>
      </c>
      <c r="J7" s="93" t="s">
        <v>143</v>
      </c>
      <c r="K7" s="93"/>
    </row>
    <row r="8" spans="2:20" ht="15" thickBot="1" x14ac:dyDescent="0.35">
      <c r="B8" s="95" t="s">
        <v>466</v>
      </c>
      <c r="C8" s="102">
        <v>6.3</v>
      </c>
      <c r="D8" s="102">
        <v>5.8</v>
      </c>
      <c r="E8" s="102">
        <v>5.2</v>
      </c>
      <c r="F8" s="102">
        <v>5.0999999999999996</v>
      </c>
      <c r="G8" s="102">
        <v>10.3</v>
      </c>
      <c r="H8" s="102">
        <v>4.5999999999999996</v>
      </c>
      <c r="I8" s="102">
        <v>8.6</v>
      </c>
      <c r="J8" s="93" t="s">
        <v>143</v>
      </c>
      <c r="K8" s="93"/>
    </row>
    <row r="9" spans="2:20" ht="15" thickBot="1" x14ac:dyDescent="0.35">
      <c r="B9" s="95" t="s">
        <v>465</v>
      </c>
      <c r="C9" s="102">
        <v>4.5</v>
      </c>
      <c r="D9" s="102">
        <v>4.0999999999999996</v>
      </c>
      <c r="E9" s="102">
        <v>3.7</v>
      </c>
      <c r="F9" s="102">
        <v>3.6</v>
      </c>
      <c r="G9" s="102">
        <v>7.3</v>
      </c>
      <c r="H9" s="102">
        <v>3.2</v>
      </c>
      <c r="I9" s="102">
        <v>6.1</v>
      </c>
      <c r="J9" s="93" t="s">
        <v>143</v>
      </c>
      <c r="K9" s="93"/>
    </row>
    <row r="10" spans="2:20" ht="15" thickBot="1" x14ac:dyDescent="0.35">
      <c r="B10" s="95" t="s">
        <v>464</v>
      </c>
      <c r="C10" s="102">
        <v>2.9</v>
      </c>
      <c r="D10" s="102">
        <v>2.7</v>
      </c>
      <c r="E10" s="102">
        <v>2.4</v>
      </c>
      <c r="F10" s="102">
        <v>2.4</v>
      </c>
      <c r="G10" s="102">
        <v>4.8</v>
      </c>
      <c r="H10" s="102">
        <v>2.1</v>
      </c>
      <c r="I10" s="102">
        <v>4</v>
      </c>
      <c r="J10" s="93" t="s">
        <v>143</v>
      </c>
      <c r="K10" s="93"/>
    </row>
    <row r="11" spans="2:20" ht="15" thickBot="1" x14ac:dyDescent="0.35">
      <c r="B11" s="95" t="s">
        <v>463</v>
      </c>
      <c r="C11" s="137">
        <v>2.2000000000000002</v>
      </c>
      <c r="D11" s="102">
        <v>2</v>
      </c>
      <c r="E11" s="102">
        <v>1.8</v>
      </c>
      <c r="F11" s="102">
        <v>1.8</v>
      </c>
      <c r="G11" s="102">
        <v>3.6</v>
      </c>
      <c r="H11" s="102">
        <v>1.6</v>
      </c>
      <c r="I11" s="102">
        <v>3</v>
      </c>
      <c r="J11" s="93" t="s">
        <v>143</v>
      </c>
      <c r="K11" s="93"/>
    </row>
    <row r="12" spans="2:20" ht="15" thickBot="1" x14ac:dyDescent="0.35">
      <c r="B12" s="95" t="s">
        <v>462</v>
      </c>
      <c r="C12" s="136">
        <v>1.6</v>
      </c>
      <c r="D12" s="136">
        <v>1.5</v>
      </c>
      <c r="E12" s="136">
        <v>1.3</v>
      </c>
      <c r="F12" s="136">
        <v>1.3</v>
      </c>
      <c r="G12" s="136">
        <v>2.6</v>
      </c>
      <c r="H12" s="136">
        <v>1.1000000000000001</v>
      </c>
      <c r="I12" s="136">
        <v>2.1</v>
      </c>
      <c r="J12" s="93" t="s">
        <v>143</v>
      </c>
      <c r="K12" s="93"/>
    </row>
    <row r="13" spans="2:20" ht="15" thickBot="1" x14ac:dyDescent="0.35">
      <c r="B13" s="95" t="s">
        <v>461</v>
      </c>
      <c r="C13" s="137">
        <v>0.93531997872053207</v>
      </c>
      <c r="D13" s="136">
        <v>0.84178798084847883</v>
      </c>
      <c r="E13" s="136">
        <v>0.7482559829764257</v>
      </c>
      <c r="F13" s="136">
        <v>0.7482559829764257</v>
      </c>
      <c r="G13" s="136">
        <v>3</v>
      </c>
      <c r="H13" s="136">
        <v>0.6</v>
      </c>
      <c r="I13" s="136">
        <v>2.1</v>
      </c>
      <c r="J13" s="93" t="s">
        <v>141</v>
      </c>
      <c r="K13" s="93"/>
      <c r="Q13" s="106"/>
    </row>
    <row r="14" spans="2:20" ht="15" thickBot="1" x14ac:dyDescent="0.35">
      <c r="B14" s="95"/>
      <c r="C14" s="136"/>
      <c r="D14" s="101"/>
      <c r="E14" s="101"/>
      <c r="F14" s="101"/>
      <c r="G14" s="101"/>
      <c r="H14" s="101"/>
      <c r="I14" s="101"/>
      <c r="J14" s="93"/>
      <c r="K14" s="93"/>
      <c r="N14" s="106"/>
      <c r="O14" s="106"/>
      <c r="P14" s="106"/>
      <c r="Q14" s="106"/>
      <c r="R14" s="106"/>
      <c r="S14" s="106"/>
      <c r="T14" s="106"/>
    </row>
    <row r="15" spans="2:20" ht="15" customHeight="1" thickBot="1" x14ac:dyDescent="0.35">
      <c r="B15" s="95" t="s">
        <v>179</v>
      </c>
      <c r="C15" s="93">
        <v>50</v>
      </c>
      <c r="D15" s="93">
        <v>50</v>
      </c>
      <c r="E15" s="93">
        <v>50</v>
      </c>
      <c r="F15" s="93">
        <v>45</v>
      </c>
      <c r="G15" s="93">
        <v>55</v>
      </c>
      <c r="H15" s="93">
        <v>45</v>
      </c>
      <c r="I15" s="93">
        <v>55</v>
      </c>
      <c r="J15" s="93"/>
      <c r="K15" s="93"/>
      <c r="N15" s="106"/>
      <c r="O15" s="106"/>
      <c r="P15" s="106"/>
      <c r="Q15" s="106"/>
      <c r="R15" s="106"/>
      <c r="S15" s="106"/>
      <c r="T15" s="106"/>
    </row>
    <row r="16" spans="2:20" ht="15" thickBot="1" x14ac:dyDescent="0.35">
      <c r="B16" s="95" t="s">
        <v>177</v>
      </c>
      <c r="C16" s="93">
        <v>1</v>
      </c>
      <c r="D16" s="93">
        <v>1</v>
      </c>
      <c r="E16" s="93">
        <v>1</v>
      </c>
      <c r="F16" s="93">
        <v>0.5</v>
      </c>
      <c r="G16" s="93">
        <v>2</v>
      </c>
      <c r="H16" s="93">
        <v>0.5</v>
      </c>
      <c r="I16" s="93">
        <v>2</v>
      </c>
      <c r="J16" s="93"/>
      <c r="K16" s="93"/>
      <c r="M16" s="106"/>
    </row>
    <row r="17" spans="2:20" ht="15" thickBot="1" x14ac:dyDescent="0.35">
      <c r="B17" s="97" t="s">
        <v>176</v>
      </c>
      <c r="C17" s="104"/>
      <c r="D17" s="104"/>
      <c r="E17" s="104"/>
      <c r="F17" s="104"/>
      <c r="G17" s="104"/>
      <c r="H17" s="104"/>
      <c r="I17" s="104"/>
      <c r="J17" s="104"/>
      <c r="K17" s="103"/>
      <c r="M17" s="106"/>
    </row>
    <row r="18" spans="2:20" ht="15" thickBot="1" x14ac:dyDescent="0.35">
      <c r="B18" s="105" t="s">
        <v>291</v>
      </c>
      <c r="C18" s="104"/>
      <c r="D18" s="104"/>
      <c r="E18" s="104"/>
      <c r="F18" s="104"/>
      <c r="G18" s="104"/>
      <c r="H18" s="104"/>
      <c r="I18" s="104"/>
      <c r="J18" s="104"/>
      <c r="K18" s="103"/>
    </row>
    <row r="19" spans="2:20" ht="15" customHeight="1" thickBot="1" x14ac:dyDescent="0.35">
      <c r="B19" s="60" t="s">
        <v>460</v>
      </c>
      <c r="C19" s="102">
        <v>3.8</v>
      </c>
      <c r="D19" s="102">
        <v>3.6</v>
      </c>
      <c r="E19" s="102">
        <v>3.4</v>
      </c>
      <c r="F19" s="102">
        <v>3.4</v>
      </c>
      <c r="G19" s="102">
        <v>4.8</v>
      </c>
      <c r="H19" s="102">
        <v>3.1</v>
      </c>
      <c r="I19" s="102">
        <v>4.4000000000000004</v>
      </c>
      <c r="J19" s="93" t="s">
        <v>139</v>
      </c>
      <c r="K19" s="93"/>
      <c r="N19" s="135"/>
      <c r="O19" s="135"/>
      <c r="P19" s="135"/>
      <c r="Q19" s="135"/>
      <c r="R19" s="135"/>
      <c r="S19" s="135"/>
      <c r="T19" s="135"/>
    </row>
    <row r="20" spans="2:20" ht="14.25" customHeight="1" thickBot="1" x14ac:dyDescent="0.35">
      <c r="B20" s="60" t="s">
        <v>171</v>
      </c>
      <c r="C20" s="102">
        <v>1.7</v>
      </c>
      <c r="D20" s="102">
        <v>1.6</v>
      </c>
      <c r="E20" s="102">
        <v>1.5</v>
      </c>
      <c r="F20" s="102">
        <v>1.5</v>
      </c>
      <c r="G20" s="102">
        <v>2.1</v>
      </c>
      <c r="H20" s="102">
        <v>1.4</v>
      </c>
      <c r="I20" s="102">
        <v>1.9</v>
      </c>
      <c r="J20" s="93" t="s">
        <v>139</v>
      </c>
      <c r="K20" s="93"/>
      <c r="N20" s="135"/>
      <c r="O20" s="135"/>
      <c r="P20" s="135"/>
      <c r="Q20" s="135"/>
      <c r="R20" s="135"/>
      <c r="S20" s="135"/>
      <c r="T20" s="135"/>
    </row>
    <row r="21" spans="2:20" ht="15" thickBot="1" x14ac:dyDescent="0.35">
      <c r="B21" s="60" t="s">
        <v>169</v>
      </c>
      <c r="C21" s="102">
        <v>1</v>
      </c>
      <c r="D21" s="102">
        <v>1</v>
      </c>
      <c r="E21" s="102">
        <v>1</v>
      </c>
      <c r="F21" s="102">
        <v>1</v>
      </c>
      <c r="G21" s="102">
        <v>1.3</v>
      </c>
      <c r="H21" s="102">
        <v>0.9</v>
      </c>
      <c r="I21" s="102">
        <v>1.2</v>
      </c>
      <c r="J21" s="93" t="s">
        <v>139</v>
      </c>
      <c r="K21" s="93"/>
      <c r="N21" s="135"/>
      <c r="O21" s="135"/>
      <c r="P21" s="135"/>
      <c r="Q21" s="135"/>
      <c r="R21" s="135"/>
      <c r="S21" s="135"/>
      <c r="T21" s="135"/>
    </row>
    <row r="22" spans="2:20" ht="15" thickBot="1" x14ac:dyDescent="0.35">
      <c r="B22" s="60" t="s">
        <v>168</v>
      </c>
      <c r="C22" s="102">
        <v>0.7</v>
      </c>
      <c r="D22" s="102">
        <v>0.7</v>
      </c>
      <c r="E22" s="102">
        <v>0.7</v>
      </c>
      <c r="F22" s="102">
        <v>0.7</v>
      </c>
      <c r="G22" s="102">
        <v>0.9</v>
      </c>
      <c r="H22" s="102">
        <v>0.6</v>
      </c>
      <c r="I22" s="102">
        <v>0.8</v>
      </c>
      <c r="J22" s="93" t="s">
        <v>139</v>
      </c>
      <c r="K22" s="93"/>
      <c r="N22" s="135"/>
      <c r="O22" s="135"/>
      <c r="P22" s="135"/>
      <c r="Q22" s="135"/>
      <c r="R22" s="135"/>
      <c r="S22" s="135"/>
      <c r="T22" s="135"/>
    </row>
    <row r="23" spans="2:20" ht="15" thickBot="1" x14ac:dyDescent="0.35">
      <c r="B23" s="60" t="s">
        <v>459</v>
      </c>
      <c r="C23" s="102">
        <v>0.4</v>
      </c>
      <c r="D23" s="102">
        <v>0.4</v>
      </c>
      <c r="E23" s="102">
        <v>0.4</v>
      </c>
      <c r="F23" s="102">
        <v>0.4</v>
      </c>
      <c r="G23" s="102">
        <v>0.5</v>
      </c>
      <c r="H23" s="102">
        <v>0.4</v>
      </c>
      <c r="I23" s="102">
        <v>0.4</v>
      </c>
      <c r="J23" s="93" t="s">
        <v>139</v>
      </c>
      <c r="K23" s="93"/>
      <c r="N23" s="135"/>
      <c r="O23" s="135"/>
      <c r="P23" s="135"/>
      <c r="Q23" s="135"/>
      <c r="R23" s="135"/>
      <c r="S23" s="135"/>
      <c r="T23" s="135"/>
    </row>
    <row r="24" spans="2:20" ht="15" thickBot="1" x14ac:dyDescent="0.35">
      <c r="B24" s="60" t="s">
        <v>458</v>
      </c>
      <c r="C24" s="102">
        <v>0.22</v>
      </c>
      <c r="D24" s="102">
        <v>0.2</v>
      </c>
      <c r="E24" s="102">
        <v>0.2</v>
      </c>
      <c r="F24" s="102">
        <v>0.2</v>
      </c>
      <c r="G24" s="102">
        <v>0.2</v>
      </c>
      <c r="H24" s="102">
        <v>0.2</v>
      </c>
      <c r="I24" s="102">
        <v>0.2</v>
      </c>
      <c r="J24" s="93" t="s">
        <v>139</v>
      </c>
      <c r="K24" s="93"/>
      <c r="N24" s="135"/>
      <c r="O24" s="135"/>
      <c r="P24" s="135"/>
      <c r="Q24" s="135"/>
      <c r="R24" s="135"/>
      <c r="S24" s="135"/>
      <c r="T24" s="135"/>
    </row>
    <row r="25" spans="2:20" ht="15" thickBot="1" x14ac:dyDescent="0.35">
      <c r="B25" s="60" t="s">
        <v>402</v>
      </c>
      <c r="C25" s="100" t="s">
        <v>457</v>
      </c>
      <c r="D25" s="98" t="s">
        <v>457</v>
      </c>
      <c r="E25" s="98" t="s">
        <v>457</v>
      </c>
      <c r="F25" s="100">
        <v>75</v>
      </c>
      <c r="G25" s="100">
        <v>80</v>
      </c>
      <c r="H25" s="100">
        <v>70</v>
      </c>
      <c r="I25" s="100">
        <v>80</v>
      </c>
      <c r="J25" s="93" t="s">
        <v>137</v>
      </c>
      <c r="K25" s="93"/>
    </row>
    <row r="26" spans="2:20" ht="15" thickBot="1" x14ac:dyDescent="0.35">
      <c r="B26" s="60" t="s">
        <v>401</v>
      </c>
      <c r="C26" s="100" t="s">
        <v>456</v>
      </c>
      <c r="D26" s="98" t="s">
        <v>456</v>
      </c>
      <c r="E26" s="98" t="s">
        <v>456</v>
      </c>
      <c r="F26" s="100">
        <v>20</v>
      </c>
      <c r="G26" s="100">
        <v>25</v>
      </c>
      <c r="H26" s="100">
        <v>20</v>
      </c>
      <c r="I26" s="100">
        <v>30</v>
      </c>
      <c r="J26" s="93" t="s">
        <v>137</v>
      </c>
      <c r="K26" s="93"/>
    </row>
    <row r="27" spans="2:20" ht="15" thickBot="1" x14ac:dyDescent="0.35">
      <c r="B27" s="60" t="s">
        <v>455</v>
      </c>
      <c r="C27" s="102">
        <v>0.51</v>
      </c>
      <c r="D27" s="99">
        <v>0.25</v>
      </c>
      <c r="E27" s="102">
        <v>0.1875</v>
      </c>
      <c r="F27" s="102">
        <v>0.2</v>
      </c>
      <c r="G27" s="102">
        <v>1</v>
      </c>
      <c r="H27" s="102">
        <v>0.11</v>
      </c>
      <c r="I27" s="102">
        <v>1</v>
      </c>
      <c r="J27" s="93" t="s">
        <v>135</v>
      </c>
      <c r="K27" s="93"/>
    </row>
    <row r="28" spans="2:20" ht="15" thickBot="1" x14ac:dyDescent="0.35">
      <c r="B28" s="60" t="s">
        <v>454</v>
      </c>
      <c r="C28" s="93">
        <v>0</v>
      </c>
      <c r="D28" s="93">
        <v>0</v>
      </c>
      <c r="E28" s="93">
        <v>0</v>
      </c>
      <c r="F28" s="100"/>
      <c r="G28" s="100"/>
      <c r="H28" s="100"/>
      <c r="I28" s="100"/>
      <c r="J28" s="93"/>
      <c r="K28" s="93"/>
    </row>
    <row r="29" spans="2:20" ht="15" thickBot="1" x14ac:dyDescent="0.35">
      <c r="B29" s="96"/>
      <c r="C29" s="93"/>
      <c r="D29" s="93"/>
      <c r="E29" s="93"/>
      <c r="F29" s="93"/>
      <c r="G29" s="93"/>
      <c r="H29" s="93"/>
      <c r="I29" s="93"/>
      <c r="J29" s="93"/>
      <c r="K29" s="93"/>
    </row>
    <row r="30" spans="2:20" ht="15" thickBot="1" x14ac:dyDescent="0.35">
      <c r="B30" s="97" t="s">
        <v>155</v>
      </c>
      <c r="C30" s="93"/>
      <c r="D30" s="93"/>
      <c r="E30" s="93"/>
      <c r="F30" s="93"/>
      <c r="G30" s="93"/>
      <c r="H30" s="93"/>
      <c r="I30" s="93"/>
      <c r="J30" s="93"/>
      <c r="K30" s="93"/>
    </row>
    <row r="31" spans="2:20" ht="15" thickBot="1" x14ac:dyDescent="0.35">
      <c r="B31" s="96"/>
      <c r="C31" s="93"/>
      <c r="D31" s="93"/>
      <c r="E31" s="93"/>
      <c r="F31" s="93"/>
      <c r="G31" s="93"/>
      <c r="H31" s="93"/>
      <c r="I31" s="93"/>
      <c r="J31" s="93"/>
      <c r="K31" s="93"/>
    </row>
    <row r="32" spans="2:20" ht="15" thickBot="1" x14ac:dyDescent="0.35">
      <c r="B32" s="95"/>
      <c r="C32" s="93"/>
      <c r="D32" s="93"/>
      <c r="E32" s="93"/>
      <c r="F32" s="93"/>
      <c r="G32" s="93"/>
      <c r="H32" s="93"/>
      <c r="I32" s="93"/>
      <c r="J32" s="93"/>
      <c r="K32" s="93"/>
    </row>
    <row r="33" spans="1:12" x14ac:dyDescent="0.3">
      <c r="B33" s="55" t="s">
        <v>154</v>
      </c>
    </row>
    <row r="34" spans="1:12" x14ac:dyDescent="0.3">
      <c r="A34" s="53"/>
      <c r="B34" s="188"/>
      <c r="C34" s="188"/>
      <c r="D34" s="188"/>
      <c r="E34" s="188"/>
      <c r="F34" s="188"/>
      <c r="G34" s="188"/>
      <c r="H34" s="188"/>
      <c r="I34" s="188"/>
      <c r="J34" s="188"/>
      <c r="K34" s="188"/>
    </row>
    <row r="35" spans="1:12" x14ac:dyDescent="0.3">
      <c r="A35" s="53"/>
      <c r="B35" s="188"/>
      <c r="C35" s="188"/>
      <c r="D35" s="188"/>
      <c r="E35" s="188"/>
      <c r="F35" s="188"/>
      <c r="G35" s="188"/>
      <c r="H35" s="188"/>
      <c r="I35" s="188"/>
      <c r="J35" s="188"/>
      <c r="K35" s="188"/>
    </row>
    <row r="36" spans="1:12" x14ac:dyDescent="0.3">
      <c r="A36" s="53"/>
      <c r="B36" s="55" t="s">
        <v>144</v>
      </c>
      <c r="C36" s="54"/>
      <c r="D36" s="54"/>
      <c r="E36" s="54"/>
      <c r="F36" s="54"/>
      <c r="G36" s="54"/>
      <c r="H36" s="54"/>
      <c r="I36" s="54"/>
      <c r="J36" s="54"/>
      <c r="K36" s="54"/>
      <c r="L36" s="54"/>
    </row>
    <row r="37" spans="1:12" s="91" customFormat="1" ht="15" customHeight="1" x14ac:dyDescent="0.3">
      <c r="A37" s="92" t="s">
        <v>143</v>
      </c>
      <c r="B37" s="211" t="s">
        <v>453</v>
      </c>
      <c r="C37" s="211"/>
      <c r="D37" s="211"/>
      <c r="E37" s="211"/>
      <c r="F37" s="211"/>
      <c r="G37" s="211"/>
      <c r="H37" s="211"/>
      <c r="I37" s="211"/>
      <c r="J37" s="211"/>
      <c r="K37" s="211"/>
    </row>
    <row r="38" spans="1:12" s="91" customFormat="1" ht="13.5" customHeight="1" x14ac:dyDescent="0.3">
      <c r="A38" s="92"/>
      <c r="B38" s="191" t="s">
        <v>471</v>
      </c>
      <c r="C38" s="191"/>
      <c r="D38" s="191"/>
      <c r="E38" s="191"/>
      <c r="F38" s="191"/>
      <c r="G38" s="191"/>
      <c r="H38" s="191"/>
      <c r="I38" s="191"/>
      <c r="J38" s="191"/>
      <c r="K38" s="191"/>
      <c r="L38" s="191"/>
    </row>
    <row r="39" spans="1:12" s="91" customFormat="1" ht="27.45" customHeight="1" x14ac:dyDescent="0.3">
      <c r="A39" s="92" t="s">
        <v>141</v>
      </c>
      <c r="B39" s="191" t="s">
        <v>470</v>
      </c>
      <c r="C39" s="191"/>
      <c r="D39" s="191"/>
      <c r="E39" s="191"/>
      <c r="F39" s="191"/>
      <c r="G39" s="191"/>
      <c r="H39" s="191"/>
      <c r="I39" s="191"/>
      <c r="J39" s="191"/>
      <c r="K39" s="122"/>
      <c r="L39" s="122"/>
    </row>
    <row r="40" spans="1:12" s="91" customFormat="1" ht="26.25" customHeight="1" x14ac:dyDescent="0.3">
      <c r="A40" s="92" t="s">
        <v>139</v>
      </c>
      <c r="B40" s="188" t="s">
        <v>450</v>
      </c>
      <c r="C40" s="188"/>
      <c r="D40" s="188"/>
      <c r="E40" s="188"/>
      <c r="F40" s="188"/>
      <c r="G40" s="188"/>
      <c r="H40" s="188"/>
      <c r="I40" s="188"/>
      <c r="J40" s="188"/>
      <c r="K40" s="188"/>
    </row>
    <row r="41" spans="1:12" s="91" customFormat="1" ht="13.5" customHeight="1" x14ac:dyDescent="0.3">
      <c r="A41" s="92" t="s">
        <v>137</v>
      </c>
      <c r="B41" s="212" t="s">
        <v>449</v>
      </c>
      <c r="C41" s="212"/>
      <c r="D41" s="212"/>
      <c r="E41" s="212"/>
      <c r="F41" s="212"/>
      <c r="G41" s="212"/>
      <c r="H41" s="212"/>
      <c r="I41" s="212"/>
      <c r="J41" s="212"/>
      <c r="K41" s="212"/>
    </row>
    <row r="42" spans="1:12" s="91" customFormat="1" ht="12.75" customHeight="1" x14ac:dyDescent="0.3">
      <c r="A42" s="92" t="s">
        <v>135</v>
      </c>
      <c r="B42" s="188" t="s">
        <v>448</v>
      </c>
      <c r="C42" s="188"/>
      <c r="D42" s="188"/>
      <c r="E42" s="188"/>
      <c r="F42" s="188"/>
      <c r="G42" s="188"/>
      <c r="H42" s="188"/>
      <c r="I42" s="188"/>
      <c r="J42" s="188"/>
      <c r="K42" s="188"/>
    </row>
    <row r="43" spans="1:12" s="91" customFormat="1" ht="12.75" customHeight="1" x14ac:dyDescent="0.3">
      <c r="A43" s="92"/>
      <c r="B43" s="188"/>
      <c r="C43" s="188"/>
      <c r="D43" s="188"/>
      <c r="E43" s="188"/>
      <c r="F43" s="188"/>
      <c r="G43" s="188"/>
      <c r="H43" s="188"/>
      <c r="I43" s="188"/>
      <c r="J43" s="188"/>
      <c r="K43" s="188"/>
    </row>
    <row r="44" spans="1:12" s="91" customFormat="1" x14ac:dyDescent="0.3">
      <c r="A44" s="92"/>
      <c r="B44" s="188"/>
      <c r="C44" s="188"/>
      <c r="D44" s="188"/>
      <c r="E44" s="188"/>
      <c r="F44" s="188"/>
      <c r="G44" s="188"/>
      <c r="H44" s="188"/>
      <c r="I44" s="188"/>
      <c r="J44" s="188"/>
      <c r="K44" s="188"/>
    </row>
    <row r="45" spans="1:12" s="91" customFormat="1" ht="15" customHeight="1" x14ac:dyDescent="0.3">
      <c r="A45" s="92"/>
      <c r="B45" s="188"/>
      <c r="C45" s="188"/>
      <c r="D45" s="188"/>
      <c r="E45" s="188"/>
      <c r="F45" s="188"/>
      <c r="G45" s="188"/>
      <c r="H45" s="188"/>
      <c r="I45" s="188"/>
      <c r="J45" s="188"/>
      <c r="K45" s="188"/>
    </row>
    <row r="46" spans="1:12" s="91" customFormat="1" ht="15" customHeight="1" x14ac:dyDescent="0.3">
      <c r="A46" s="92"/>
      <c r="B46" s="188"/>
      <c r="C46" s="188"/>
      <c r="D46" s="188"/>
      <c r="E46" s="188"/>
      <c r="F46" s="188"/>
      <c r="G46" s="188"/>
      <c r="H46" s="188"/>
      <c r="I46" s="188"/>
      <c r="J46" s="188"/>
      <c r="K46" s="188"/>
    </row>
    <row r="47" spans="1:12" s="91" customFormat="1" x14ac:dyDescent="0.3">
      <c r="A47" s="92"/>
      <c r="B47" s="188"/>
      <c r="C47" s="188"/>
      <c r="D47" s="188"/>
      <c r="E47" s="188"/>
      <c r="F47" s="188"/>
      <c r="G47" s="188"/>
      <c r="H47" s="188"/>
      <c r="I47" s="188"/>
      <c r="J47" s="188"/>
      <c r="K47" s="188"/>
    </row>
    <row r="48" spans="1:12" s="91" customFormat="1" ht="15" customHeight="1" x14ac:dyDescent="0.3">
      <c r="A48" s="92"/>
      <c r="B48" s="188"/>
      <c r="C48" s="188"/>
      <c r="D48" s="188"/>
      <c r="E48" s="188"/>
      <c r="F48" s="188"/>
      <c r="G48" s="188"/>
      <c r="H48" s="188"/>
      <c r="I48" s="188"/>
      <c r="J48" s="188"/>
      <c r="K48" s="188"/>
    </row>
    <row r="49" spans="1:12" s="91" customFormat="1" ht="11.25" customHeight="1" x14ac:dyDescent="0.3">
      <c r="A49" s="92"/>
      <c r="B49" s="188"/>
      <c r="C49" s="188"/>
      <c r="D49" s="188"/>
      <c r="E49" s="188"/>
      <c r="F49" s="188"/>
      <c r="G49" s="188"/>
      <c r="H49" s="188"/>
      <c r="I49" s="188"/>
      <c r="J49" s="188"/>
      <c r="K49" s="188"/>
    </row>
    <row r="50" spans="1:12" x14ac:dyDescent="0.3">
      <c r="A50" s="53"/>
    </row>
    <row r="51" spans="1:12" ht="12.75" customHeight="1" x14ac:dyDescent="0.3">
      <c r="A51" s="53"/>
      <c r="C51" s="188"/>
      <c r="D51" s="188"/>
      <c r="E51" s="188"/>
      <c r="F51" s="188"/>
      <c r="G51" s="188"/>
      <c r="H51" s="188"/>
      <c r="I51" s="188"/>
      <c r="J51" s="188"/>
      <c r="K51" s="188"/>
      <c r="L51" s="188"/>
    </row>
    <row r="52" spans="1:12" ht="12.75" customHeight="1" x14ac:dyDescent="0.3">
      <c r="A52" s="53"/>
      <c r="C52" s="188"/>
      <c r="D52" s="188"/>
      <c r="E52" s="188"/>
      <c r="F52" s="188"/>
      <c r="G52" s="188"/>
      <c r="H52" s="188"/>
      <c r="I52" s="188"/>
      <c r="J52" s="188"/>
      <c r="K52" s="188"/>
      <c r="L52" s="188"/>
    </row>
    <row r="53" spans="1:12" x14ac:dyDescent="0.3">
      <c r="A53" s="53"/>
    </row>
    <row r="54" spans="1:12" x14ac:dyDescent="0.3">
      <c r="A54" s="53"/>
    </row>
    <row r="55" spans="1:12" x14ac:dyDescent="0.3">
      <c r="A55" s="53"/>
    </row>
    <row r="56" spans="1:12" x14ac:dyDescent="0.3">
      <c r="A56" s="53"/>
    </row>
    <row r="57" spans="1:12" x14ac:dyDescent="0.3">
      <c r="A57" s="53"/>
    </row>
    <row r="58" spans="1:12" x14ac:dyDescent="0.3">
      <c r="A58" s="53"/>
    </row>
    <row r="59" spans="1:12" x14ac:dyDescent="0.3">
      <c r="A59" s="53"/>
    </row>
    <row r="60" spans="1:12" x14ac:dyDescent="0.3">
      <c r="A60" s="53"/>
    </row>
    <row r="61" spans="1:12" x14ac:dyDescent="0.3">
      <c r="A61" s="53"/>
    </row>
    <row r="62" spans="1:12" x14ac:dyDescent="0.3">
      <c r="A62" s="53"/>
    </row>
  </sheetData>
  <mergeCells count="26">
    <mergeCell ref="B38:L38"/>
    <mergeCell ref="B39:J39"/>
    <mergeCell ref="C52:L52"/>
    <mergeCell ref="B44:K44"/>
    <mergeCell ref="B45:K45"/>
    <mergeCell ref="B47:K47"/>
    <mergeCell ref="B48:K48"/>
    <mergeCell ref="B49:K49"/>
    <mergeCell ref="C51:L51"/>
    <mergeCell ref="B46:K46"/>
    <mergeCell ref="B40:K40"/>
    <mergeCell ref="B41:K41"/>
    <mergeCell ref="B42:K42"/>
    <mergeCell ref="B43:K43"/>
    <mergeCell ref="B34:K34"/>
    <mergeCell ref="B35:K35"/>
    <mergeCell ref="B37:K37"/>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DB39-48BD-4EFC-843B-B8CBA8B431F8}">
  <sheetPr>
    <pageSetUpPr fitToPage="1"/>
  </sheetPr>
  <dimension ref="A1:U58"/>
  <sheetViews>
    <sheetView zoomScale="70" zoomScaleNormal="70" workbookViewId="0">
      <selection activeCell="M12" sqref="M12"/>
    </sheetView>
  </sheetViews>
  <sheetFormatPr defaultColWidth="9.33203125" defaultRowHeight="14.4" x14ac:dyDescent="0.3"/>
  <cols>
    <col min="1" max="1" width="2.33203125" style="90" bestFit="1" customWidth="1"/>
    <col min="2" max="2" width="50.33203125" style="90" customWidth="1"/>
    <col min="3" max="3" width="10" style="90" bestFit="1" customWidth="1"/>
    <col min="4" max="5" width="9.33203125" style="90"/>
    <col min="6" max="7" width="10" style="90" bestFit="1" customWidth="1"/>
    <col min="8" max="10" width="9.33203125" style="90"/>
    <col min="11" max="11" width="0" style="90" hidden="1" customWidth="1"/>
    <col min="12" max="12" width="1.33203125" style="90" customWidth="1"/>
    <col min="13" max="13" width="5.6640625" style="90" customWidth="1"/>
    <col min="14" max="14" width="6.33203125" style="90" customWidth="1"/>
    <col min="15" max="22" width="5.6640625" style="90" customWidth="1"/>
    <col min="23" max="16384" width="9.33203125" style="90"/>
  </cols>
  <sheetData>
    <row r="1" spans="2:21" ht="31.2" customHeight="1" thickBot="1" x14ac:dyDescent="0.35">
      <c r="B1" s="75"/>
    </row>
    <row r="2" spans="2:21" ht="30" customHeight="1" thickBot="1" x14ac:dyDescent="0.35">
      <c r="B2" s="110" t="s">
        <v>197</v>
      </c>
      <c r="C2" s="196" t="s">
        <v>488</v>
      </c>
      <c r="D2" s="196"/>
      <c r="E2" s="196"/>
      <c r="F2" s="196"/>
      <c r="G2" s="196"/>
      <c r="H2" s="196"/>
      <c r="I2" s="196"/>
      <c r="J2" s="196"/>
      <c r="K2" s="197"/>
      <c r="M2" s="109"/>
      <c r="N2" s="106"/>
      <c r="O2" s="106"/>
      <c r="P2" s="106"/>
      <c r="Q2" s="106"/>
      <c r="R2" s="106"/>
      <c r="S2" s="106"/>
      <c r="T2" s="106"/>
    </row>
    <row r="3" spans="2:21" x14ac:dyDescent="0.3">
      <c r="B3" s="198"/>
      <c r="C3" s="200">
        <v>2020</v>
      </c>
      <c r="D3" s="200">
        <v>2030</v>
      </c>
      <c r="E3" s="200">
        <v>2050</v>
      </c>
      <c r="F3" s="202" t="s">
        <v>195</v>
      </c>
      <c r="G3" s="203"/>
      <c r="H3" s="202" t="s">
        <v>194</v>
      </c>
      <c r="I3" s="203"/>
      <c r="J3" s="200" t="s">
        <v>193</v>
      </c>
      <c r="K3" s="200" t="s">
        <v>192</v>
      </c>
      <c r="M3" s="106"/>
      <c r="N3" s="106"/>
      <c r="O3" s="106"/>
      <c r="P3" s="106"/>
      <c r="Q3" s="106"/>
      <c r="R3" s="106"/>
      <c r="S3" s="106"/>
      <c r="T3" s="106"/>
    </row>
    <row r="4" spans="2:21" ht="15" thickBot="1" x14ac:dyDescent="0.35">
      <c r="B4" s="199"/>
      <c r="C4" s="201"/>
      <c r="D4" s="201"/>
      <c r="E4" s="201"/>
      <c r="F4" s="204"/>
      <c r="G4" s="205"/>
      <c r="H4" s="204"/>
      <c r="I4" s="205"/>
      <c r="J4" s="201"/>
      <c r="K4" s="201"/>
      <c r="N4" s="141"/>
      <c r="Q4" s="106"/>
    </row>
    <row r="5" spans="2:21" ht="15" thickBot="1" x14ac:dyDescent="0.35">
      <c r="B5" s="97" t="s">
        <v>191</v>
      </c>
      <c r="C5" s="104"/>
      <c r="D5" s="104"/>
      <c r="E5" s="104"/>
      <c r="F5" s="108" t="s">
        <v>190</v>
      </c>
      <c r="G5" s="108" t="s">
        <v>189</v>
      </c>
      <c r="H5" s="108" t="s">
        <v>190</v>
      </c>
      <c r="I5" s="108" t="s">
        <v>189</v>
      </c>
      <c r="J5" s="104"/>
      <c r="K5" s="103"/>
    </row>
    <row r="6" spans="2:21" ht="15" thickBot="1" x14ac:dyDescent="0.35">
      <c r="B6" s="95" t="s">
        <v>487</v>
      </c>
      <c r="C6" s="102" t="s">
        <v>486</v>
      </c>
      <c r="D6" s="102" t="s">
        <v>486</v>
      </c>
      <c r="E6" s="102" t="s">
        <v>486</v>
      </c>
      <c r="F6" s="99">
        <v>0.01</v>
      </c>
      <c r="G6" s="102">
        <v>0.1</v>
      </c>
      <c r="H6" s="99">
        <v>0.01</v>
      </c>
      <c r="I6" s="102">
        <v>0.1</v>
      </c>
      <c r="J6" s="93" t="s">
        <v>371</v>
      </c>
      <c r="K6" s="93"/>
    </row>
    <row r="7" spans="2:21" ht="15" thickBot="1" x14ac:dyDescent="0.35">
      <c r="B7" s="95"/>
      <c r="C7" s="102"/>
      <c r="D7" s="102"/>
      <c r="E7" s="102"/>
      <c r="F7" s="99"/>
      <c r="G7" s="102"/>
      <c r="H7" s="99"/>
      <c r="I7" s="102"/>
      <c r="J7" s="93"/>
      <c r="K7" s="93"/>
    </row>
    <row r="8" spans="2:21" ht="15" thickBot="1" x14ac:dyDescent="0.35">
      <c r="B8" s="95"/>
      <c r="C8" s="136"/>
      <c r="D8" s="101"/>
      <c r="E8" s="101"/>
      <c r="F8" s="101"/>
      <c r="G8" s="101"/>
      <c r="H8" s="101"/>
      <c r="I8" s="101"/>
      <c r="J8" s="93"/>
      <c r="K8" s="93"/>
      <c r="Q8" s="106"/>
    </row>
    <row r="9" spans="2:21" ht="15" customHeight="1" thickBot="1" x14ac:dyDescent="0.35">
      <c r="B9" s="95" t="s">
        <v>179</v>
      </c>
      <c r="C9" s="93">
        <v>50</v>
      </c>
      <c r="D9" s="93">
        <v>50</v>
      </c>
      <c r="E9" s="93">
        <v>50</v>
      </c>
      <c r="F9" s="93">
        <v>45</v>
      </c>
      <c r="G9" s="93">
        <v>55</v>
      </c>
      <c r="H9" s="93">
        <v>45</v>
      </c>
      <c r="I9" s="93">
        <v>55</v>
      </c>
      <c r="J9" s="93"/>
      <c r="K9" s="93"/>
      <c r="N9" s="106"/>
      <c r="O9" s="106"/>
      <c r="P9" s="106"/>
      <c r="Q9" s="106"/>
      <c r="R9" s="106"/>
      <c r="S9" s="106"/>
      <c r="T9" s="106"/>
    </row>
    <row r="10" spans="2:21" ht="15" thickBot="1" x14ac:dyDescent="0.35">
      <c r="B10" s="95" t="s">
        <v>177</v>
      </c>
      <c r="C10" s="93">
        <v>1</v>
      </c>
      <c r="D10" s="93">
        <v>1</v>
      </c>
      <c r="E10" s="93">
        <v>1</v>
      </c>
      <c r="F10" s="93">
        <v>0.5</v>
      </c>
      <c r="G10" s="93">
        <v>2</v>
      </c>
      <c r="H10" s="93">
        <v>0.5</v>
      </c>
      <c r="I10" s="93">
        <v>2</v>
      </c>
      <c r="J10" s="93"/>
      <c r="K10" s="93"/>
      <c r="M10" s="106"/>
      <c r="N10" s="106"/>
      <c r="O10" s="106"/>
      <c r="P10" s="106"/>
      <c r="Q10" s="106"/>
      <c r="R10" s="106"/>
      <c r="S10" s="106"/>
      <c r="T10" s="106"/>
    </row>
    <row r="11" spans="2:21" ht="15" thickBot="1" x14ac:dyDescent="0.35">
      <c r="B11" s="97" t="s">
        <v>176</v>
      </c>
      <c r="C11" s="104"/>
      <c r="D11" s="104"/>
      <c r="E11" s="104"/>
      <c r="F11" s="104"/>
      <c r="G11" s="104"/>
      <c r="H11" s="104"/>
      <c r="I11" s="104"/>
      <c r="J11" s="104"/>
      <c r="K11" s="103"/>
      <c r="M11" s="106"/>
      <c r="N11" s="131"/>
      <c r="O11" s="131"/>
      <c r="P11" s="131"/>
      <c r="Q11" s="131"/>
      <c r="R11" s="131"/>
      <c r="S11" s="131"/>
      <c r="T11" s="131"/>
      <c r="U11" s="131"/>
    </row>
    <row r="12" spans="2:21" ht="15" thickBot="1" x14ac:dyDescent="0.35">
      <c r="B12" s="105" t="s">
        <v>291</v>
      </c>
      <c r="C12" s="104"/>
      <c r="D12" s="104"/>
      <c r="E12" s="104"/>
      <c r="F12" s="104"/>
      <c r="G12" s="104"/>
      <c r="H12" s="104"/>
      <c r="I12" s="104"/>
      <c r="J12" s="104"/>
      <c r="K12" s="103"/>
    </row>
    <row r="13" spans="2:21" ht="15" customHeight="1" thickBot="1" x14ac:dyDescent="0.35">
      <c r="B13" s="60" t="s">
        <v>485</v>
      </c>
      <c r="C13" s="102">
        <v>10.1</v>
      </c>
      <c r="D13" s="102">
        <v>9.6</v>
      </c>
      <c r="E13" s="102">
        <v>9.1999999999999993</v>
      </c>
      <c r="F13" s="102">
        <v>9.0751157776618872</v>
      </c>
      <c r="G13" s="102">
        <v>15.125192962769813</v>
      </c>
      <c r="H13" s="102">
        <v>8.2855807050053034</v>
      </c>
      <c r="I13" s="102">
        <v>12.888681096674915</v>
      </c>
      <c r="J13" s="93" t="s">
        <v>478</v>
      </c>
      <c r="K13" s="93"/>
      <c r="N13" s="135"/>
      <c r="O13" s="135"/>
      <c r="P13" s="135"/>
      <c r="Q13" s="135"/>
      <c r="R13" s="135"/>
      <c r="S13" s="135"/>
      <c r="T13" s="135"/>
    </row>
    <row r="14" spans="2:21" ht="14.25" customHeight="1" thickBot="1" x14ac:dyDescent="0.35">
      <c r="B14" s="60" t="s">
        <v>484</v>
      </c>
      <c r="C14" s="102">
        <v>6.7</v>
      </c>
      <c r="D14" s="102">
        <v>6.4</v>
      </c>
      <c r="E14" s="102">
        <v>6.1</v>
      </c>
      <c r="F14" s="102">
        <v>6.0307756778519028</v>
      </c>
      <c r="G14" s="102">
        <v>10.051292796419837</v>
      </c>
      <c r="H14" s="102">
        <v>5.5060981938787874</v>
      </c>
      <c r="I14" s="102">
        <v>8.565041634922558</v>
      </c>
      <c r="J14" s="93" t="s">
        <v>478</v>
      </c>
      <c r="K14" s="93"/>
      <c r="N14" s="135"/>
      <c r="O14" s="135"/>
      <c r="P14" s="135"/>
      <c r="Q14" s="135"/>
      <c r="R14" s="135"/>
      <c r="S14" s="135"/>
      <c r="T14" s="135"/>
    </row>
    <row r="15" spans="2:21" ht="15" thickBot="1" x14ac:dyDescent="0.35">
      <c r="B15" s="60" t="s">
        <v>483</v>
      </c>
      <c r="C15" s="102">
        <v>2.8</v>
      </c>
      <c r="D15" s="102">
        <v>2.7</v>
      </c>
      <c r="E15" s="102">
        <v>2.5</v>
      </c>
      <c r="F15" s="102">
        <v>2.5042412839269534</v>
      </c>
      <c r="G15" s="102">
        <v>4.1737354732115888</v>
      </c>
      <c r="H15" s="102">
        <v>2.2863722922253085</v>
      </c>
      <c r="I15" s="102">
        <v>3.5565791212393689</v>
      </c>
      <c r="J15" s="93" t="s">
        <v>478</v>
      </c>
      <c r="K15" s="93"/>
      <c r="N15" s="135"/>
      <c r="O15" s="135"/>
      <c r="P15" s="135"/>
      <c r="Q15" s="135"/>
      <c r="R15" s="135"/>
      <c r="S15" s="135"/>
      <c r="T15" s="135"/>
    </row>
    <row r="16" spans="2:21" ht="15" thickBot="1" x14ac:dyDescent="0.35">
      <c r="B16" s="60" t="s">
        <v>482</v>
      </c>
      <c r="C16" s="102">
        <v>1.3</v>
      </c>
      <c r="D16" s="102">
        <v>1.2</v>
      </c>
      <c r="E16" s="102">
        <v>1.2</v>
      </c>
      <c r="F16" s="102">
        <v>1.1426183254785134</v>
      </c>
      <c r="G16" s="102">
        <v>1.9043638757975221</v>
      </c>
      <c r="H16" s="102">
        <v>1.0432105311618827</v>
      </c>
      <c r="I16" s="102">
        <v>1.6227719373629286</v>
      </c>
      <c r="J16" s="93" t="s">
        <v>478</v>
      </c>
      <c r="K16" s="93"/>
      <c r="N16" s="135"/>
      <c r="O16" s="135"/>
      <c r="P16" s="135"/>
      <c r="Q16" s="135"/>
      <c r="R16" s="135"/>
      <c r="S16" s="135"/>
      <c r="T16" s="135"/>
    </row>
    <row r="17" spans="1:20" ht="15" thickBot="1" x14ac:dyDescent="0.35">
      <c r="B17" s="60" t="s">
        <v>481</v>
      </c>
      <c r="C17" s="102">
        <v>0.7</v>
      </c>
      <c r="D17" s="102">
        <v>0.7</v>
      </c>
      <c r="E17" s="102">
        <v>0.7</v>
      </c>
      <c r="F17" s="102">
        <v>0.65626189543331748</v>
      </c>
      <c r="G17" s="102">
        <v>1.0937698257221957</v>
      </c>
      <c r="H17" s="102">
        <v>0.59916711053061888</v>
      </c>
      <c r="I17" s="102">
        <v>0.9320377274920737</v>
      </c>
      <c r="J17" s="93" t="s">
        <v>478</v>
      </c>
      <c r="K17" s="93"/>
      <c r="N17" s="135"/>
      <c r="O17" s="135"/>
      <c r="P17" s="135"/>
      <c r="Q17" s="135"/>
      <c r="R17" s="135"/>
      <c r="S17" s="135"/>
      <c r="T17" s="135"/>
    </row>
    <row r="18" spans="1:20" ht="15" thickBot="1" x14ac:dyDescent="0.35">
      <c r="B18" s="60" t="s">
        <v>168</v>
      </c>
      <c r="C18" s="102">
        <v>0.4</v>
      </c>
      <c r="D18" s="102">
        <v>0.4</v>
      </c>
      <c r="E18" s="102">
        <v>0.4</v>
      </c>
      <c r="F18" s="102">
        <v>0.39689549631759041</v>
      </c>
      <c r="G18" s="102">
        <v>0.66149249386265063</v>
      </c>
      <c r="H18" s="102">
        <v>0.36236558813796005</v>
      </c>
      <c r="I18" s="102">
        <v>0.56367980377016003</v>
      </c>
      <c r="J18" s="93" t="s">
        <v>478</v>
      </c>
      <c r="K18" s="93"/>
      <c r="N18" s="135"/>
      <c r="O18" s="135"/>
      <c r="P18" s="135"/>
      <c r="Q18" s="135"/>
      <c r="R18" s="135"/>
      <c r="S18" s="135"/>
      <c r="T18" s="135"/>
    </row>
    <row r="19" spans="1:20" ht="15" thickBot="1" x14ac:dyDescent="0.35">
      <c r="B19" s="60" t="s">
        <v>480</v>
      </c>
      <c r="C19" s="102">
        <v>0.3</v>
      </c>
      <c r="D19" s="102">
        <v>0.2</v>
      </c>
      <c r="E19" s="102">
        <v>0.2</v>
      </c>
      <c r="F19" s="102">
        <v>0.22795660186287395</v>
      </c>
      <c r="G19" s="102">
        <v>0.37992766977145653</v>
      </c>
      <c r="H19" s="102">
        <v>0.2081243775008039</v>
      </c>
      <c r="I19" s="102">
        <v>0.32374903166791719</v>
      </c>
      <c r="J19" s="93" t="s">
        <v>478</v>
      </c>
      <c r="K19" s="93"/>
      <c r="N19" s="135"/>
      <c r="O19" s="135"/>
      <c r="P19" s="135"/>
      <c r="Q19" s="135"/>
      <c r="R19" s="135"/>
      <c r="S19" s="135"/>
      <c r="T19" s="135"/>
    </row>
    <row r="20" spans="1:20" ht="16.5" customHeight="1" thickBot="1" x14ac:dyDescent="0.35">
      <c r="B20" s="60" t="s">
        <v>479</v>
      </c>
      <c r="C20" s="102">
        <v>0.2</v>
      </c>
      <c r="D20" s="102">
        <v>0.2</v>
      </c>
      <c r="E20" s="102">
        <v>0.2</v>
      </c>
      <c r="F20" s="102">
        <v>0.18109280056322122</v>
      </c>
      <c r="G20" s="102">
        <v>0.30182133427203534</v>
      </c>
      <c r="H20" s="102">
        <v>0.16533772691422097</v>
      </c>
      <c r="I20" s="102">
        <v>0.25719201964434374</v>
      </c>
      <c r="J20" s="93" t="s">
        <v>478</v>
      </c>
      <c r="K20" s="93"/>
      <c r="N20" s="135"/>
      <c r="O20" s="135"/>
      <c r="P20" s="135"/>
      <c r="Q20" s="135"/>
      <c r="R20" s="135"/>
      <c r="S20" s="135"/>
      <c r="T20" s="135"/>
    </row>
    <row r="21" spans="1:20" ht="15" thickBot="1" x14ac:dyDescent="0.35">
      <c r="B21" s="60" t="s">
        <v>402</v>
      </c>
      <c r="C21" s="100">
        <v>87</v>
      </c>
      <c r="D21" s="100">
        <v>82.649999999999991</v>
      </c>
      <c r="E21" s="100">
        <v>78.3</v>
      </c>
      <c r="F21" s="100">
        <v>80</v>
      </c>
      <c r="G21" s="100">
        <v>90</v>
      </c>
      <c r="H21" s="100">
        <v>75</v>
      </c>
      <c r="I21" s="100">
        <v>90</v>
      </c>
      <c r="J21" s="93" t="s">
        <v>137</v>
      </c>
      <c r="K21" s="93"/>
    </row>
    <row r="22" spans="1:20" ht="15" thickBot="1" x14ac:dyDescent="0.35">
      <c r="B22" s="60" t="s">
        <v>401</v>
      </c>
      <c r="C22" s="100">
        <v>13</v>
      </c>
      <c r="D22" s="100">
        <v>17.350000000000009</v>
      </c>
      <c r="E22" s="100">
        <v>21.700000000000003</v>
      </c>
      <c r="F22" s="100">
        <v>10</v>
      </c>
      <c r="G22" s="100">
        <v>20</v>
      </c>
      <c r="H22" s="100">
        <v>10</v>
      </c>
      <c r="I22" s="100">
        <v>25</v>
      </c>
      <c r="J22" s="93" t="s">
        <v>139</v>
      </c>
      <c r="K22" s="93"/>
    </row>
    <row r="23" spans="1:20" ht="15" thickBot="1" x14ac:dyDescent="0.35">
      <c r="B23" s="60" t="s">
        <v>477</v>
      </c>
      <c r="C23" s="100">
        <v>100</v>
      </c>
      <c r="D23" s="100">
        <v>100</v>
      </c>
      <c r="E23" s="100">
        <v>100</v>
      </c>
      <c r="F23" s="100">
        <v>50</v>
      </c>
      <c r="G23" s="100">
        <v>200</v>
      </c>
      <c r="H23" s="100">
        <v>50</v>
      </c>
      <c r="I23" s="100">
        <v>200</v>
      </c>
      <c r="J23" s="93" t="s">
        <v>135</v>
      </c>
      <c r="K23" s="93"/>
    </row>
    <row r="24" spans="1:20" ht="15" thickBot="1" x14ac:dyDescent="0.35">
      <c r="B24" s="60" t="s">
        <v>454</v>
      </c>
      <c r="C24" s="93">
        <v>0</v>
      </c>
      <c r="D24" s="93">
        <v>0</v>
      </c>
      <c r="E24" s="93">
        <v>0</v>
      </c>
      <c r="F24" s="100"/>
      <c r="G24" s="100"/>
      <c r="H24" s="100"/>
      <c r="I24" s="100"/>
      <c r="J24" s="93"/>
      <c r="K24" s="93"/>
    </row>
    <row r="25" spans="1:20" ht="15" thickBot="1" x14ac:dyDescent="0.35">
      <c r="B25" s="96"/>
      <c r="C25" s="93"/>
      <c r="D25" s="93"/>
      <c r="E25" s="93"/>
      <c r="F25" s="93"/>
      <c r="G25" s="93"/>
      <c r="H25" s="93"/>
      <c r="I25" s="93"/>
      <c r="J25" s="93"/>
      <c r="K25" s="93"/>
    </row>
    <row r="26" spans="1:20" ht="15" thickBot="1" x14ac:dyDescent="0.35">
      <c r="B26" s="97" t="s">
        <v>155</v>
      </c>
      <c r="C26" s="93"/>
      <c r="D26" s="93"/>
      <c r="E26" s="93"/>
      <c r="F26" s="93"/>
      <c r="G26" s="93"/>
      <c r="H26" s="93"/>
      <c r="I26" s="93"/>
      <c r="J26" s="93"/>
      <c r="K26" s="93"/>
    </row>
    <row r="27" spans="1:20" ht="15" thickBot="1" x14ac:dyDescent="0.35">
      <c r="B27" s="96"/>
      <c r="C27" s="93"/>
      <c r="D27" s="93"/>
      <c r="E27" s="93"/>
      <c r="F27" s="93"/>
      <c r="G27" s="93"/>
      <c r="H27" s="93"/>
      <c r="I27" s="93"/>
      <c r="J27" s="93"/>
      <c r="K27" s="93"/>
    </row>
    <row r="28" spans="1:20" ht="15" thickBot="1" x14ac:dyDescent="0.35">
      <c r="B28" s="95"/>
      <c r="C28" s="93"/>
      <c r="D28" s="93"/>
      <c r="E28" s="93"/>
      <c r="F28" s="93"/>
      <c r="G28" s="93"/>
      <c r="H28" s="93"/>
      <c r="I28" s="93"/>
      <c r="J28" s="93"/>
      <c r="K28" s="93"/>
    </row>
    <row r="29" spans="1:20" ht="15" thickBot="1" x14ac:dyDescent="0.35">
      <c r="B29" s="140" t="s">
        <v>154</v>
      </c>
      <c r="C29" s="139"/>
      <c r="D29" s="139"/>
      <c r="E29" s="139"/>
      <c r="F29" s="139"/>
      <c r="G29" s="139"/>
      <c r="H29" s="139"/>
      <c r="I29" s="139"/>
      <c r="J29" s="139"/>
      <c r="K29" s="138"/>
    </row>
    <row r="30" spans="1:20" x14ac:dyDescent="0.3">
      <c r="A30" s="53">
        <v>1</v>
      </c>
      <c r="B30" s="188"/>
      <c r="C30" s="188"/>
      <c r="D30" s="188"/>
      <c r="E30" s="188"/>
      <c r="F30" s="188"/>
      <c r="G30" s="188"/>
      <c r="H30" s="188"/>
      <c r="I30" s="188"/>
      <c r="J30" s="188"/>
      <c r="K30" s="188"/>
    </row>
    <row r="31" spans="1:20" x14ac:dyDescent="0.3">
      <c r="A31" s="53">
        <v>2</v>
      </c>
      <c r="B31" s="188"/>
      <c r="C31" s="188"/>
      <c r="D31" s="188"/>
      <c r="E31" s="188"/>
      <c r="F31" s="188"/>
      <c r="G31" s="188"/>
      <c r="H31" s="188"/>
      <c r="I31" s="188"/>
      <c r="J31" s="188"/>
      <c r="K31" s="188"/>
    </row>
    <row r="32" spans="1:20" x14ac:dyDescent="0.3">
      <c r="A32" s="53"/>
      <c r="B32" s="188"/>
      <c r="C32" s="188"/>
      <c r="D32" s="188"/>
      <c r="E32" s="188"/>
      <c r="F32" s="188"/>
      <c r="G32" s="188"/>
      <c r="H32" s="188"/>
      <c r="I32" s="188"/>
      <c r="J32" s="188"/>
      <c r="K32" s="188"/>
    </row>
    <row r="33" spans="1:12" x14ac:dyDescent="0.3">
      <c r="A33" s="53"/>
      <c r="B33" s="55" t="s">
        <v>144</v>
      </c>
      <c r="C33" s="54"/>
      <c r="D33" s="54"/>
      <c r="E33" s="54"/>
      <c r="F33" s="54"/>
      <c r="G33" s="54"/>
      <c r="H33" s="54"/>
      <c r="I33" s="54"/>
      <c r="J33" s="54"/>
      <c r="K33" s="54"/>
      <c r="L33" s="54"/>
    </row>
    <row r="34" spans="1:12" s="91" customFormat="1" ht="15" customHeight="1" x14ac:dyDescent="0.3">
      <c r="A34" s="92" t="s">
        <v>143</v>
      </c>
      <c r="B34" s="211" t="s">
        <v>476</v>
      </c>
      <c r="C34" s="211"/>
      <c r="D34" s="211"/>
      <c r="E34" s="211"/>
      <c r="F34" s="211"/>
      <c r="G34" s="211"/>
      <c r="H34" s="211"/>
      <c r="I34" s="211"/>
      <c r="J34" s="211"/>
      <c r="K34" s="211"/>
    </row>
    <row r="35" spans="1:12" s="91" customFormat="1" ht="13.5" customHeight="1" x14ac:dyDescent="0.3">
      <c r="A35" s="92" t="s">
        <v>141</v>
      </c>
      <c r="B35" s="191" t="s">
        <v>475</v>
      </c>
      <c r="C35" s="191"/>
      <c r="D35" s="191"/>
      <c r="E35" s="191"/>
      <c r="F35" s="191"/>
      <c r="G35" s="191"/>
      <c r="H35" s="191"/>
      <c r="I35" s="191"/>
      <c r="J35" s="191"/>
      <c r="K35" s="191"/>
      <c r="L35" s="191"/>
    </row>
    <row r="36" spans="1:12" s="91" customFormat="1" ht="26.25" customHeight="1" x14ac:dyDescent="0.3">
      <c r="A36" s="92" t="s">
        <v>139</v>
      </c>
      <c r="B36" s="188" t="s">
        <v>450</v>
      </c>
      <c r="C36" s="188"/>
      <c r="D36" s="188"/>
      <c r="E36" s="188"/>
      <c r="F36" s="188"/>
      <c r="G36" s="188"/>
      <c r="H36" s="188"/>
      <c r="I36" s="188"/>
      <c r="J36" s="188"/>
      <c r="K36" s="188"/>
    </row>
    <row r="37" spans="1:12" s="91" customFormat="1" ht="13.5" customHeight="1" x14ac:dyDescent="0.3">
      <c r="A37" s="92" t="s">
        <v>137</v>
      </c>
      <c r="B37" s="213" t="s">
        <v>474</v>
      </c>
      <c r="C37" s="213"/>
      <c r="D37" s="213"/>
      <c r="E37" s="213"/>
      <c r="F37" s="213"/>
      <c r="G37" s="213"/>
      <c r="H37" s="213"/>
      <c r="I37" s="213"/>
      <c r="J37" s="213"/>
      <c r="K37" s="213"/>
    </row>
    <row r="38" spans="1:12" s="91" customFormat="1" ht="12.75" customHeight="1" x14ac:dyDescent="0.3">
      <c r="A38" s="92" t="s">
        <v>135</v>
      </c>
      <c r="B38" s="188" t="s">
        <v>473</v>
      </c>
      <c r="C38" s="188"/>
      <c r="D38" s="188"/>
      <c r="E38" s="188"/>
      <c r="F38" s="188"/>
      <c r="G38" s="188"/>
      <c r="H38" s="188"/>
      <c r="I38" s="188"/>
      <c r="J38" s="188"/>
      <c r="K38" s="188"/>
    </row>
    <row r="39" spans="1:12" s="91" customFormat="1" ht="12.75" customHeight="1" x14ac:dyDescent="0.3">
      <c r="A39" s="92"/>
      <c r="B39" s="188"/>
      <c r="C39" s="188"/>
      <c r="D39" s="188"/>
      <c r="E39" s="188"/>
      <c r="F39" s="188"/>
      <c r="G39" s="188"/>
      <c r="H39" s="188"/>
      <c r="I39" s="188"/>
      <c r="J39" s="188"/>
      <c r="K39" s="188"/>
    </row>
    <row r="40" spans="1:12" s="91" customFormat="1" x14ac:dyDescent="0.3">
      <c r="A40" s="92"/>
      <c r="B40" s="188"/>
      <c r="C40" s="188"/>
      <c r="D40" s="188"/>
      <c r="E40" s="188"/>
      <c r="F40" s="188"/>
      <c r="G40" s="188"/>
      <c r="H40" s="188"/>
      <c r="I40" s="188"/>
      <c r="J40" s="188"/>
      <c r="K40" s="188"/>
    </row>
    <row r="41" spans="1:12" s="91" customFormat="1" ht="15" customHeight="1" x14ac:dyDescent="0.3">
      <c r="A41" s="92"/>
      <c r="B41" s="188"/>
      <c r="C41" s="188"/>
      <c r="D41" s="188"/>
      <c r="E41" s="188"/>
      <c r="F41" s="188"/>
      <c r="G41" s="188"/>
      <c r="H41" s="188"/>
      <c r="I41" s="188"/>
      <c r="J41" s="188"/>
      <c r="K41" s="188"/>
    </row>
    <row r="42" spans="1:12" s="91" customFormat="1" ht="15" customHeight="1" x14ac:dyDescent="0.3">
      <c r="A42" s="92"/>
      <c r="B42" s="188"/>
      <c r="C42" s="188"/>
      <c r="D42" s="188"/>
      <c r="E42" s="188"/>
      <c r="F42" s="188"/>
      <c r="G42" s="188"/>
      <c r="H42" s="188"/>
      <c r="I42" s="188"/>
      <c r="J42" s="188"/>
      <c r="K42" s="188"/>
    </row>
    <row r="43" spans="1:12" s="91" customFormat="1" x14ac:dyDescent="0.3">
      <c r="A43" s="92"/>
      <c r="B43" s="188"/>
      <c r="C43" s="188"/>
      <c r="D43" s="188"/>
      <c r="E43" s="188"/>
      <c r="F43" s="188"/>
      <c r="G43" s="188"/>
      <c r="H43" s="188"/>
      <c r="I43" s="188"/>
      <c r="J43" s="188"/>
      <c r="K43" s="188"/>
    </row>
    <row r="44" spans="1:12" s="91" customFormat="1" ht="15" customHeight="1" x14ac:dyDescent="0.3">
      <c r="A44" s="92"/>
      <c r="B44" s="188"/>
      <c r="C44" s="188"/>
      <c r="D44" s="188"/>
      <c r="E44" s="188"/>
      <c r="F44" s="188"/>
      <c r="G44" s="188"/>
      <c r="H44" s="188"/>
      <c r="I44" s="188"/>
      <c r="J44" s="188"/>
      <c r="K44" s="188"/>
    </row>
    <row r="45" spans="1:12" s="91" customFormat="1" ht="11.25" customHeight="1" x14ac:dyDescent="0.3">
      <c r="A45" s="92"/>
      <c r="B45" s="188"/>
      <c r="C45" s="188"/>
      <c r="D45" s="188"/>
      <c r="E45" s="188"/>
      <c r="F45" s="188"/>
      <c r="G45" s="188"/>
      <c r="H45" s="188"/>
      <c r="I45" s="188"/>
      <c r="J45" s="188"/>
      <c r="K45" s="188"/>
    </row>
    <row r="46" spans="1:12" x14ac:dyDescent="0.3">
      <c r="A46" s="53"/>
    </row>
    <row r="47" spans="1:12" ht="12.75" customHeight="1" x14ac:dyDescent="0.3">
      <c r="A47" s="53"/>
      <c r="C47" s="188"/>
      <c r="D47" s="188"/>
      <c r="E47" s="188"/>
      <c r="F47" s="188"/>
      <c r="G47" s="188"/>
      <c r="H47" s="188"/>
      <c r="I47" s="188"/>
      <c r="J47" s="188"/>
      <c r="K47" s="188"/>
      <c r="L47" s="188"/>
    </row>
    <row r="48" spans="1:12" ht="12.75" customHeight="1" x14ac:dyDescent="0.3">
      <c r="A48" s="53"/>
      <c r="C48" s="188"/>
      <c r="D48" s="188"/>
      <c r="E48" s="188"/>
      <c r="F48" s="188"/>
      <c r="G48" s="188"/>
      <c r="H48" s="188"/>
      <c r="I48" s="188"/>
      <c r="J48" s="188"/>
      <c r="K48" s="188"/>
      <c r="L48" s="188"/>
    </row>
    <row r="49" spans="1:1" x14ac:dyDescent="0.3">
      <c r="A49" s="53"/>
    </row>
    <row r="50" spans="1:1" x14ac:dyDescent="0.3">
      <c r="A50" s="53"/>
    </row>
    <row r="51" spans="1:1" x14ac:dyDescent="0.3">
      <c r="A51" s="53"/>
    </row>
    <row r="52" spans="1:1" x14ac:dyDescent="0.3">
      <c r="A52" s="53"/>
    </row>
    <row r="53" spans="1:1" x14ac:dyDescent="0.3">
      <c r="A53" s="53"/>
    </row>
    <row r="54" spans="1:1" x14ac:dyDescent="0.3">
      <c r="A54" s="53"/>
    </row>
    <row r="55" spans="1:1" x14ac:dyDescent="0.3">
      <c r="A55" s="53"/>
    </row>
    <row r="56" spans="1:1" x14ac:dyDescent="0.3">
      <c r="A56" s="53"/>
    </row>
    <row r="57" spans="1:1" x14ac:dyDescent="0.3">
      <c r="A57" s="53"/>
    </row>
    <row r="58" spans="1:1" x14ac:dyDescent="0.3">
      <c r="A58" s="53"/>
    </row>
  </sheetData>
  <mergeCells count="26">
    <mergeCell ref="B34:K34"/>
    <mergeCell ref="B35:L35"/>
    <mergeCell ref="C48:L48"/>
    <mergeCell ref="B40:K40"/>
    <mergeCell ref="B41:K41"/>
    <mergeCell ref="B43:K43"/>
    <mergeCell ref="B44:K44"/>
    <mergeCell ref="B45:K45"/>
    <mergeCell ref="C47:L47"/>
    <mergeCell ref="B42:K42"/>
    <mergeCell ref="B36:K36"/>
    <mergeCell ref="B37:K37"/>
    <mergeCell ref="B38:K38"/>
    <mergeCell ref="B39:K39"/>
    <mergeCell ref="B30:K30"/>
    <mergeCell ref="B31:K31"/>
    <mergeCell ref="B32:K32"/>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BB6E-7FF7-4C90-83FE-6F4FCE9F7BDE}">
  <sheetPr>
    <tabColor rgb="FF92D050"/>
  </sheetPr>
  <dimension ref="B1:T28"/>
  <sheetViews>
    <sheetView tabSelected="1" workbookViewId="0">
      <selection activeCell="H9" sqref="H9"/>
    </sheetView>
  </sheetViews>
  <sheetFormatPr defaultRowHeight="13.2" x14ac:dyDescent="0.25"/>
  <cols>
    <col min="1" max="1" width="3.6640625" customWidth="1"/>
    <col min="2" max="2" width="40.6640625" customWidth="1"/>
    <col min="3" max="3" width="17.33203125" bestFit="1" customWidth="1"/>
    <col min="4" max="4" width="59.5546875" bestFit="1" customWidth="1"/>
    <col min="5" max="5" width="11.6640625" bestFit="1" customWidth="1"/>
    <col min="6" max="6" width="12.33203125" bestFit="1" customWidth="1"/>
    <col min="7" max="7" width="15.6640625" customWidth="1"/>
    <col min="8" max="8" width="17" bestFit="1" customWidth="1"/>
    <col min="9" max="9" width="14.6640625" bestFit="1" customWidth="1"/>
    <col min="10" max="10" width="14" customWidth="1"/>
    <col min="11" max="11" width="12" customWidth="1"/>
    <col min="12" max="13" width="13.33203125" customWidth="1"/>
    <col min="17" max="17" width="9.5546875" bestFit="1" customWidth="1"/>
  </cols>
  <sheetData>
    <row r="1" spans="2:20" ht="15.6" x14ac:dyDescent="0.3">
      <c r="B1" s="9"/>
    </row>
    <row r="2" spans="2:20" ht="17.399999999999999" x14ac:dyDescent="0.3">
      <c r="B2" s="7" t="s">
        <v>612</v>
      </c>
    </row>
    <row r="3" spans="2:20" x14ac:dyDescent="0.25">
      <c r="D3" s="2"/>
      <c r="E3" s="1"/>
      <c r="F3" s="1"/>
    </row>
    <row r="4" spans="2:20" x14ac:dyDescent="0.25">
      <c r="E4" s="4" t="s">
        <v>0</v>
      </c>
      <c r="F4" s="1"/>
      <c r="G4" s="1"/>
    </row>
    <row r="5" spans="2:20" x14ac:dyDescent="0.25">
      <c r="B5" s="5" t="s">
        <v>1</v>
      </c>
      <c r="C5" s="5" t="s">
        <v>3</v>
      </c>
      <c r="D5" s="5" t="s">
        <v>4</v>
      </c>
      <c r="E5" s="5" t="s">
        <v>70</v>
      </c>
      <c r="F5" s="5" t="s">
        <v>7</v>
      </c>
      <c r="G5" s="5" t="s">
        <v>9</v>
      </c>
      <c r="H5" s="8" t="s">
        <v>25</v>
      </c>
      <c r="I5" s="8" t="s">
        <v>5</v>
      </c>
      <c r="J5" s="8" t="s">
        <v>27</v>
      </c>
      <c r="K5" s="8" t="s">
        <v>33</v>
      </c>
      <c r="L5" s="8" t="s">
        <v>6</v>
      </c>
      <c r="M5" s="8" t="s">
        <v>26</v>
      </c>
      <c r="N5" s="150" t="s">
        <v>572</v>
      </c>
      <c r="O5" s="150"/>
    </row>
    <row r="6" spans="2:20" ht="27" thickBot="1" x14ac:dyDescent="0.3">
      <c r="B6" s="6" t="s">
        <v>37</v>
      </c>
      <c r="C6" s="6" t="s">
        <v>23</v>
      </c>
      <c r="D6" s="6" t="s">
        <v>24</v>
      </c>
      <c r="E6" s="6"/>
      <c r="F6" s="6" t="s">
        <v>32</v>
      </c>
      <c r="G6" s="6" t="s">
        <v>28</v>
      </c>
      <c r="H6" s="6" t="s">
        <v>29</v>
      </c>
      <c r="I6" s="6" t="s">
        <v>30</v>
      </c>
      <c r="J6" s="6" t="s">
        <v>31</v>
      </c>
      <c r="K6" s="6" t="s">
        <v>34</v>
      </c>
      <c r="L6" s="6" t="s">
        <v>35</v>
      </c>
      <c r="M6" s="6" t="s">
        <v>36</v>
      </c>
      <c r="N6" s="6" t="s">
        <v>573</v>
      </c>
      <c r="O6" s="151"/>
    </row>
    <row r="7" spans="2:20" ht="26.4" x14ac:dyDescent="0.25">
      <c r="B7" s="151" t="s">
        <v>576</v>
      </c>
      <c r="C7" s="151"/>
      <c r="D7" s="151"/>
      <c r="E7" s="151"/>
      <c r="F7" s="151"/>
      <c r="G7" s="151"/>
      <c r="H7" s="151"/>
      <c r="I7" s="151" t="s">
        <v>577</v>
      </c>
      <c r="J7" s="151"/>
      <c r="K7" s="151" t="s">
        <v>578</v>
      </c>
      <c r="L7" s="151" t="s">
        <v>579</v>
      </c>
      <c r="M7" s="151" t="s">
        <v>581</v>
      </c>
      <c r="N7" s="151" t="s">
        <v>580</v>
      </c>
      <c r="O7" s="151"/>
      <c r="Q7" s="3"/>
    </row>
    <row r="8" spans="2:20" x14ac:dyDescent="0.25">
      <c r="B8" t="s">
        <v>611</v>
      </c>
      <c r="C8" t="s">
        <v>43</v>
      </c>
      <c r="D8" t="s">
        <v>45</v>
      </c>
      <c r="E8" s="10" t="s">
        <v>587</v>
      </c>
      <c r="F8" s="10">
        <v>2020</v>
      </c>
      <c r="G8" s="152">
        <f>(100-'113_14 DH_Distribu City'!C6-'113_14 DH_Distribu City'!C7)/100</f>
        <v>0.9</v>
      </c>
      <c r="H8" s="21" t="str">
        <f>'113_14 DH_Distribu City'!C11</f>
        <v>0.2</v>
      </c>
      <c r="I8" s="21">
        <f>'113_14 DH_Distribu City'!D9</f>
        <v>40</v>
      </c>
      <c r="J8" s="24">
        <f>8760*3.6/1000000</f>
        <v>3.1536000000000002E-2</v>
      </c>
      <c r="K8" s="172">
        <f>'113_14 DH_Distribu City'!C16*8760*H8/1000000</f>
        <v>0.26279999999999998</v>
      </c>
      <c r="M8" s="175">
        <f>'113_14 DH_Distribu City'!D34/3.6</f>
        <v>0.41666666666666663</v>
      </c>
      <c r="N8" s="13">
        <f>'113_14 DH_Distribu City'!D13</f>
        <v>1</v>
      </c>
      <c r="O8" s="174"/>
      <c r="Q8" s="161">
        <v>1.5</v>
      </c>
      <c r="R8" s="3" t="s">
        <v>614</v>
      </c>
      <c r="S8" s="3"/>
    </row>
    <row r="9" spans="2:20" x14ac:dyDescent="0.25">
      <c r="B9" t="s">
        <v>610</v>
      </c>
      <c r="C9" t="s">
        <v>43</v>
      </c>
      <c r="D9" t="s">
        <v>613</v>
      </c>
      <c r="E9" s="10" t="s">
        <v>587</v>
      </c>
      <c r="F9" s="10">
        <v>2020</v>
      </c>
      <c r="G9" s="163">
        <f>(100-'113_13 DH_Distribu Suburb'!C6-'113_13 DH_Distribu Suburb'!C7)/100</f>
        <v>0.81</v>
      </c>
      <c r="H9" s="164" t="str">
        <f>'113_13 DH_Distribu Suburb'!D11</f>
        <v>0.2</v>
      </c>
      <c r="I9" s="26">
        <f>'113_13 DH_Distribu Suburb'!D9</f>
        <v>40</v>
      </c>
      <c r="J9" s="27">
        <f>8760*3.6/1000000</f>
        <v>3.1536000000000002E-2</v>
      </c>
      <c r="K9" s="172">
        <f>'113_13 DH_Distribu Suburb'!D16*8760*H9/1000000</f>
        <v>1.1475599999999999</v>
      </c>
      <c r="L9" s="173"/>
      <c r="M9" s="217">
        <f>'113_13 DH_Distribu Suburb'!D34/3.6</f>
        <v>0.41666666666666663</v>
      </c>
      <c r="N9" s="13">
        <f>'113_13 DH_Distribu Suburb'!D13</f>
        <v>1</v>
      </c>
      <c r="O9" s="174"/>
      <c r="Q9" s="161">
        <f>Q8/3.6</f>
        <v>0.41666666666666663</v>
      </c>
      <c r="R9" s="3" t="s">
        <v>615</v>
      </c>
      <c r="S9" s="3"/>
    </row>
    <row r="10" spans="2:20" x14ac:dyDescent="0.25">
      <c r="B10" t="s">
        <v>609</v>
      </c>
      <c r="C10" t="s">
        <v>44</v>
      </c>
      <c r="D10" t="s">
        <v>46</v>
      </c>
      <c r="E10" s="10" t="s">
        <v>587</v>
      </c>
      <c r="F10" s="10">
        <v>2020</v>
      </c>
      <c r="G10" s="163">
        <f>(100-'113_12 DH_Distribu Rural'!D6-'113_12 DH_Distribu Rural'!D7)/100</f>
        <v>0.8</v>
      </c>
      <c r="H10" s="164" t="str">
        <f>'113_12 DH_Distribu Rural'!D11</f>
        <v>0.2</v>
      </c>
      <c r="I10" s="26">
        <f>'113_12 DH_Distribu Rural'!D9</f>
        <v>40</v>
      </c>
      <c r="J10" s="27">
        <f>8760*3.6/1000000</f>
        <v>3.1536000000000002E-2</v>
      </c>
      <c r="K10" s="172">
        <f>'113_12 DH_Distribu Rural'!D16*8760*H10/1000000</f>
        <v>1.2614399999999999</v>
      </c>
      <c r="L10" s="173"/>
      <c r="M10" s="217">
        <f>'113_12 DH_Distribu Rural'!D34/3.6</f>
        <v>0.41666666666666663</v>
      </c>
      <c r="N10" s="13">
        <f>'113_12 DH_Distribu Rural'!D13</f>
        <v>1</v>
      </c>
    </row>
    <row r="11" spans="2:20" x14ac:dyDescent="0.25">
      <c r="B11" s="149"/>
      <c r="C11" s="12"/>
      <c r="D11" s="12"/>
      <c r="E11" s="12"/>
      <c r="F11" s="12"/>
      <c r="G11" s="12"/>
      <c r="H11" s="12"/>
      <c r="I11" s="12"/>
      <c r="J11" s="12"/>
      <c r="K11" s="12"/>
      <c r="L11" s="12"/>
      <c r="M11" s="12"/>
      <c r="N11" s="12"/>
      <c r="O11" s="12"/>
      <c r="Q11" s="161"/>
      <c r="R11" s="3"/>
      <c r="S11" s="3"/>
      <c r="T11" s="3"/>
    </row>
    <row r="12" spans="2:20" x14ac:dyDescent="0.25">
      <c r="B12" s="149"/>
      <c r="P12" s="12"/>
      <c r="R12" s="161"/>
      <c r="S12" s="3"/>
      <c r="T12" s="3"/>
    </row>
    <row r="13" spans="2:20" x14ac:dyDescent="0.25">
      <c r="B13" s="149"/>
      <c r="P13" s="12"/>
      <c r="Q13" s="3"/>
      <c r="R13" s="3"/>
    </row>
    <row r="14" spans="2:20" x14ac:dyDescent="0.25">
      <c r="B14" s="14" t="s">
        <v>10</v>
      </c>
      <c r="C14" s="14"/>
      <c r="D14" s="16"/>
      <c r="E14" s="16"/>
      <c r="F14" s="16"/>
      <c r="G14" s="16"/>
      <c r="H14" s="16"/>
      <c r="I14" s="16"/>
      <c r="P14" s="12"/>
      <c r="Q14" s="3"/>
    </row>
    <row r="15" spans="2:20" x14ac:dyDescent="0.25">
      <c r="B15" s="17" t="s">
        <v>8</v>
      </c>
      <c r="C15" s="17" t="s">
        <v>1</v>
      </c>
      <c r="D15" s="17" t="s">
        <v>2</v>
      </c>
      <c r="E15" s="17" t="s">
        <v>11</v>
      </c>
      <c r="F15" s="17" t="s">
        <v>12</v>
      </c>
      <c r="G15" s="17" t="s">
        <v>13</v>
      </c>
      <c r="H15" s="17" t="s">
        <v>14</v>
      </c>
      <c r="I15" s="17" t="s">
        <v>15</v>
      </c>
      <c r="P15" s="12"/>
      <c r="Q15" s="3"/>
    </row>
    <row r="16" spans="2:20" ht="27" thickBot="1" x14ac:dyDescent="0.3">
      <c r="B16" s="18" t="s">
        <v>38</v>
      </c>
      <c r="C16" s="18" t="s">
        <v>16</v>
      </c>
      <c r="D16" s="18" t="s">
        <v>17</v>
      </c>
      <c r="E16" s="18" t="s">
        <v>18</v>
      </c>
      <c r="F16" s="18" t="s">
        <v>19</v>
      </c>
      <c r="G16" s="18" t="s">
        <v>20</v>
      </c>
      <c r="H16" s="18" t="s">
        <v>21</v>
      </c>
      <c r="I16" s="18" t="s">
        <v>22</v>
      </c>
      <c r="P16" s="12"/>
      <c r="Q16" s="3"/>
    </row>
    <row r="17" spans="2:17" x14ac:dyDescent="0.25">
      <c r="B17" s="15" t="s">
        <v>39</v>
      </c>
      <c r="C17" s="15" t="str">
        <f>B8</f>
        <v>FT-GRDHETUPN</v>
      </c>
      <c r="D17" t="s">
        <v>600</v>
      </c>
      <c r="E17" s="15" t="s">
        <v>40</v>
      </c>
      <c r="F17" s="15" t="s">
        <v>41</v>
      </c>
      <c r="G17" s="15" t="s">
        <v>42</v>
      </c>
      <c r="H17" s="15"/>
      <c r="I17" s="15"/>
      <c r="J17" s="10"/>
      <c r="K17" s="10"/>
      <c r="L17" s="10"/>
      <c r="M17" s="10"/>
      <c r="P17" s="12"/>
      <c r="Q17" s="3"/>
    </row>
    <row r="18" spans="2:17" x14ac:dyDescent="0.25">
      <c r="B18" s="16"/>
      <c r="C18" s="167" t="str">
        <f>B9</f>
        <v>FT-GRDHETSPN</v>
      </c>
      <c r="D18" t="s">
        <v>601</v>
      </c>
      <c r="E18" s="167" t="s">
        <v>40</v>
      </c>
      <c r="F18" s="167" t="s">
        <v>41</v>
      </c>
      <c r="G18" s="167" t="s">
        <v>42</v>
      </c>
      <c r="H18" s="166"/>
      <c r="I18" s="166"/>
      <c r="P18" s="12"/>
    </row>
    <row r="19" spans="2:17" x14ac:dyDescent="0.25">
      <c r="B19" s="166"/>
      <c r="C19" s="167" t="str">
        <f>B10</f>
        <v>FT-GRDHETRPN</v>
      </c>
      <c r="D19" t="s">
        <v>602</v>
      </c>
      <c r="E19" s="167" t="s">
        <v>40</v>
      </c>
      <c r="F19" s="167" t="s">
        <v>41</v>
      </c>
      <c r="G19" s="167" t="s">
        <v>42</v>
      </c>
      <c r="H19" s="166"/>
      <c r="I19" s="166"/>
      <c r="Q19" s="3"/>
    </row>
    <row r="20" spans="2:17" x14ac:dyDescent="0.25">
      <c r="B20" s="166"/>
      <c r="C20" s="167"/>
      <c r="D20" s="167"/>
      <c r="E20" s="167"/>
      <c r="F20" s="167"/>
      <c r="G20" s="167"/>
      <c r="H20" s="166"/>
      <c r="I20" s="166"/>
      <c r="Q20" s="3"/>
    </row>
    <row r="21" spans="2:17" x14ac:dyDescent="0.25">
      <c r="B21" s="166"/>
      <c r="C21" s="167"/>
      <c r="D21" s="167"/>
      <c r="E21" s="167"/>
      <c r="F21" s="167"/>
      <c r="G21" s="167"/>
      <c r="H21" s="166"/>
      <c r="I21" s="166"/>
    </row>
    <row r="22" spans="2:17" x14ac:dyDescent="0.25">
      <c r="B22" s="166"/>
      <c r="C22" s="167"/>
      <c r="D22" s="167"/>
      <c r="E22" s="167"/>
      <c r="F22" s="167"/>
      <c r="G22" s="167"/>
      <c r="H22" s="166"/>
      <c r="I22" s="166"/>
    </row>
    <row r="23" spans="2:17" x14ac:dyDescent="0.25">
      <c r="B23" s="166"/>
      <c r="C23" s="167"/>
      <c r="D23" s="167"/>
      <c r="E23" s="167"/>
      <c r="F23" s="167"/>
      <c r="G23" s="167"/>
      <c r="H23" s="12"/>
      <c r="I23" s="12"/>
    </row>
    <row r="24" spans="2:17" x14ac:dyDescent="0.25">
      <c r="B24" s="12"/>
      <c r="C24" s="167"/>
      <c r="D24" s="167"/>
      <c r="E24" s="167"/>
      <c r="F24" s="167"/>
      <c r="G24" s="167"/>
      <c r="H24" s="12"/>
      <c r="I24" s="12"/>
    </row>
    <row r="25" spans="2:17" x14ac:dyDescent="0.25">
      <c r="B25" s="12"/>
      <c r="C25" s="167"/>
      <c r="D25" s="167"/>
      <c r="E25" s="167"/>
      <c r="F25" s="167"/>
      <c r="G25" s="167"/>
      <c r="H25" s="12"/>
      <c r="I25" s="12"/>
    </row>
    <row r="26" spans="2:17" x14ac:dyDescent="0.25">
      <c r="B26" s="12"/>
      <c r="C26" s="12"/>
      <c r="D26" s="12"/>
      <c r="E26" s="12"/>
      <c r="F26" s="12"/>
      <c r="G26" s="12"/>
      <c r="H26" s="12"/>
      <c r="I26" s="12"/>
    </row>
    <row r="27" spans="2:17" x14ac:dyDescent="0.25">
      <c r="B27" s="12"/>
      <c r="C27" s="12"/>
      <c r="D27" s="12"/>
      <c r="E27" s="12"/>
      <c r="F27" s="12"/>
      <c r="G27" s="12"/>
      <c r="H27" s="12"/>
      <c r="I27" s="12"/>
    </row>
    <row r="28" spans="2:17" x14ac:dyDescent="0.25">
      <c r="B28" s="12"/>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2238-6BBC-4873-813E-D12119C5C09C}">
  <sheetPr>
    <pageSetUpPr fitToPage="1"/>
  </sheetPr>
  <dimension ref="A1:U58"/>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43.44140625" style="90" customWidth="1"/>
    <col min="3" max="3" width="10" style="90" bestFit="1" customWidth="1"/>
    <col min="4" max="5" width="9.33203125" style="90"/>
    <col min="6" max="7" width="10" style="90" bestFit="1" customWidth="1"/>
    <col min="8" max="10" width="9.33203125" style="90"/>
    <col min="11" max="11" width="0.44140625" style="90" customWidth="1"/>
    <col min="12" max="12" width="1.6640625" style="90" customWidth="1"/>
    <col min="13" max="13" width="5.6640625" style="90" customWidth="1"/>
    <col min="14" max="14" width="6.33203125" style="90" customWidth="1"/>
    <col min="15" max="22" width="5.6640625" style="90" customWidth="1"/>
    <col min="23" max="16384" width="9.33203125" style="90"/>
  </cols>
  <sheetData>
    <row r="1" spans="2:21" ht="39" customHeight="1" thickBot="1" x14ac:dyDescent="0.35">
      <c r="B1" s="75"/>
    </row>
    <row r="2" spans="2:21" ht="30" customHeight="1" thickBot="1" x14ac:dyDescent="0.35">
      <c r="B2" s="110" t="s">
        <v>197</v>
      </c>
      <c r="C2" s="196" t="s">
        <v>493</v>
      </c>
      <c r="D2" s="196"/>
      <c r="E2" s="196"/>
      <c r="F2" s="196"/>
      <c r="G2" s="196"/>
      <c r="H2" s="196"/>
      <c r="I2" s="196"/>
      <c r="J2" s="196"/>
      <c r="K2" s="197"/>
      <c r="M2" s="109"/>
      <c r="N2" s="106"/>
      <c r="O2" s="106"/>
      <c r="P2" s="106"/>
      <c r="Q2" s="106"/>
      <c r="R2" s="106"/>
      <c r="S2" s="106"/>
      <c r="T2" s="106"/>
    </row>
    <row r="3" spans="2:21" x14ac:dyDescent="0.3">
      <c r="B3" s="198"/>
      <c r="C3" s="200">
        <v>2020</v>
      </c>
      <c r="D3" s="200">
        <v>2030</v>
      </c>
      <c r="E3" s="200">
        <v>2050</v>
      </c>
      <c r="F3" s="202" t="s">
        <v>195</v>
      </c>
      <c r="G3" s="203"/>
      <c r="H3" s="202" t="s">
        <v>194</v>
      </c>
      <c r="I3" s="203"/>
      <c r="J3" s="200" t="s">
        <v>193</v>
      </c>
      <c r="K3" s="200" t="s">
        <v>192</v>
      </c>
      <c r="M3" s="106"/>
      <c r="N3" s="106"/>
      <c r="O3" s="106"/>
      <c r="P3" s="106"/>
      <c r="Q3" s="106"/>
      <c r="R3" s="106"/>
      <c r="S3" s="106"/>
      <c r="T3" s="106"/>
    </row>
    <row r="4" spans="2:21" ht="15" thickBot="1" x14ac:dyDescent="0.35">
      <c r="B4" s="199"/>
      <c r="C4" s="201"/>
      <c r="D4" s="201"/>
      <c r="E4" s="201"/>
      <c r="F4" s="204"/>
      <c r="G4" s="205"/>
      <c r="H4" s="204"/>
      <c r="I4" s="205"/>
      <c r="J4" s="201"/>
      <c r="K4" s="201"/>
      <c r="N4" s="141"/>
      <c r="Q4" s="106"/>
    </row>
    <row r="5" spans="2:21" ht="15" thickBot="1" x14ac:dyDescent="0.35">
      <c r="B5" s="97" t="s">
        <v>191</v>
      </c>
      <c r="C5" s="104"/>
      <c r="D5" s="104"/>
      <c r="E5" s="104"/>
      <c r="F5" s="108" t="s">
        <v>190</v>
      </c>
      <c r="G5" s="108" t="s">
        <v>189</v>
      </c>
      <c r="H5" s="108" t="s">
        <v>190</v>
      </c>
      <c r="I5" s="108" t="s">
        <v>189</v>
      </c>
      <c r="J5" s="104"/>
      <c r="K5" s="103"/>
    </row>
    <row r="6" spans="2:21" ht="15" thickBot="1" x14ac:dyDescent="0.35">
      <c r="B6" s="95" t="s">
        <v>487</v>
      </c>
      <c r="C6" s="102" t="s">
        <v>486</v>
      </c>
      <c r="D6" s="102" t="s">
        <v>486</v>
      </c>
      <c r="E6" s="102" t="s">
        <v>486</v>
      </c>
      <c r="F6" s="99">
        <v>0.01</v>
      </c>
      <c r="G6" s="102">
        <v>0.1</v>
      </c>
      <c r="H6" s="99">
        <v>0.01</v>
      </c>
      <c r="I6" s="102">
        <v>0.1</v>
      </c>
      <c r="J6" s="93" t="s">
        <v>371</v>
      </c>
      <c r="K6" s="93"/>
    </row>
    <row r="7" spans="2:21" ht="15" thickBot="1" x14ac:dyDescent="0.35">
      <c r="B7" s="95"/>
      <c r="C7" s="102"/>
      <c r="D7" s="102"/>
      <c r="E7" s="102"/>
      <c r="F7" s="99"/>
      <c r="G7" s="102"/>
      <c r="H7" s="99"/>
      <c r="I7" s="102"/>
      <c r="J7" s="93"/>
      <c r="K7" s="93"/>
    </row>
    <row r="8" spans="2:21" ht="15" thickBot="1" x14ac:dyDescent="0.35">
      <c r="B8" s="95"/>
      <c r="C8" s="136"/>
      <c r="D8" s="101"/>
      <c r="E8" s="101"/>
      <c r="F8" s="101"/>
      <c r="G8" s="101"/>
      <c r="H8" s="101"/>
      <c r="I8" s="101"/>
      <c r="J8" s="93"/>
      <c r="K8" s="93"/>
      <c r="Q8" s="106"/>
    </row>
    <row r="9" spans="2:21" ht="15" customHeight="1" thickBot="1" x14ac:dyDescent="0.35">
      <c r="B9" s="95" t="s">
        <v>179</v>
      </c>
      <c r="C9" s="93">
        <v>50</v>
      </c>
      <c r="D9" s="93">
        <v>50</v>
      </c>
      <c r="E9" s="93">
        <v>50</v>
      </c>
      <c r="F9" s="93">
        <v>45</v>
      </c>
      <c r="G9" s="93">
        <v>55</v>
      </c>
      <c r="H9" s="93">
        <v>45</v>
      </c>
      <c r="I9" s="93">
        <v>55</v>
      </c>
      <c r="J9" s="93"/>
      <c r="K9" s="93"/>
      <c r="N9" s="106"/>
      <c r="O9" s="106"/>
      <c r="P9" s="106"/>
      <c r="Q9" s="106"/>
      <c r="R9" s="106"/>
      <c r="S9" s="106"/>
      <c r="T9" s="106"/>
    </row>
    <row r="10" spans="2:21" ht="15" thickBot="1" x14ac:dyDescent="0.35">
      <c r="B10" s="95" t="s">
        <v>177</v>
      </c>
      <c r="C10" s="93">
        <v>1</v>
      </c>
      <c r="D10" s="93">
        <v>1</v>
      </c>
      <c r="E10" s="93">
        <v>1</v>
      </c>
      <c r="F10" s="93">
        <v>0.5</v>
      </c>
      <c r="G10" s="93">
        <v>2</v>
      </c>
      <c r="H10" s="93">
        <v>0.5</v>
      </c>
      <c r="I10" s="93">
        <v>2</v>
      </c>
      <c r="J10" s="93"/>
      <c r="K10" s="93"/>
      <c r="M10" s="106"/>
      <c r="N10" s="106"/>
      <c r="O10" s="106"/>
      <c r="P10" s="106"/>
      <c r="Q10" s="106"/>
      <c r="R10" s="106"/>
      <c r="S10" s="106"/>
      <c r="T10" s="106"/>
    </row>
    <row r="11" spans="2:21" ht="15" thickBot="1" x14ac:dyDescent="0.35">
      <c r="B11" s="97" t="s">
        <v>176</v>
      </c>
      <c r="C11" s="104"/>
      <c r="D11" s="104"/>
      <c r="E11" s="104"/>
      <c r="F11" s="104"/>
      <c r="G11" s="104"/>
      <c r="H11" s="104"/>
      <c r="I11" s="104"/>
      <c r="J11" s="104"/>
      <c r="K11" s="103"/>
      <c r="M11" s="106"/>
      <c r="N11" s="131"/>
      <c r="O11" s="131"/>
      <c r="P11" s="131"/>
      <c r="Q11" s="131"/>
      <c r="R11" s="131"/>
      <c r="S11" s="131"/>
      <c r="T11" s="131"/>
      <c r="U11" s="131"/>
    </row>
    <row r="12" spans="2:21" ht="15" thickBot="1" x14ac:dyDescent="0.35">
      <c r="B12" s="105" t="s">
        <v>291</v>
      </c>
      <c r="C12" s="104"/>
      <c r="D12" s="104"/>
      <c r="E12" s="104"/>
      <c r="F12" s="104"/>
      <c r="G12" s="104"/>
      <c r="H12" s="104"/>
      <c r="I12" s="104"/>
      <c r="J12" s="104"/>
      <c r="K12" s="103"/>
    </row>
    <row r="13" spans="2:21" ht="15" customHeight="1" thickBot="1" x14ac:dyDescent="0.35">
      <c r="B13" s="60" t="s">
        <v>492</v>
      </c>
      <c r="C13" s="102">
        <v>9.6999999999999993</v>
      </c>
      <c r="D13" s="102">
        <v>9.3000000000000007</v>
      </c>
      <c r="E13" s="102">
        <v>8.9</v>
      </c>
      <c r="F13" s="102">
        <v>8.7554241991306174</v>
      </c>
      <c r="G13" s="102">
        <v>14.592373665217695</v>
      </c>
      <c r="H13" s="102">
        <v>7.9937022938062547</v>
      </c>
      <c r="I13" s="102">
        <v>12.434648012587505</v>
      </c>
      <c r="J13" s="93" t="s">
        <v>478</v>
      </c>
      <c r="K13" s="93"/>
      <c r="N13" s="135"/>
      <c r="O13" s="135"/>
      <c r="P13" s="135"/>
      <c r="Q13" s="135"/>
      <c r="R13" s="135"/>
      <c r="S13" s="135"/>
      <c r="T13" s="135"/>
    </row>
    <row r="14" spans="2:21" ht="14.25" customHeight="1" thickBot="1" x14ac:dyDescent="0.35">
      <c r="B14" s="60" t="s">
        <v>491</v>
      </c>
      <c r="C14" s="102">
        <v>6.5</v>
      </c>
      <c r="D14" s="102">
        <v>6.2</v>
      </c>
      <c r="E14" s="102">
        <v>5.9</v>
      </c>
      <c r="F14" s="102">
        <v>5.8183278982912112</v>
      </c>
      <c r="G14" s="102">
        <v>9.6972131638186845</v>
      </c>
      <c r="H14" s="102">
        <v>5.3121333711398764</v>
      </c>
      <c r="I14" s="102">
        <v>8.263318577328695</v>
      </c>
      <c r="J14" s="93" t="s">
        <v>478</v>
      </c>
      <c r="K14" s="93"/>
      <c r="N14" s="135"/>
      <c r="O14" s="135"/>
      <c r="P14" s="135"/>
      <c r="Q14" s="135"/>
      <c r="R14" s="135"/>
      <c r="S14" s="135"/>
      <c r="T14" s="135"/>
    </row>
    <row r="15" spans="2:21" ht="15" thickBot="1" x14ac:dyDescent="0.35">
      <c r="B15" s="60" t="s">
        <v>173</v>
      </c>
      <c r="C15" s="102">
        <v>2.7</v>
      </c>
      <c r="D15" s="102">
        <v>2.6</v>
      </c>
      <c r="E15" s="102">
        <v>2.5</v>
      </c>
      <c r="F15" s="102">
        <v>2.4160236932431634</v>
      </c>
      <c r="G15" s="102">
        <v>4.0267061554052717</v>
      </c>
      <c r="H15" s="102">
        <v>2.2058296319310084</v>
      </c>
      <c r="I15" s="102">
        <v>3.4312905385593462</v>
      </c>
      <c r="J15" s="93" t="s">
        <v>478</v>
      </c>
      <c r="K15" s="93"/>
      <c r="N15" s="135"/>
      <c r="O15" s="135"/>
      <c r="P15" s="135"/>
      <c r="Q15" s="135"/>
      <c r="R15" s="135"/>
      <c r="S15" s="135"/>
      <c r="T15" s="135"/>
    </row>
    <row r="16" spans="2:21" ht="15" thickBot="1" x14ac:dyDescent="0.35">
      <c r="B16" s="60" t="s">
        <v>482</v>
      </c>
      <c r="C16" s="102">
        <v>1.2</v>
      </c>
      <c r="D16" s="102">
        <v>1.2</v>
      </c>
      <c r="E16" s="102">
        <v>1.1000000000000001</v>
      </c>
      <c r="F16" s="102">
        <v>1.1023669981037021</v>
      </c>
      <c r="G16" s="102">
        <v>1.8372783301728368</v>
      </c>
      <c r="H16" s="102">
        <v>1.0064610692686802</v>
      </c>
      <c r="I16" s="102">
        <v>1.5656061077512802</v>
      </c>
      <c r="J16" s="93" t="s">
        <v>478</v>
      </c>
      <c r="K16" s="93"/>
      <c r="N16" s="135"/>
      <c r="O16" s="135"/>
      <c r="P16" s="135"/>
      <c r="Q16" s="135"/>
      <c r="R16" s="135"/>
      <c r="S16" s="135"/>
      <c r="T16" s="135"/>
    </row>
    <row r="17" spans="1:20" ht="15" thickBot="1" x14ac:dyDescent="0.35">
      <c r="B17" s="60" t="s">
        <v>481</v>
      </c>
      <c r="C17" s="102">
        <v>0.7</v>
      </c>
      <c r="D17" s="102">
        <v>0.7</v>
      </c>
      <c r="E17" s="102">
        <v>0.6</v>
      </c>
      <c r="F17" s="102">
        <v>0.63314357866237114</v>
      </c>
      <c r="G17" s="102">
        <v>1.0552392977706184</v>
      </c>
      <c r="H17" s="102">
        <v>0.57806008731874492</v>
      </c>
      <c r="I17" s="102">
        <v>0.89920458027360317</v>
      </c>
      <c r="J17" s="93" t="s">
        <v>478</v>
      </c>
      <c r="K17" s="93"/>
      <c r="N17" s="135"/>
      <c r="O17" s="135"/>
      <c r="P17" s="135"/>
      <c r="Q17" s="135"/>
      <c r="R17" s="135"/>
      <c r="S17" s="135"/>
      <c r="T17" s="135"/>
    </row>
    <row r="18" spans="1:20" ht="15" thickBot="1" x14ac:dyDescent="0.35">
      <c r="B18" s="60" t="s">
        <v>168</v>
      </c>
      <c r="C18" s="102">
        <v>0.4</v>
      </c>
      <c r="D18" s="102">
        <v>0.4</v>
      </c>
      <c r="E18" s="102">
        <v>0.4</v>
      </c>
      <c r="F18" s="102">
        <v>0.38291395042458443</v>
      </c>
      <c r="G18" s="102">
        <v>0.6381899173743073</v>
      </c>
      <c r="H18" s="102">
        <v>0.34960043673764563</v>
      </c>
      <c r="I18" s="102">
        <v>0.54382290159189317</v>
      </c>
      <c r="J18" s="93" t="s">
        <v>478</v>
      </c>
      <c r="K18" s="93"/>
      <c r="N18" s="135"/>
      <c r="O18" s="135"/>
      <c r="P18" s="135"/>
      <c r="Q18" s="135"/>
      <c r="R18" s="135"/>
      <c r="S18" s="135"/>
      <c r="T18" s="135"/>
    </row>
    <row r="19" spans="1:20" ht="15" thickBot="1" x14ac:dyDescent="0.35">
      <c r="B19" s="60" t="s">
        <v>490</v>
      </c>
      <c r="C19" s="102">
        <v>0.2</v>
      </c>
      <c r="D19" s="102">
        <v>0.2</v>
      </c>
      <c r="E19" s="102">
        <v>0.2</v>
      </c>
      <c r="F19" s="102">
        <v>0.21992631247906819</v>
      </c>
      <c r="G19" s="102">
        <v>0.36654385413178026</v>
      </c>
      <c r="H19" s="102">
        <v>0.20079272329338926</v>
      </c>
      <c r="I19" s="102">
        <v>0.31234423623416108</v>
      </c>
      <c r="J19" s="93" t="s">
        <v>478</v>
      </c>
      <c r="K19" s="93"/>
      <c r="N19" s="135"/>
      <c r="O19" s="135"/>
      <c r="P19" s="135"/>
      <c r="Q19" s="135"/>
      <c r="R19" s="135"/>
      <c r="S19" s="135"/>
      <c r="T19" s="135"/>
    </row>
    <row r="20" spans="1:20" ht="16.5" customHeight="1" thickBot="1" x14ac:dyDescent="0.35">
      <c r="B20" s="60" t="s">
        <v>489</v>
      </c>
      <c r="C20" s="102">
        <v>0.2</v>
      </c>
      <c r="D20" s="102">
        <v>0.2</v>
      </c>
      <c r="E20" s="102">
        <v>0.2</v>
      </c>
      <c r="F20" s="102">
        <v>0.17471339508883502</v>
      </c>
      <c r="G20" s="102">
        <v>0.29118899181472502</v>
      </c>
      <c r="H20" s="102">
        <v>0.15951332971610641</v>
      </c>
      <c r="I20" s="102">
        <v>0.24813184622505438</v>
      </c>
      <c r="J20" s="93" t="s">
        <v>478</v>
      </c>
      <c r="K20" s="93"/>
      <c r="N20" s="135"/>
      <c r="O20" s="135"/>
      <c r="P20" s="135"/>
      <c r="Q20" s="135"/>
      <c r="R20" s="135"/>
      <c r="S20" s="135"/>
      <c r="T20" s="135"/>
    </row>
    <row r="21" spans="1:20" ht="15" thickBot="1" x14ac:dyDescent="0.35">
      <c r="B21" s="60" t="s">
        <v>402</v>
      </c>
      <c r="C21" s="100">
        <v>87</v>
      </c>
      <c r="D21" s="100">
        <v>82.649999999999991</v>
      </c>
      <c r="E21" s="100">
        <v>78.3</v>
      </c>
      <c r="F21" s="100">
        <v>80</v>
      </c>
      <c r="G21" s="100">
        <v>90</v>
      </c>
      <c r="H21" s="100">
        <v>75</v>
      </c>
      <c r="I21" s="100">
        <v>90</v>
      </c>
      <c r="J21" s="93" t="s">
        <v>137</v>
      </c>
      <c r="K21" s="93"/>
    </row>
    <row r="22" spans="1:20" ht="15" thickBot="1" x14ac:dyDescent="0.35">
      <c r="B22" s="60" t="s">
        <v>401</v>
      </c>
      <c r="C22" s="100">
        <v>13</v>
      </c>
      <c r="D22" s="100">
        <v>17.350000000000009</v>
      </c>
      <c r="E22" s="100">
        <v>21.700000000000003</v>
      </c>
      <c r="F22" s="100">
        <v>10</v>
      </c>
      <c r="G22" s="100">
        <v>20</v>
      </c>
      <c r="H22" s="100">
        <v>10</v>
      </c>
      <c r="I22" s="100">
        <v>25</v>
      </c>
      <c r="J22" s="93" t="s">
        <v>139</v>
      </c>
      <c r="K22" s="93"/>
    </row>
    <row r="23" spans="1:20" ht="15" thickBot="1" x14ac:dyDescent="0.35">
      <c r="B23" s="60" t="s">
        <v>477</v>
      </c>
      <c r="C23" s="100">
        <v>100</v>
      </c>
      <c r="D23" s="100">
        <v>100</v>
      </c>
      <c r="E23" s="100">
        <v>100</v>
      </c>
      <c r="F23" s="100">
        <v>50</v>
      </c>
      <c r="G23" s="100">
        <v>200</v>
      </c>
      <c r="H23" s="100">
        <v>50</v>
      </c>
      <c r="I23" s="100">
        <v>200</v>
      </c>
      <c r="J23" s="93" t="s">
        <v>135</v>
      </c>
      <c r="K23" s="93"/>
    </row>
    <row r="24" spans="1:20" ht="15" thickBot="1" x14ac:dyDescent="0.35">
      <c r="B24" s="60" t="s">
        <v>454</v>
      </c>
      <c r="C24" s="93">
        <v>0</v>
      </c>
      <c r="D24" s="93">
        <v>0</v>
      </c>
      <c r="E24" s="93">
        <v>0</v>
      </c>
      <c r="F24" s="100"/>
      <c r="G24" s="100"/>
      <c r="H24" s="100"/>
      <c r="I24" s="100"/>
      <c r="J24" s="93"/>
      <c r="K24" s="93"/>
    </row>
    <row r="25" spans="1:20" ht="15" thickBot="1" x14ac:dyDescent="0.35">
      <c r="B25" s="96"/>
      <c r="C25" s="93"/>
      <c r="D25" s="93"/>
      <c r="E25" s="93"/>
      <c r="F25" s="93"/>
      <c r="G25" s="93"/>
      <c r="H25" s="93"/>
      <c r="I25" s="93"/>
      <c r="J25" s="93"/>
      <c r="K25" s="93"/>
    </row>
    <row r="26" spans="1:20" ht="15" thickBot="1" x14ac:dyDescent="0.35">
      <c r="B26" s="97" t="s">
        <v>155</v>
      </c>
      <c r="C26" s="93"/>
      <c r="D26" s="93"/>
      <c r="E26" s="93"/>
      <c r="F26" s="93"/>
      <c r="G26" s="93"/>
      <c r="H26" s="93"/>
      <c r="I26" s="93"/>
      <c r="J26" s="93"/>
      <c r="K26" s="93"/>
    </row>
    <row r="27" spans="1:20" ht="15" thickBot="1" x14ac:dyDescent="0.35">
      <c r="B27" s="96"/>
      <c r="C27" s="93"/>
      <c r="D27" s="93"/>
      <c r="E27" s="93"/>
      <c r="F27" s="93"/>
      <c r="G27" s="93"/>
      <c r="H27" s="93"/>
      <c r="I27" s="93"/>
      <c r="J27" s="93"/>
      <c r="K27" s="93"/>
    </row>
    <row r="28" spans="1:20" ht="15" thickBot="1" x14ac:dyDescent="0.35">
      <c r="B28" s="95"/>
      <c r="C28" s="93"/>
      <c r="D28" s="93"/>
      <c r="E28" s="93"/>
      <c r="F28" s="93"/>
      <c r="G28" s="93"/>
      <c r="H28" s="93"/>
      <c r="I28" s="93"/>
      <c r="J28" s="93"/>
      <c r="K28" s="93"/>
    </row>
    <row r="29" spans="1:20" x14ac:dyDescent="0.3">
      <c r="B29" s="55" t="s">
        <v>154</v>
      </c>
    </row>
    <row r="30" spans="1:20" x14ac:dyDescent="0.3">
      <c r="A30" s="53">
        <v>1</v>
      </c>
      <c r="B30" s="188"/>
      <c r="C30" s="188"/>
      <c r="D30" s="188"/>
      <c r="E30" s="188"/>
      <c r="F30" s="188"/>
      <c r="G30" s="188"/>
      <c r="H30" s="188"/>
      <c r="I30" s="188"/>
      <c r="J30" s="188"/>
      <c r="K30" s="188"/>
    </row>
    <row r="31" spans="1:20" x14ac:dyDescent="0.3">
      <c r="A31" s="53">
        <v>2</v>
      </c>
      <c r="B31" s="188"/>
      <c r="C31" s="188"/>
      <c r="D31" s="188"/>
      <c r="E31" s="188"/>
      <c r="F31" s="188"/>
      <c r="G31" s="188"/>
      <c r="H31" s="188"/>
      <c r="I31" s="188"/>
      <c r="J31" s="188"/>
      <c r="K31" s="188"/>
    </row>
    <row r="32" spans="1:20" x14ac:dyDescent="0.3">
      <c r="A32" s="53"/>
      <c r="B32" s="188"/>
      <c r="C32" s="188"/>
      <c r="D32" s="188"/>
      <c r="E32" s="188"/>
      <c r="F32" s="188"/>
      <c r="G32" s="188"/>
      <c r="H32" s="188"/>
      <c r="I32" s="188"/>
      <c r="J32" s="188"/>
      <c r="K32" s="188"/>
    </row>
    <row r="33" spans="1:12" x14ac:dyDescent="0.3">
      <c r="A33" s="53"/>
      <c r="B33" s="55" t="s">
        <v>144</v>
      </c>
      <c r="C33" s="54"/>
      <c r="D33" s="54"/>
      <c r="E33" s="54"/>
      <c r="F33" s="54"/>
      <c r="G33" s="54"/>
      <c r="H33" s="54"/>
      <c r="I33" s="54"/>
      <c r="J33" s="54"/>
      <c r="K33" s="54"/>
      <c r="L33" s="54"/>
    </row>
    <row r="34" spans="1:12" s="91" customFormat="1" ht="15" customHeight="1" x14ac:dyDescent="0.3">
      <c r="A34" s="92" t="s">
        <v>143</v>
      </c>
      <c r="B34" s="211" t="s">
        <v>476</v>
      </c>
      <c r="C34" s="211"/>
      <c r="D34" s="211"/>
      <c r="E34" s="211"/>
      <c r="F34" s="211"/>
      <c r="G34" s="211"/>
      <c r="H34" s="211"/>
      <c r="I34" s="211"/>
      <c r="J34" s="211"/>
      <c r="K34" s="211"/>
    </row>
    <row r="35" spans="1:12" s="91" customFormat="1" ht="13.5" customHeight="1" x14ac:dyDescent="0.3">
      <c r="A35" s="92" t="s">
        <v>141</v>
      </c>
      <c r="B35" s="191" t="s">
        <v>475</v>
      </c>
      <c r="C35" s="191"/>
      <c r="D35" s="191"/>
      <c r="E35" s="191"/>
      <c r="F35" s="191"/>
      <c r="G35" s="191"/>
      <c r="H35" s="191"/>
      <c r="I35" s="191"/>
      <c r="J35" s="191"/>
      <c r="K35" s="191"/>
      <c r="L35" s="191"/>
    </row>
    <row r="36" spans="1:12" s="91" customFormat="1" ht="26.25" customHeight="1" x14ac:dyDescent="0.3">
      <c r="A36" s="92" t="s">
        <v>139</v>
      </c>
      <c r="B36" s="188" t="s">
        <v>450</v>
      </c>
      <c r="C36" s="188"/>
      <c r="D36" s="188"/>
      <c r="E36" s="188"/>
      <c r="F36" s="188"/>
      <c r="G36" s="188"/>
      <c r="H36" s="188"/>
      <c r="I36" s="188"/>
      <c r="J36" s="188"/>
      <c r="K36" s="188"/>
    </row>
    <row r="37" spans="1:12" s="91" customFormat="1" ht="13.5" customHeight="1" x14ac:dyDescent="0.3">
      <c r="A37" s="92" t="s">
        <v>137</v>
      </c>
      <c r="B37" s="213" t="s">
        <v>474</v>
      </c>
      <c r="C37" s="213"/>
      <c r="D37" s="213"/>
      <c r="E37" s="213"/>
      <c r="F37" s="213"/>
      <c r="G37" s="213"/>
      <c r="H37" s="213"/>
      <c r="I37" s="213"/>
      <c r="J37" s="213"/>
      <c r="K37" s="213"/>
    </row>
    <row r="38" spans="1:12" s="91" customFormat="1" ht="12.75" customHeight="1" x14ac:dyDescent="0.3">
      <c r="A38" s="92" t="s">
        <v>135</v>
      </c>
      <c r="B38" s="188" t="s">
        <v>473</v>
      </c>
      <c r="C38" s="188"/>
      <c r="D38" s="188"/>
      <c r="E38" s="188"/>
      <c r="F38" s="188"/>
      <c r="G38" s="188"/>
      <c r="H38" s="188"/>
      <c r="I38" s="188"/>
      <c r="J38" s="188"/>
      <c r="K38" s="188"/>
    </row>
    <row r="39" spans="1:12" s="91" customFormat="1" ht="12.75" customHeight="1" x14ac:dyDescent="0.3">
      <c r="A39" s="92"/>
      <c r="B39" s="188"/>
      <c r="C39" s="188"/>
      <c r="D39" s="188"/>
      <c r="E39" s="188"/>
      <c r="F39" s="188"/>
      <c r="G39" s="188"/>
      <c r="H39" s="188"/>
      <c r="I39" s="188"/>
      <c r="J39" s="188"/>
      <c r="K39" s="188"/>
    </row>
    <row r="40" spans="1:12" s="91" customFormat="1" x14ac:dyDescent="0.3">
      <c r="A40" s="92"/>
      <c r="B40" s="188"/>
      <c r="C40" s="188"/>
      <c r="D40" s="188"/>
      <c r="E40" s="188"/>
      <c r="F40" s="188"/>
      <c r="G40" s="188"/>
      <c r="H40" s="188"/>
      <c r="I40" s="188"/>
      <c r="J40" s="188"/>
      <c r="K40" s="188"/>
    </row>
    <row r="41" spans="1:12" s="91" customFormat="1" ht="15" customHeight="1" x14ac:dyDescent="0.3">
      <c r="A41" s="92"/>
      <c r="B41" s="188"/>
      <c r="C41" s="188"/>
      <c r="D41" s="188"/>
      <c r="E41" s="188"/>
      <c r="F41" s="188"/>
      <c r="G41" s="188"/>
      <c r="H41" s="188"/>
      <c r="I41" s="188"/>
      <c r="J41" s="188"/>
      <c r="K41" s="188"/>
    </row>
    <row r="42" spans="1:12" s="91" customFormat="1" ht="15" customHeight="1" x14ac:dyDescent="0.3">
      <c r="A42" s="92"/>
      <c r="B42" s="188"/>
      <c r="C42" s="188"/>
      <c r="D42" s="188"/>
      <c r="E42" s="188"/>
      <c r="F42" s="188"/>
      <c r="G42" s="188"/>
      <c r="H42" s="188"/>
      <c r="I42" s="188"/>
      <c r="J42" s="188"/>
      <c r="K42" s="188"/>
    </row>
    <row r="43" spans="1:12" s="91" customFormat="1" x14ac:dyDescent="0.3">
      <c r="A43" s="92"/>
      <c r="B43" s="188"/>
      <c r="C43" s="188"/>
      <c r="D43" s="188"/>
      <c r="E43" s="188"/>
      <c r="F43" s="188"/>
      <c r="G43" s="188"/>
      <c r="H43" s="188"/>
      <c r="I43" s="188"/>
      <c r="J43" s="188"/>
      <c r="K43" s="188"/>
    </row>
    <row r="44" spans="1:12" s="91" customFormat="1" ht="15" customHeight="1" x14ac:dyDescent="0.3">
      <c r="A44" s="92"/>
      <c r="B44" s="188"/>
      <c r="C44" s="188"/>
      <c r="D44" s="188"/>
      <c r="E44" s="188"/>
      <c r="F44" s="188"/>
      <c r="G44" s="188"/>
      <c r="H44" s="188"/>
      <c r="I44" s="188"/>
      <c r="J44" s="188"/>
      <c r="K44" s="188"/>
    </row>
    <row r="45" spans="1:12" s="91" customFormat="1" ht="11.25" customHeight="1" x14ac:dyDescent="0.3">
      <c r="A45" s="92"/>
      <c r="B45" s="188"/>
      <c r="C45" s="188"/>
      <c r="D45" s="188"/>
      <c r="E45" s="188"/>
      <c r="F45" s="188"/>
      <c r="G45" s="188"/>
      <c r="H45" s="188"/>
      <c r="I45" s="188"/>
      <c r="J45" s="188"/>
      <c r="K45" s="188"/>
    </row>
    <row r="46" spans="1:12" x14ac:dyDescent="0.3">
      <c r="A46" s="53"/>
    </row>
    <row r="47" spans="1:12" ht="12.75" customHeight="1" x14ac:dyDescent="0.3">
      <c r="A47" s="53"/>
      <c r="C47" s="188"/>
      <c r="D47" s="188"/>
      <c r="E47" s="188"/>
      <c r="F47" s="188"/>
      <c r="G47" s="188"/>
      <c r="H47" s="188"/>
      <c r="I47" s="188"/>
      <c r="J47" s="188"/>
      <c r="K47" s="188"/>
      <c r="L47" s="188"/>
    </row>
    <row r="48" spans="1:12" ht="12.75" customHeight="1" x14ac:dyDescent="0.3">
      <c r="A48" s="53"/>
      <c r="C48" s="188"/>
      <c r="D48" s="188"/>
      <c r="E48" s="188"/>
      <c r="F48" s="188"/>
      <c r="G48" s="188"/>
      <c r="H48" s="188"/>
      <c r="I48" s="188"/>
      <c r="J48" s="188"/>
      <c r="K48" s="188"/>
      <c r="L48" s="188"/>
    </row>
    <row r="49" spans="1:1" x14ac:dyDescent="0.3">
      <c r="A49" s="53"/>
    </row>
    <row r="50" spans="1:1" x14ac:dyDescent="0.3">
      <c r="A50" s="53"/>
    </row>
    <row r="51" spans="1:1" x14ac:dyDescent="0.3">
      <c r="A51" s="53"/>
    </row>
    <row r="52" spans="1:1" x14ac:dyDescent="0.3">
      <c r="A52" s="53"/>
    </row>
    <row r="53" spans="1:1" x14ac:dyDescent="0.3">
      <c r="A53" s="53"/>
    </row>
    <row r="54" spans="1:1" x14ac:dyDescent="0.3">
      <c r="A54" s="53"/>
    </row>
    <row r="55" spans="1:1" x14ac:dyDescent="0.3">
      <c r="A55" s="53"/>
    </row>
    <row r="56" spans="1:1" x14ac:dyDescent="0.3">
      <c r="A56" s="53"/>
    </row>
    <row r="57" spans="1:1" x14ac:dyDescent="0.3">
      <c r="A57" s="53"/>
    </row>
    <row r="58" spans="1:1" x14ac:dyDescent="0.3">
      <c r="A58" s="53"/>
    </row>
  </sheetData>
  <mergeCells count="26">
    <mergeCell ref="B34:K34"/>
    <mergeCell ref="B35:L35"/>
    <mergeCell ref="C48:L48"/>
    <mergeCell ref="B40:K40"/>
    <mergeCell ref="B41:K41"/>
    <mergeCell ref="B43:K43"/>
    <mergeCell ref="B44:K44"/>
    <mergeCell ref="B45:K45"/>
    <mergeCell ref="C47:L47"/>
    <mergeCell ref="B42:K42"/>
    <mergeCell ref="B36:K36"/>
    <mergeCell ref="B37:K37"/>
    <mergeCell ref="B38:K38"/>
    <mergeCell ref="B39:K39"/>
    <mergeCell ref="B30:K30"/>
    <mergeCell ref="B31:K31"/>
    <mergeCell ref="B32:K32"/>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BBF0-C99C-483A-830F-752D14D3D001}">
  <sheetPr>
    <pageSetUpPr fitToPage="1"/>
  </sheetPr>
  <dimension ref="A1:T58"/>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50.33203125" style="90" customWidth="1"/>
    <col min="3" max="3" width="10" style="90" bestFit="1" customWidth="1"/>
    <col min="4" max="5" width="9.33203125" style="90"/>
    <col min="6" max="7" width="10" style="90" bestFit="1" customWidth="1"/>
    <col min="8" max="10" width="9.33203125" style="90"/>
    <col min="11" max="11" width="0" style="90" hidden="1" customWidth="1"/>
    <col min="12" max="12" width="1.33203125" style="90" customWidth="1"/>
    <col min="13" max="13" width="5.6640625" style="90" customWidth="1"/>
    <col min="14" max="14" width="6.33203125" style="90" customWidth="1"/>
    <col min="15" max="22" width="5.6640625" style="90" customWidth="1"/>
    <col min="23" max="16384" width="9.33203125" style="90"/>
  </cols>
  <sheetData>
    <row r="1" spans="1:20" ht="39" customHeight="1" thickBot="1" x14ac:dyDescent="0.35">
      <c r="A1" s="90" t="s">
        <v>121</v>
      </c>
      <c r="B1" s="75"/>
    </row>
    <row r="2" spans="1:20" ht="30" customHeight="1" thickBot="1" x14ac:dyDescent="0.35">
      <c r="B2" s="110" t="s">
        <v>197</v>
      </c>
      <c r="C2" s="196" t="s">
        <v>494</v>
      </c>
      <c r="D2" s="196"/>
      <c r="E2" s="196"/>
      <c r="F2" s="196"/>
      <c r="G2" s="196"/>
      <c r="H2" s="196"/>
      <c r="I2" s="196"/>
      <c r="J2" s="196"/>
      <c r="K2" s="197"/>
      <c r="M2" s="109"/>
      <c r="N2" s="106"/>
      <c r="O2" s="106"/>
      <c r="P2" s="106"/>
      <c r="Q2" s="106"/>
      <c r="R2" s="106"/>
      <c r="S2" s="106"/>
      <c r="T2" s="106"/>
    </row>
    <row r="3" spans="1:20" x14ac:dyDescent="0.3">
      <c r="B3" s="198"/>
      <c r="C3" s="200">
        <v>2020</v>
      </c>
      <c r="D3" s="200">
        <v>2030</v>
      </c>
      <c r="E3" s="200">
        <v>2050</v>
      </c>
      <c r="F3" s="202" t="s">
        <v>195</v>
      </c>
      <c r="G3" s="203"/>
      <c r="H3" s="202" t="s">
        <v>194</v>
      </c>
      <c r="I3" s="203"/>
      <c r="J3" s="200" t="s">
        <v>193</v>
      </c>
      <c r="K3" s="200" t="s">
        <v>192</v>
      </c>
      <c r="M3" s="106"/>
      <c r="N3" s="106"/>
      <c r="O3" s="106"/>
      <c r="P3" s="106"/>
      <c r="Q3" s="106"/>
      <c r="R3" s="106"/>
      <c r="S3" s="106"/>
      <c r="T3" s="106"/>
    </row>
    <row r="4" spans="1:20" ht="15" thickBot="1" x14ac:dyDescent="0.35">
      <c r="B4" s="199"/>
      <c r="C4" s="201"/>
      <c r="D4" s="201"/>
      <c r="E4" s="201"/>
      <c r="F4" s="204"/>
      <c r="G4" s="205"/>
      <c r="H4" s="204"/>
      <c r="I4" s="205"/>
      <c r="J4" s="201"/>
      <c r="K4" s="201"/>
      <c r="N4" s="141"/>
      <c r="Q4" s="106"/>
    </row>
    <row r="5" spans="1:20" ht="15" thickBot="1" x14ac:dyDescent="0.35">
      <c r="B5" s="97" t="s">
        <v>191</v>
      </c>
      <c r="C5" s="104"/>
      <c r="D5" s="104"/>
      <c r="E5" s="104"/>
      <c r="F5" s="108" t="s">
        <v>190</v>
      </c>
      <c r="G5" s="108" t="s">
        <v>189</v>
      </c>
      <c r="H5" s="108" t="s">
        <v>190</v>
      </c>
      <c r="I5" s="108" t="s">
        <v>189</v>
      </c>
      <c r="J5" s="104"/>
      <c r="K5" s="103"/>
    </row>
    <row r="6" spans="1:20" ht="15" thickBot="1" x14ac:dyDescent="0.35">
      <c r="B6" s="95" t="s">
        <v>487</v>
      </c>
      <c r="C6" s="102" t="s">
        <v>486</v>
      </c>
      <c r="D6" s="102" t="s">
        <v>486</v>
      </c>
      <c r="E6" s="102" t="s">
        <v>486</v>
      </c>
      <c r="F6" s="99">
        <v>0.01</v>
      </c>
      <c r="G6" s="102">
        <v>0.1</v>
      </c>
      <c r="H6" s="99">
        <v>0.01</v>
      </c>
      <c r="I6" s="102">
        <v>0.1</v>
      </c>
      <c r="J6" s="93" t="s">
        <v>371</v>
      </c>
      <c r="K6" s="93"/>
    </row>
    <row r="7" spans="1:20" ht="15" thickBot="1" x14ac:dyDescent="0.35">
      <c r="B7" s="95"/>
      <c r="C7" s="102"/>
      <c r="D7" s="102"/>
      <c r="E7" s="102"/>
      <c r="F7" s="99"/>
      <c r="G7" s="102"/>
      <c r="H7" s="99"/>
      <c r="I7" s="102"/>
      <c r="J7" s="93"/>
      <c r="K7" s="93"/>
    </row>
    <row r="8" spans="1:20" ht="15" thickBot="1" x14ac:dyDescent="0.35">
      <c r="B8" s="95"/>
      <c r="C8" s="136"/>
      <c r="D8" s="101"/>
      <c r="E8" s="101"/>
      <c r="F8" s="101"/>
      <c r="G8" s="101"/>
      <c r="H8" s="101"/>
      <c r="I8" s="101"/>
      <c r="J8" s="93"/>
      <c r="K8" s="93"/>
      <c r="Q8" s="106"/>
    </row>
    <row r="9" spans="1:20" ht="15" customHeight="1" thickBot="1" x14ac:dyDescent="0.35">
      <c r="B9" s="95" t="s">
        <v>179</v>
      </c>
      <c r="C9" s="93">
        <v>50</v>
      </c>
      <c r="D9" s="93">
        <v>50</v>
      </c>
      <c r="E9" s="93">
        <v>50</v>
      </c>
      <c r="F9" s="93">
        <v>45</v>
      </c>
      <c r="G9" s="93">
        <v>55</v>
      </c>
      <c r="H9" s="93">
        <v>45</v>
      </c>
      <c r="I9" s="93">
        <v>55</v>
      </c>
      <c r="J9" s="93"/>
      <c r="K9" s="93"/>
      <c r="N9" s="106"/>
      <c r="O9" s="106"/>
      <c r="P9" s="106"/>
      <c r="Q9" s="106"/>
      <c r="R9" s="106"/>
      <c r="S9" s="106"/>
      <c r="T9" s="106"/>
    </row>
    <row r="10" spans="1:20" ht="15" thickBot="1" x14ac:dyDescent="0.35">
      <c r="B10" s="95" t="s">
        <v>177</v>
      </c>
      <c r="C10" s="93">
        <v>1</v>
      </c>
      <c r="D10" s="93">
        <v>1</v>
      </c>
      <c r="E10" s="93">
        <v>1</v>
      </c>
      <c r="F10" s="93">
        <v>0.5</v>
      </c>
      <c r="G10" s="93">
        <v>2</v>
      </c>
      <c r="H10" s="93">
        <v>0.5</v>
      </c>
      <c r="I10" s="93">
        <v>2</v>
      </c>
      <c r="J10" s="93"/>
      <c r="K10" s="93"/>
      <c r="M10" s="106"/>
      <c r="N10" s="106"/>
      <c r="O10" s="106"/>
      <c r="P10" s="106"/>
      <c r="Q10" s="106"/>
      <c r="R10" s="106"/>
      <c r="S10" s="106"/>
      <c r="T10" s="106"/>
    </row>
    <row r="11" spans="1:20" ht="15" thickBot="1" x14ac:dyDescent="0.35">
      <c r="B11" s="97" t="s">
        <v>176</v>
      </c>
      <c r="C11" s="104"/>
      <c r="D11" s="104"/>
      <c r="E11" s="104"/>
      <c r="F11" s="104"/>
      <c r="G11" s="104"/>
      <c r="H11" s="104"/>
      <c r="I11" s="104"/>
      <c r="J11" s="104"/>
      <c r="K11" s="103"/>
      <c r="M11" s="106"/>
      <c r="N11" s="131"/>
      <c r="O11" s="131"/>
      <c r="P11" s="131"/>
      <c r="Q11" s="131"/>
      <c r="R11" s="131"/>
      <c r="S11" s="131"/>
      <c r="T11" s="131"/>
    </row>
    <row r="12" spans="1:20" ht="15" thickBot="1" x14ac:dyDescent="0.35">
      <c r="B12" s="105" t="s">
        <v>291</v>
      </c>
      <c r="C12" s="104"/>
      <c r="D12" s="104"/>
      <c r="E12" s="104"/>
      <c r="F12" s="104"/>
      <c r="G12" s="104"/>
      <c r="H12" s="104"/>
      <c r="I12" s="104"/>
      <c r="J12" s="104"/>
      <c r="K12" s="103"/>
    </row>
    <row r="13" spans="1:20" ht="15" customHeight="1" thickBot="1" x14ac:dyDescent="0.35">
      <c r="B13" s="60" t="s">
        <v>492</v>
      </c>
      <c r="C13" s="102">
        <v>9.1999999999999993</v>
      </c>
      <c r="D13" s="102">
        <v>8.8000000000000007</v>
      </c>
      <c r="E13" s="102">
        <v>8.4</v>
      </c>
      <c r="F13" s="102">
        <v>8.2501052524198979</v>
      </c>
      <c r="G13" s="102">
        <v>13.750175420699829</v>
      </c>
      <c r="H13" s="102">
        <v>7.5323460954593671</v>
      </c>
      <c r="I13" s="102">
        <v>11.716982815159014</v>
      </c>
      <c r="J13" s="93" t="s">
        <v>478</v>
      </c>
      <c r="K13" s="93"/>
      <c r="N13" s="135"/>
      <c r="O13" s="135"/>
      <c r="P13" s="135"/>
      <c r="Q13" s="135"/>
      <c r="R13" s="135"/>
      <c r="S13" s="135"/>
      <c r="T13" s="135"/>
    </row>
    <row r="14" spans="1:20" ht="14.25" customHeight="1" thickBot="1" x14ac:dyDescent="0.35">
      <c r="B14" s="60" t="s">
        <v>491</v>
      </c>
      <c r="C14" s="102">
        <v>6.1</v>
      </c>
      <c r="D14" s="102">
        <v>5.8</v>
      </c>
      <c r="E14" s="102">
        <v>5.6</v>
      </c>
      <c r="F14" s="102">
        <v>5.4825233435017289</v>
      </c>
      <c r="G14" s="102">
        <v>9.137538905836216</v>
      </c>
      <c r="H14" s="102">
        <v>5.0055438126170788</v>
      </c>
      <c r="I14" s="102">
        <v>7.7864014862932338</v>
      </c>
      <c r="J14" s="93" t="s">
        <v>478</v>
      </c>
      <c r="K14" s="93"/>
      <c r="N14" s="135"/>
      <c r="O14" s="135"/>
      <c r="P14" s="135"/>
      <c r="Q14" s="135"/>
      <c r="R14" s="135"/>
      <c r="S14" s="135"/>
      <c r="T14" s="135"/>
    </row>
    <row r="15" spans="1:20" ht="15" thickBot="1" x14ac:dyDescent="0.35">
      <c r="B15" s="60" t="s">
        <v>173</v>
      </c>
      <c r="C15" s="102">
        <v>2.5</v>
      </c>
      <c r="D15" s="102">
        <v>2.4</v>
      </c>
      <c r="E15" s="102">
        <v>2.2999999999999998</v>
      </c>
      <c r="F15" s="102">
        <v>2.2765829853881394</v>
      </c>
      <c r="G15" s="102">
        <v>3.7943049756468992</v>
      </c>
      <c r="H15" s="102">
        <v>2.0785202656593715</v>
      </c>
      <c r="I15" s="102">
        <v>3.2332537465812443</v>
      </c>
      <c r="J15" s="93" t="s">
        <v>478</v>
      </c>
      <c r="K15" s="93"/>
      <c r="N15" s="135"/>
      <c r="O15" s="135"/>
      <c r="P15" s="135"/>
      <c r="Q15" s="135"/>
      <c r="R15" s="135"/>
      <c r="S15" s="135"/>
      <c r="T15" s="135"/>
    </row>
    <row r="16" spans="1:20" ht="15" thickBot="1" x14ac:dyDescent="0.35">
      <c r="B16" s="60" t="s">
        <v>482</v>
      </c>
      <c r="C16" s="102">
        <v>1.2</v>
      </c>
      <c r="D16" s="102">
        <v>1.1000000000000001</v>
      </c>
      <c r="E16" s="102">
        <v>1.1000000000000001</v>
      </c>
      <c r="F16" s="102">
        <v>1.0387439322531939</v>
      </c>
      <c r="G16" s="102">
        <v>1.7312398870886565</v>
      </c>
      <c r="H16" s="102">
        <v>0.94837321014716602</v>
      </c>
      <c r="I16" s="102">
        <v>1.4752472157844805</v>
      </c>
      <c r="J16" s="93" t="s">
        <v>478</v>
      </c>
      <c r="K16" s="93"/>
      <c r="N16" s="135"/>
      <c r="O16" s="135"/>
      <c r="P16" s="135"/>
      <c r="Q16" s="135"/>
      <c r="R16" s="135"/>
      <c r="S16" s="135"/>
      <c r="T16" s="135"/>
    </row>
    <row r="17" spans="1:20" ht="15" thickBot="1" x14ac:dyDescent="0.35">
      <c r="B17" s="60" t="s">
        <v>481</v>
      </c>
      <c r="C17" s="102">
        <v>0.7</v>
      </c>
      <c r="D17" s="102">
        <v>0.6</v>
      </c>
      <c r="E17" s="102">
        <v>0.6</v>
      </c>
      <c r="F17" s="102">
        <v>0.59660172312119764</v>
      </c>
      <c r="G17" s="102">
        <v>0.99433620520199617</v>
      </c>
      <c r="H17" s="102">
        <v>0.5446973732096535</v>
      </c>
      <c r="I17" s="102">
        <v>0.84730702499279431</v>
      </c>
      <c r="J17" s="93" t="s">
        <v>478</v>
      </c>
      <c r="K17" s="93"/>
      <c r="N17" s="135"/>
      <c r="O17" s="135"/>
      <c r="P17" s="135"/>
      <c r="Q17" s="135"/>
      <c r="R17" s="135"/>
      <c r="S17" s="135"/>
      <c r="T17" s="135"/>
    </row>
    <row r="18" spans="1:20" ht="15" thickBot="1" x14ac:dyDescent="0.35">
      <c r="B18" s="60" t="s">
        <v>168</v>
      </c>
      <c r="C18" s="102">
        <v>0.4</v>
      </c>
      <c r="D18" s="102">
        <v>0.4</v>
      </c>
      <c r="E18" s="102">
        <v>0.4</v>
      </c>
      <c r="F18" s="102">
        <v>0.36081408756144584</v>
      </c>
      <c r="G18" s="102">
        <v>0.6013568126024097</v>
      </c>
      <c r="H18" s="102">
        <v>0.32942326194360005</v>
      </c>
      <c r="I18" s="102">
        <v>0.51243618524560008</v>
      </c>
      <c r="J18" s="93" t="s">
        <v>478</v>
      </c>
      <c r="K18" s="93"/>
      <c r="N18" s="135"/>
      <c r="O18" s="135"/>
      <c r="P18" s="135"/>
      <c r="Q18" s="135"/>
      <c r="R18" s="135"/>
      <c r="S18" s="135"/>
      <c r="T18" s="135"/>
    </row>
    <row r="19" spans="1:20" ht="15" thickBot="1" x14ac:dyDescent="0.35">
      <c r="B19" s="60" t="s">
        <v>490</v>
      </c>
      <c r="C19" s="102">
        <v>0.2</v>
      </c>
      <c r="D19" s="102">
        <v>0.2</v>
      </c>
      <c r="E19" s="102">
        <v>0.2</v>
      </c>
      <c r="F19" s="102">
        <v>0.20723327442079448</v>
      </c>
      <c r="G19" s="102">
        <v>0.34538879070132411</v>
      </c>
      <c r="H19" s="102">
        <v>0.18920397954618537</v>
      </c>
      <c r="I19" s="102">
        <v>0.29431730151628832</v>
      </c>
      <c r="J19" s="93" t="s">
        <v>478</v>
      </c>
      <c r="K19" s="93"/>
      <c r="N19" s="135"/>
      <c r="O19" s="135"/>
      <c r="P19" s="135"/>
      <c r="Q19" s="135"/>
      <c r="R19" s="135"/>
      <c r="S19" s="135"/>
      <c r="T19" s="135"/>
    </row>
    <row r="20" spans="1:20" ht="16.5" customHeight="1" thickBot="1" x14ac:dyDescent="0.35">
      <c r="B20" s="60" t="s">
        <v>489</v>
      </c>
      <c r="C20" s="102">
        <v>0.2</v>
      </c>
      <c r="D20" s="102">
        <v>0.2</v>
      </c>
      <c r="E20" s="102">
        <v>0.2</v>
      </c>
      <c r="F20" s="102">
        <v>0.16462981869383747</v>
      </c>
      <c r="G20" s="102">
        <v>0.27438303115639578</v>
      </c>
      <c r="H20" s="102">
        <v>0.1503070244674736</v>
      </c>
      <c r="I20" s="102">
        <v>0.23381092694940339</v>
      </c>
      <c r="J20" s="93" t="s">
        <v>478</v>
      </c>
      <c r="K20" s="93"/>
      <c r="N20" s="135"/>
      <c r="O20" s="135"/>
      <c r="P20" s="135"/>
      <c r="Q20" s="135"/>
      <c r="R20" s="135"/>
      <c r="S20" s="135"/>
      <c r="T20" s="135"/>
    </row>
    <row r="21" spans="1:20" ht="15" thickBot="1" x14ac:dyDescent="0.35">
      <c r="B21" s="60" t="s">
        <v>402</v>
      </c>
      <c r="C21" s="100">
        <v>87</v>
      </c>
      <c r="D21" s="100">
        <v>82.649999999999991</v>
      </c>
      <c r="E21" s="100">
        <v>78.3</v>
      </c>
      <c r="F21" s="100">
        <v>80</v>
      </c>
      <c r="G21" s="100">
        <v>90</v>
      </c>
      <c r="H21" s="100">
        <v>75</v>
      </c>
      <c r="I21" s="100">
        <v>90</v>
      </c>
      <c r="J21" s="93" t="s">
        <v>137</v>
      </c>
      <c r="K21" s="93"/>
    </row>
    <row r="22" spans="1:20" ht="15" thickBot="1" x14ac:dyDescent="0.35">
      <c r="B22" s="60" t="s">
        <v>401</v>
      </c>
      <c r="C22" s="100">
        <v>13</v>
      </c>
      <c r="D22" s="100">
        <v>17.350000000000009</v>
      </c>
      <c r="E22" s="100">
        <v>21.700000000000003</v>
      </c>
      <c r="F22" s="100">
        <v>10</v>
      </c>
      <c r="G22" s="100">
        <v>20</v>
      </c>
      <c r="H22" s="100">
        <v>10</v>
      </c>
      <c r="I22" s="100">
        <v>25</v>
      </c>
      <c r="J22" s="93" t="s">
        <v>139</v>
      </c>
      <c r="K22" s="93"/>
    </row>
    <row r="23" spans="1:20" ht="15" thickBot="1" x14ac:dyDescent="0.35">
      <c r="B23" s="60" t="s">
        <v>477</v>
      </c>
      <c r="C23" s="100">
        <v>100</v>
      </c>
      <c r="D23" s="100">
        <v>100</v>
      </c>
      <c r="E23" s="100">
        <v>100</v>
      </c>
      <c r="F23" s="100">
        <v>50</v>
      </c>
      <c r="G23" s="100">
        <v>200</v>
      </c>
      <c r="H23" s="100">
        <v>50</v>
      </c>
      <c r="I23" s="100">
        <v>200</v>
      </c>
      <c r="J23" s="93" t="s">
        <v>135</v>
      </c>
      <c r="K23" s="93"/>
    </row>
    <row r="24" spans="1:20" ht="15" thickBot="1" x14ac:dyDescent="0.35">
      <c r="B24" s="60" t="s">
        <v>454</v>
      </c>
      <c r="C24" s="93">
        <v>0</v>
      </c>
      <c r="D24" s="93">
        <v>0</v>
      </c>
      <c r="E24" s="93">
        <v>0</v>
      </c>
      <c r="F24" s="100"/>
      <c r="G24" s="100"/>
      <c r="H24" s="100"/>
      <c r="I24" s="100"/>
      <c r="J24" s="93"/>
      <c r="K24" s="93"/>
    </row>
    <row r="25" spans="1:20" ht="15" thickBot="1" x14ac:dyDescent="0.35">
      <c r="B25" s="96"/>
      <c r="C25" s="93"/>
      <c r="D25" s="93"/>
      <c r="E25" s="93"/>
      <c r="F25" s="93"/>
      <c r="G25" s="93"/>
      <c r="H25" s="93"/>
      <c r="I25" s="93"/>
      <c r="J25" s="93"/>
      <c r="K25" s="93"/>
    </row>
    <row r="26" spans="1:20" ht="15" thickBot="1" x14ac:dyDescent="0.35">
      <c r="B26" s="97" t="s">
        <v>155</v>
      </c>
      <c r="C26" s="93"/>
      <c r="D26" s="93"/>
      <c r="E26" s="93"/>
      <c r="F26" s="93"/>
      <c r="G26" s="93"/>
      <c r="H26" s="93"/>
      <c r="I26" s="93"/>
      <c r="J26" s="93"/>
      <c r="K26" s="93"/>
    </row>
    <row r="27" spans="1:20" ht="15" thickBot="1" x14ac:dyDescent="0.35">
      <c r="B27" s="96"/>
      <c r="C27" s="93"/>
      <c r="D27" s="93"/>
      <c r="E27" s="93"/>
      <c r="F27" s="93"/>
      <c r="G27" s="93"/>
      <c r="H27" s="93"/>
      <c r="I27" s="93"/>
      <c r="J27" s="93"/>
      <c r="K27" s="93"/>
    </row>
    <row r="28" spans="1:20" ht="15" thickBot="1" x14ac:dyDescent="0.35">
      <c r="B28" s="95"/>
      <c r="C28" s="93"/>
      <c r="D28" s="93"/>
      <c r="E28" s="93"/>
      <c r="F28" s="93"/>
      <c r="G28" s="93"/>
      <c r="H28" s="93"/>
      <c r="I28" s="93"/>
      <c r="J28" s="93"/>
      <c r="K28" s="93"/>
    </row>
    <row r="29" spans="1:20" x14ac:dyDescent="0.3">
      <c r="B29" s="55" t="s">
        <v>154</v>
      </c>
    </row>
    <row r="30" spans="1:20" x14ac:dyDescent="0.3">
      <c r="A30" s="53">
        <v>1</v>
      </c>
      <c r="B30" s="188"/>
      <c r="C30" s="188"/>
      <c r="D30" s="188"/>
      <c r="E30" s="188"/>
      <c r="F30" s="188"/>
      <c r="G30" s="188"/>
      <c r="H30" s="188"/>
      <c r="I30" s="188"/>
      <c r="J30" s="188"/>
      <c r="K30" s="188"/>
    </row>
    <row r="31" spans="1:20" x14ac:dyDescent="0.3">
      <c r="A31" s="53">
        <v>2</v>
      </c>
      <c r="B31" s="188"/>
      <c r="C31" s="188"/>
      <c r="D31" s="188"/>
      <c r="E31" s="188"/>
      <c r="F31" s="188"/>
      <c r="G31" s="188"/>
      <c r="H31" s="188"/>
      <c r="I31" s="188"/>
      <c r="J31" s="188"/>
      <c r="K31" s="188"/>
    </row>
    <row r="32" spans="1:20" x14ac:dyDescent="0.3">
      <c r="A32" s="53"/>
      <c r="B32" s="188"/>
      <c r="C32" s="188"/>
      <c r="D32" s="188"/>
      <c r="E32" s="188"/>
      <c r="F32" s="188"/>
      <c r="G32" s="188"/>
      <c r="H32" s="188"/>
      <c r="I32" s="188"/>
      <c r="J32" s="188"/>
      <c r="K32" s="188"/>
    </row>
    <row r="33" spans="1:12" x14ac:dyDescent="0.3">
      <c r="A33" s="53"/>
      <c r="B33" s="55" t="s">
        <v>144</v>
      </c>
      <c r="C33" s="54"/>
      <c r="D33" s="54"/>
      <c r="E33" s="54"/>
      <c r="F33" s="54"/>
      <c r="G33" s="54"/>
      <c r="H33" s="54"/>
      <c r="I33" s="54"/>
      <c r="J33" s="54"/>
      <c r="K33" s="54"/>
      <c r="L33" s="54"/>
    </row>
    <row r="34" spans="1:12" s="91" customFormat="1" ht="15" customHeight="1" x14ac:dyDescent="0.3">
      <c r="A34" s="92" t="s">
        <v>143</v>
      </c>
      <c r="B34" s="211" t="s">
        <v>476</v>
      </c>
      <c r="C34" s="211"/>
      <c r="D34" s="211"/>
      <c r="E34" s="211"/>
      <c r="F34" s="211"/>
      <c r="G34" s="211"/>
      <c r="H34" s="211"/>
      <c r="I34" s="211"/>
      <c r="J34" s="211"/>
      <c r="K34" s="211"/>
    </row>
    <row r="35" spans="1:12" s="91" customFormat="1" ht="13.5" customHeight="1" x14ac:dyDescent="0.3">
      <c r="A35" s="92" t="s">
        <v>141</v>
      </c>
      <c r="B35" s="191" t="s">
        <v>475</v>
      </c>
      <c r="C35" s="191"/>
      <c r="D35" s="191"/>
      <c r="E35" s="191"/>
      <c r="F35" s="191"/>
      <c r="G35" s="191"/>
      <c r="H35" s="191"/>
      <c r="I35" s="191"/>
      <c r="J35" s="191"/>
      <c r="K35" s="191"/>
      <c r="L35" s="191"/>
    </row>
    <row r="36" spans="1:12" s="91" customFormat="1" ht="26.25" customHeight="1" x14ac:dyDescent="0.3">
      <c r="A36" s="92" t="s">
        <v>139</v>
      </c>
      <c r="B36" s="188" t="s">
        <v>450</v>
      </c>
      <c r="C36" s="188"/>
      <c r="D36" s="188"/>
      <c r="E36" s="188"/>
      <c r="F36" s="188"/>
      <c r="G36" s="188"/>
      <c r="H36" s="188"/>
      <c r="I36" s="188"/>
      <c r="J36" s="188"/>
      <c r="K36" s="188"/>
    </row>
    <row r="37" spans="1:12" s="91" customFormat="1" ht="13.5" customHeight="1" x14ac:dyDescent="0.3">
      <c r="A37" s="92" t="s">
        <v>137</v>
      </c>
      <c r="B37" s="213" t="s">
        <v>474</v>
      </c>
      <c r="C37" s="213"/>
      <c r="D37" s="213"/>
      <c r="E37" s="213"/>
      <c r="F37" s="213"/>
      <c r="G37" s="213"/>
      <c r="H37" s="213"/>
      <c r="I37" s="213"/>
      <c r="J37" s="213"/>
      <c r="K37" s="213"/>
    </row>
    <row r="38" spans="1:12" s="91" customFormat="1" ht="12.75" customHeight="1" x14ac:dyDescent="0.3">
      <c r="A38" s="92" t="s">
        <v>135</v>
      </c>
      <c r="B38" s="188" t="s">
        <v>473</v>
      </c>
      <c r="C38" s="188"/>
      <c r="D38" s="188"/>
      <c r="E38" s="188"/>
      <c r="F38" s="188"/>
      <c r="G38" s="188"/>
      <c r="H38" s="188"/>
      <c r="I38" s="188"/>
      <c r="J38" s="188"/>
      <c r="K38" s="188"/>
    </row>
    <row r="39" spans="1:12" s="91" customFormat="1" ht="12.75" customHeight="1" x14ac:dyDescent="0.3">
      <c r="A39" s="92"/>
      <c r="B39" s="188"/>
      <c r="C39" s="188"/>
      <c r="D39" s="188"/>
      <c r="E39" s="188"/>
      <c r="F39" s="188"/>
      <c r="G39" s="188"/>
      <c r="H39" s="188"/>
      <c r="I39" s="188"/>
      <c r="J39" s="188"/>
      <c r="K39" s="188"/>
    </row>
    <row r="40" spans="1:12" s="91" customFormat="1" x14ac:dyDescent="0.3">
      <c r="A40" s="92"/>
      <c r="B40" s="188"/>
      <c r="C40" s="188"/>
      <c r="D40" s="188"/>
      <c r="E40" s="188"/>
      <c r="F40" s="188"/>
      <c r="G40" s="188"/>
      <c r="H40" s="188"/>
      <c r="I40" s="188"/>
      <c r="J40" s="188"/>
      <c r="K40" s="188"/>
    </row>
    <row r="41" spans="1:12" s="91" customFormat="1" ht="15" customHeight="1" x14ac:dyDescent="0.3">
      <c r="A41" s="92"/>
      <c r="B41" s="188"/>
      <c r="C41" s="188"/>
      <c r="D41" s="188"/>
      <c r="E41" s="188"/>
      <c r="F41" s="188"/>
      <c r="G41" s="188"/>
      <c r="H41" s="188"/>
      <c r="I41" s="188"/>
      <c r="J41" s="188"/>
      <c r="K41" s="188"/>
    </row>
    <row r="42" spans="1:12" s="91" customFormat="1" ht="15" customHeight="1" x14ac:dyDescent="0.3">
      <c r="A42" s="92"/>
      <c r="B42" s="188"/>
      <c r="C42" s="188"/>
      <c r="D42" s="188"/>
      <c r="E42" s="188"/>
      <c r="F42" s="188"/>
      <c r="G42" s="188"/>
      <c r="H42" s="188"/>
      <c r="I42" s="188"/>
      <c r="J42" s="188"/>
      <c r="K42" s="188"/>
    </row>
    <row r="43" spans="1:12" s="91" customFormat="1" x14ac:dyDescent="0.3">
      <c r="A43" s="92"/>
      <c r="B43" s="188"/>
      <c r="C43" s="188"/>
      <c r="D43" s="188"/>
      <c r="E43" s="188"/>
      <c r="F43" s="188"/>
      <c r="G43" s="188"/>
      <c r="H43" s="188"/>
      <c r="I43" s="188"/>
      <c r="J43" s="188"/>
      <c r="K43" s="188"/>
    </row>
    <row r="44" spans="1:12" s="91" customFormat="1" ht="15" customHeight="1" x14ac:dyDescent="0.3">
      <c r="A44" s="92"/>
      <c r="B44" s="188"/>
      <c r="C44" s="188"/>
      <c r="D44" s="188"/>
      <c r="E44" s="188"/>
      <c r="F44" s="188"/>
      <c r="G44" s="188"/>
      <c r="H44" s="188"/>
      <c r="I44" s="188"/>
      <c r="J44" s="188"/>
      <c r="K44" s="188"/>
    </row>
    <row r="45" spans="1:12" s="91" customFormat="1" ht="11.25" customHeight="1" x14ac:dyDescent="0.3">
      <c r="A45" s="92"/>
      <c r="B45" s="188"/>
      <c r="C45" s="188"/>
      <c r="D45" s="188"/>
      <c r="E45" s="188"/>
      <c r="F45" s="188"/>
      <c r="G45" s="188"/>
      <c r="H45" s="188"/>
      <c r="I45" s="188"/>
      <c r="J45" s="188"/>
      <c r="K45" s="188"/>
    </row>
    <row r="46" spans="1:12" x14ac:dyDescent="0.3">
      <c r="A46" s="53"/>
    </row>
    <row r="47" spans="1:12" ht="12.75" customHeight="1" x14ac:dyDescent="0.3">
      <c r="A47" s="53"/>
      <c r="C47" s="188"/>
      <c r="D47" s="188"/>
      <c r="E47" s="188"/>
      <c r="F47" s="188"/>
      <c r="G47" s="188"/>
      <c r="H47" s="188"/>
      <c r="I47" s="188"/>
      <c r="J47" s="188"/>
      <c r="K47" s="188"/>
      <c r="L47" s="188"/>
    </row>
    <row r="48" spans="1:12" ht="12.75" customHeight="1" x14ac:dyDescent="0.3">
      <c r="A48" s="53"/>
      <c r="C48" s="188"/>
      <c r="D48" s="188"/>
      <c r="E48" s="188"/>
      <c r="F48" s="188"/>
      <c r="G48" s="188"/>
      <c r="H48" s="188"/>
      <c r="I48" s="188"/>
      <c r="J48" s="188"/>
      <c r="K48" s="188"/>
      <c r="L48" s="188"/>
    </row>
    <row r="49" spans="1:1" x14ac:dyDescent="0.3">
      <c r="A49" s="53"/>
    </row>
    <row r="50" spans="1:1" x14ac:dyDescent="0.3">
      <c r="A50" s="53"/>
    </row>
    <row r="51" spans="1:1" x14ac:dyDescent="0.3">
      <c r="A51" s="53"/>
    </row>
    <row r="52" spans="1:1" x14ac:dyDescent="0.3">
      <c r="A52" s="53"/>
    </row>
    <row r="53" spans="1:1" x14ac:dyDescent="0.3">
      <c r="A53" s="53"/>
    </row>
    <row r="54" spans="1:1" x14ac:dyDescent="0.3">
      <c r="A54" s="53"/>
    </row>
    <row r="55" spans="1:1" x14ac:dyDescent="0.3">
      <c r="A55" s="53"/>
    </row>
    <row r="56" spans="1:1" x14ac:dyDescent="0.3">
      <c r="A56" s="53"/>
    </row>
    <row r="57" spans="1:1" x14ac:dyDescent="0.3">
      <c r="A57" s="53"/>
    </row>
    <row r="58" spans="1:1" x14ac:dyDescent="0.3">
      <c r="A58" s="53"/>
    </row>
  </sheetData>
  <mergeCells count="26">
    <mergeCell ref="B34:K34"/>
    <mergeCell ref="B35:L35"/>
    <mergeCell ref="C48:L48"/>
    <mergeCell ref="B40:K40"/>
    <mergeCell ref="B41:K41"/>
    <mergeCell ref="B43:K43"/>
    <mergeCell ref="B44:K44"/>
    <mergeCell ref="B45:K45"/>
    <mergeCell ref="C47:L47"/>
    <mergeCell ref="B42:K42"/>
    <mergeCell ref="B36:K36"/>
    <mergeCell ref="B37:K37"/>
    <mergeCell ref="B38:K38"/>
    <mergeCell ref="B39:K39"/>
    <mergeCell ref="B30:K30"/>
    <mergeCell ref="B31:K31"/>
    <mergeCell ref="B32:K32"/>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EE6F8-8F49-4680-B317-24AE9F9C7E53}">
  <sheetPr>
    <pageSetUpPr fitToPage="1"/>
  </sheetPr>
  <dimension ref="A1:Q41"/>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41" style="90" customWidth="1"/>
    <col min="3" max="3" width="10" style="135" bestFit="1" customWidth="1"/>
    <col min="4" max="5" width="9.33203125" style="90"/>
    <col min="6" max="7" width="10" style="90" bestFit="1" customWidth="1"/>
    <col min="8" max="9" width="9.33203125" style="90"/>
    <col min="10" max="10" width="12.5546875" style="90" customWidth="1"/>
    <col min="11" max="13" width="9.33203125" style="90"/>
    <col min="14" max="29" width="5.6640625" style="90" customWidth="1"/>
    <col min="30" max="16384" width="9.33203125" style="90"/>
  </cols>
  <sheetData>
    <row r="1" spans="2:17" ht="15" thickBot="1" x14ac:dyDescent="0.35">
      <c r="B1" s="75"/>
    </row>
    <row r="2" spans="2:17" ht="33.75" customHeight="1" thickBot="1" x14ac:dyDescent="0.35">
      <c r="B2" s="74" t="s">
        <v>197</v>
      </c>
      <c r="C2" s="192" t="s">
        <v>527</v>
      </c>
      <c r="D2" s="192"/>
      <c r="E2" s="192"/>
      <c r="F2" s="192"/>
      <c r="G2" s="192"/>
      <c r="H2" s="192"/>
      <c r="I2" s="192"/>
      <c r="J2" s="192"/>
      <c r="K2" s="193"/>
      <c r="N2" s="109"/>
    </row>
    <row r="3" spans="2:17" x14ac:dyDescent="0.3">
      <c r="B3" s="180"/>
      <c r="C3" s="214">
        <v>2020</v>
      </c>
      <c r="D3" s="182">
        <v>2030</v>
      </c>
      <c r="E3" s="182">
        <v>2050</v>
      </c>
      <c r="F3" s="184" t="s">
        <v>195</v>
      </c>
      <c r="G3" s="185"/>
      <c r="H3" s="184" t="s">
        <v>194</v>
      </c>
      <c r="I3" s="185"/>
      <c r="J3" s="182" t="s">
        <v>193</v>
      </c>
      <c r="K3" s="182" t="s">
        <v>192</v>
      </c>
    </row>
    <row r="4" spans="2:17" ht="15" thickBot="1" x14ac:dyDescent="0.35">
      <c r="B4" s="181"/>
      <c r="C4" s="215"/>
      <c r="D4" s="183"/>
      <c r="E4" s="183"/>
      <c r="F4" s="186"/>
      <c r="G4" s="187"/>
      <c r="H4" s="186"/>
      <c r="I4" s="187"/>
      <c r="J4" s="183"/>
      <c r="K4" s="183"/>
      <c r="N4" s="147"/>
    </row>
    <row r="5" spans="2:17" ht="15" thickBot="1" x14ac:dyDescent="0.35">
      <c r="B5" s="62" t="s">
        <v>191</v>
      </c>
      <c r="C5" s="145"/>
      <c r="D5" s="69"/>
      <c r="E5" s="69"/>
      <c r="F5" s="72" t="s">
        <v>190</v>
      </c>
      <c r="G5" s="72" t="s">
        <v>189</v>
      </c>
      <c r="H5" s="72" t="s">
        <v>190</v>
      </c>
      <c r="I5" s="72" t="s">
        <v>189</v>
      </c>
      <c r="J5" s="69"/>
      <c r="K5" s="68"/>
      <c r="N5" s="147"/>
    </row>
    <row r="6" spans="2:17" ht="15" thickBot="1" x14ac:dyDescent="0.35">
      <c r="B6" s="60" t="s">
        <v>526</v>
      </c>
      <c r="C6" s="63">
        <v>5.9551794389594095</v>
      </c>
      <c r="D6" s="63">
        <v>5.6417489421720726</v>
      </c>
      <c r="E6" s="63">
        <v>4.70145745181006</v>
      </c>
      <c r="F6" s="59">
        <v>5</v>
      </c>
      <c r="G6" s="59">
        <v>10</v>
      </c>
      <c r="H6" s="59">
        <v>4</v>
      </c>
      <c r="I6" s="59">
        <v>9</v>
      </c>
      <c r="J6" s="59" t="s">
        <v>521</v>
      </c>
      <c r="K6" s="59">
        <v>5</v>
      </c>
      <c r="N6" s="146"/>
      <c r="O6" s="135"/>
      <c r="P6" s="135"/>
      <c r="Q6" s="135"/>
    </row>
    <row r="7" spans="2:17" ht="15" thickBot="1" x14ac:dyDescent="0.35">
      <c r="B7" s="60" t="s">
        <v>525</v>
      </c>
      <c r="C7" s="63">
        <v>12.666666666666666</v>
      </c>
      <c r="D7" s="63">
        <v>10.3</v>
      </c>
      <c r="E7" s="63">
        <v>7.3</v>
      </c>
      <c r="F7" s="59">
        <v>10</v>
      </c>
      <c r="G7" s="59">
        <v>15</v>
      </c>
      <c r="H7" s="59">
        <v>6</v>
      </c>
      <c r="I7" s="59">
        <v>12</v>
      </c>
      <c r="J7" s="59" t="s">
        <v>521</v>
      </c>
      <c r="K7" s="59">
        <v>5</v>
      </c>
      <c r="N7" s="146"/>
      <c r="O7" s="135"/>
      <c r="P7" s="135"/>
      <c r="Q7" s="135"/>
    </row>
    <row r="8" spans="2:17" ht="15" thickBot="1" x14ac:dyDescent="0.35">
      <c r="B8" s="60" t="s">
        <v>524</v>
      </c>
      <c r="C8" s="63">
        <v>0.67469194985973513</v>
      </c>
      <c r="D8" s="63">
        <v>0.63918184723553861</v>
      </c>
      <c r="E8" s="63">
        <v>0.53265153936294884</v>
      </c>
      <c r="F8" s="63">
        <v>0.56469194985973514</v>
      </c>
      <c r="G8" s="63">
        <v>0.8746919498597352</v>
      </c>
      <c r="H8" s="63">
        <v>0.43265153936294887</v>
      </c>
      <c r="I8" s="63">
        <v>0.73265153936294891</v>
      </c>
      <c r="J8" s="59" t="s">
        <v>521</v>
      </c>
      <c r="K8" s="59">
        <v>5</v>
      </c>
      <c r="N8" s="131"/>
      <c r="O8" s="135"/>
      <c r="P8" s="135"/>
      <c r="Q8" s="135"/>
    </row>
    <row r="9" spans="2:17" ht="15" thickBot="1" x14ac:dyDescent="0.35">
      <c r="B9" s="60" t="s">
        <v>523</v>
      </c>
      <c r="C9" s="63">
        <v>0.62091503267973858</v>
      </c>
      <c r="D9" s="63">
        <v>0.58823529411764708</v>
      </c>
      <c r="E9" s="63">
        <v>0.49019607843137253</v>
      </c>
      <c r="F9" s="63">
        <v>0.51091503267973859</v>
      </c>
      <c r="G9" s="63">
        <v>0.72091503267973855</v>
      </c>
      <c r="H9" s="63">
        <v>0.3901960784313725</v>
      </c>
      <c r="I9" s="63">
        <v>0.59019607843137256</v>
      </c>
      <c r="J9" s="59" t="s">
        <v>521</v>
      </c>
      <c r="K9" s="59">
        <v>5</v>
      </c>
      <c r="N9" s="131"/>
      <c r="O9" s="135"/>
      <c r="P9" s="135"/>
      <c r="Q9" s="135"/>
    </row>
    <row r="10" spans="2:17" ht="15" thickBot="1" x14ac:dyDescent="0.35">
      <c r="B10" s="60" t="s">
        <v>522</v>
      </c>
      <c r="C10" s="63">
        <v>0.5</v>
      </c>
      <c r="D10" s="63">
        <v>0.5</v>
      </c>
      <c r="E10" s="63">
        <v>0.4</v>
      </c>
      <c r="F10" s="63">
        <v>0.39</v>
      </c>
      <c r="G10" s="63">
        <v>0.6</v>
      </c>
      <c r="H10" s="63">
        <v>0.30000000000000004</v>
      </c>
      <c r="I10" s="63">
        <v>0.5</v>
      </c>
      <c r="J10" s="59" t="s">
        <v>521</v>
      </c>
      <c r="K10" s="59">
        <v>5</v>
      </c>
      <c r="N10" s="131"/>
      <c r="O10" s="135"/>
      <c r="P10" s="135"/>
      <c r="Q10" s="135"/>
    </row>
    <row r="11" spans="2:17" ht="15" thickBot="1" x14ac:dyDescent="0.35">
      <c r="B11" s="60" t="s">
        <v>179</v>
      </c>
      <c r="C11" s="65">
        <v>10</v>
      </c>
      <c r="D11" s="59">
        <v>10</v>
      </c>
      <c r="E11" s="59">
        <v>10</v>
      </c>
      <c r="F11" s="59">
        <v>4</v>
      </c>
      <c r="G11" s="59">
        <v>12</v>
      </c>
      <c r="H11" s="59">
        <v>4</v>
      </c>
      <c r="I11" s="59">
        <v>12</v>
      </c>
      <c r="J11" s="59" t="s">
        <v>141</v>
      </c>
      <c r="K11" s="59"/>
    </row>
    <row r="12" spans="2:17" ht="15" customHeight="1" thickBot="1" x14ac:dyDescent="0.35">
      <c r="B12" s="62" t="s">
        <v>176</v>
      </c>
      <c r="C12" s="145"/>
      <c r="D12" s="69"/>
      <c r="E12" s="69"/>
      <c r="F12" s="69"/>
      <c r="G12" s="69"/>
      <c r="H12" s="69"/>
      <c r="I12" s="69"/>
      <c r="J12" s="69"/>
      <c r="K12" s="68"/>
    </row>
    <row r="13" spans="2:17" ht="15" customHeight="1" thickBot="1" x14ac:dyDescent="0.35">
      <c r="B13" s="80" t="s">
        <v>520</v>
      </c>
      <c r="C13" s="65">
        <v>52</v>
      </c>
      <c r="D13" s="59">
        <v>45</v>
      </c>
      <c r="E13" s="59">
        <v>37</v>
      </c>
      <c r="F13" s="59"/>
      <c r="G13" s="59"/>
      <c r="H13" s="59"/>
      <c r="I13" s="65">
        <v>52</v>
      </c>
      <c r="J13" s="59" t="s">
        <v>516</v>
      </c>
      <c r="K13" s="59">
        <v>1</v>
      </c>
      <c r="N13" s="135"/>
    </row>
    <row r="14" spans="2:17" ht="15" thickBot="1" x14ac:dyDescent="0.35">
      <c r="B14" s="80" t="s">
        <v>519</v>
      </c>
      <c r="C14" s="63">
        <v>0.97746723684789205</v>
      </c>
      <c r="D14" s="63">
        <v>1</v>
      </c>
      <c r="E14" s="59">
        <v>0.95</v>
      </c>
      <c r="F14" s="59"/>
      <c r="G14" s="59"/>
      <c r="H14" s="59"/>
      <c r="I14" s="63">
        <v>0.97746723684789205</v>
      </c>
      <c r="J14" s="59" t="s">
        <v>516</v>
      </c>
      <c r="K14" s="59">
        <v>1</v>
      </c>
      <c r="M14" s="144"/>
      <c r="N14" s="135"/>
    </row>
    <row r="15" spans="2:17" ht="15" thickBot="1" x14ac:dyDescent="0.35">
      <c r="B15" s="80" t="s">
        <v>518</v>
      </c>
      <c r="C15" s="65">
        <v>110.55686197423657</v>
      </c>
      <c r="D15" s="59">
        <v>78</v>
      </c>
      <c r="E15" s="59">
        <v>58</v>
      </c>
      <c r="F15" s="59"/>
      <c r="G15" s="59"/>
      <c r="H15" s="59"/>
      <c r="I15" s="65">
        <v>110.55686197423657</v>
      </c>
      <c r="J15" s="59" t="s">
        <v>516</v>
      </c>
      <c r="K15" s="59">
        <v>2</v>
      </c>
      <c r="M15" s="144"/>
      <c r="N15" s="135"/>
    </row>
    <row r="16" spans="2:17" ht="15" thickBot="1" x14ac:dyDescent="0.35">
      <c r="B16" s="80" t="s">
        <v>517</v>
      </c>
      <c r="C16" s="63">
        <v>2.2769165645038161</v>
      </c>
      <c r="D16" s="59">
        <v>1.87</v>
      </c>
      <c r="E16" s="59">
        <v>1.51</v>
      </c>
      <c r="F16" s="59"/>
      <c r="G16" s="59"/>
      <c r="H16" s="59"/>
      <c r="I16" s="63">
        <v>2.2769165645038161</v>
      </c>
      <c r="J16" s="59" t="s">
        <v>516</v>
      </c>
      <c r="K16" s="59">
        <v>2</v>
      </c>
      <c r="M16" s="144"/>
      <c r="N16" s="135"/>
    </row>
    <row r="17" spans="1:14" ht="15" customHeight="1" thickBot="1" x14ac:dyDescent="0.35">
      <c r="B17" s="80" t="s">
        <v>515</v>
      </c>
      <c r="C17" s="63">
        <v>3.7</v>
      </c>
      <c r="D17" s="59">
        <v>3.7</v>
      </c>
      <c r="E17" s="59">
        <v>3.7</v>
      </c>
      <c r="F17" s="64"/>
      <c r="G17" s="64"/>
      <c r="H17" s="64"/>
      <c r="I17" s="63">
        <v>3.7</v>
      </c>
      <c r="J17" s="59" t="s">
        <v>513</v>
      </c>
      <c r="K17" s="59">
        <v>3</v>
      </c>
      <c r="M17" s="144"/>
      <c r="N17" s="135"/>
    </row>
    <row r="18" spans="1:14" ht="15" thickBot="1" x14ac:dyDescent="0.35">
      <c r="B18" s="80" t="s">
        <v>514</v>
      </c>
      <c r="C18" s="71">
        <v>0.1130624661639249</v>
      </c>
      <c r="D18" s="71">
        <v>0.11</v>
      </c>
      <c r="E18" s="71">
        <v>0.1</v>
      </c>
      <c r="F18" s="64"/>
      <c r="G18" s="64"/>
      <c r="H18" s="64"/>
      <c r="I18" s="71">
        <v>0.1130624661639249</v>
      </c>
      <c r="J18" s="59" t="s">
        <v>513</v>
      </c>
      <c r="K18" s="59">
        <v>3</v>
      </c>
      <c r="M18" s="144"/>
      <c r="N18" s="135"/>
    </row>
    <row r="19" spans="1:14" ht="15" thickBot="1" x14ac:dyDescent="0.35">
      <c r="B19" s="80" t="s">
        <v>512</v>
      </c>
      <c r="C19" s="63">
        <v>3.2262378696538221</v>
      </c>
      <c r="D19" s="63">
        <v>3.2262378696538221</v>
      </c>
      <c r="E19" s="63">
        <v>3.2262378696538221</v>
      </c>
      <c r="F19" s="59"/>
      <c r="G19" s="59"/>
      <c r="H19" s="59"/>
      <c r="I19" s="63">
        <v>3.2262378696538221</v>
      </c>
      <c r="J19" s="59" t="s">
        <v>510</v>
      </c>
      <c r="K19" s="59">
        <v>4</v>
      </c>
      <c r="M19" s="144"/>
      <c r="N19" s="135"/>
    </row>
    <row r="20" spans="1:14" ht="15" thickBot="1" x14ac:dyDescent="0.35">
      <c r="B20" s="80" t="s">
        <v>511</v>
      </c>
      <c r="C20" s="71">
        <v>0.10405072253732971</v>
      </c>
      <c r="D20" s="71">
        <v>0.10405072253732971</v>
      </c>
      <c r="E20" s="71">
        <v>0.10405072253732971</v>
      </c>
      <c r="F20" s="59"/>
      <c r="G20" s="59"/>
      <c r="H20" s="59"/>
      <c r="I20" s="71">
        <v>0.10405072253732971</v>
      </c>
      <c r="J20" s="59" t="s">
        <v>510</v>
      </c>
      <c r="K20" s="59">
        <v>4</v>
      </c>
      <c r="M20" s="144"/>
      <c r="N20" s="135"/>
    </row>
    <row r="21" spans="1:14" ht="15" thickBot="1" x14ac:dyDescent="0.35">
      <c r="B21" s="80" t="s">
        <v>509</v>
      </c>
      <c r="C21" s="63">
        <v>1.9315109989336148</v>
      </c>
      <c r="D21" s="63">
        <v>1.9315109989336148</v>
      </c>
      <c r="E21" s="63">
        <v>1.9315109989336148</v>
      </c>
      <c r="F21" s="59"/>
      <c r="G21" s="59"/>
      <c r="H21" s="59"/>
      <c r="I21" s="63">
        <v>1.9315109989336148</v>
      </c>
      <c r="J21" s="59" t="s">
        <v>507</v>
      </c>
      <c r="K21" s="59">
        <v>4</v>
      </c>
      <c r="M21" s="144"/>
      <c r="N21" s="135"/>
    </row>
    <row r="22" spans="1:14" ht="15" thickBot="1" x14ac:dyDescent="0.35">
      <c r="B22" s="80" t="s">
        <v>508</v>
      </c>
      <c r="C22" s="71">
        <v>7.1257198714652387E-2</v>
      </c>
      <c r="D22" s="71">
        <v>7.1257198714652387E-2</v>
      </c>
      <c r="E22" s="71">
        <v>7.1257198714652387E-2</v>
      </c>
      <c r="F22" s="59"/>
      <c r="G22" s="59"/>
      <c r="H22" s="59"/>
      <c r="I22" s="71">
        <v>7.1257198714652387E-2</v>
      </c>
      <c r="J22" s="59" t="s">
        <v>507</v>
      </c>
      <c r="K22" s="59">
        <v>4</v>
      </c>
      <c r="M22" s="144"/>
      <c r="N22" s="135"/>
    </row>
    <row r="23" spans="1:14" ht="15" thickBot="1" x14ac:dyDescent="0.35">
      <c r="B23" s="62" t="s">
        <v>155</v>
      </c>
      <c r="C23" s="63"/>
      <c r="D23" s="59"/>
      <c r="E23" s="59"/>
      <c r="F23" s="59"/>
      <c r="G23" s="59"/>
      <c r="H23" s="59"/>
      <c r="I23" s="59"/>
      <c r="J23" s="59"/>
      <c r="K23" s="59"/>
    </row>
    <row r="24" spans="1:14" ht="15" thickBot="1" x14ac:dyDescent="0.35">
      <c r="B24" s="61"/>
      <c r="C24" s="63"/>
      <c r="D24" s="59"/>
      <c r="E24" s="59"/>
      <c r="F24" s="59"/>
      <c r="G24" s="59"/>
      <c r="H24" s="59"/>
      <c r="I24" s="59"/>
      <c r="J24" s="59"/>
      <c r="K24" s="59"/>
    </row>
    <row r="25" spans="1:14" ht="15" customHeight="1" thickBot="1" x14ac:dyDescent="0.35">
      <c r="B25" s="60"/>
      <c r="C25" s="63"/>
      <c r="D25" s="59"/>
      <c r="E25" s="59"/>
      <c r="F25" s="59"/>
      <c r="G25" s="59"/>
      <c r="H25" s="59"/>
      <c r="I25" s="59"/>
      <c r="J25" s="59"/>
      <c r="K25" s="59"/>
    </row>
    <row r="26" spans="1:14" ht="15" customHeight="1" x14ac:dyDescent="0.3">
      <c r="B26" s="55" t="s">
        <v>154</v>
      </c>
    </row>
    <row r="27" spans="1:14" ht="15" customHeight="1" x14ac:dyDescent="0.3">
      <c r="A27" s="53">
        <v>1</v>
      </c>
      <c r="B27" s="208" t="s">
        <v>506</v>
      </c>
      <c r="C27" s="208"/>
      <c r="D27" s="208"/>
      <c r="E27" s="208"/>
      <c r="F27" s="208"/>
      <c r="G27" s="208"/>
      <c r="H27" s="208"/>
      <c r="I27" s="208"/>
      <c r="J27" s="208"/>
      <c r="K27" s="208"/>
    </row>
    <row r="28" spans="1:14" x14ac:dyDescent="0.3">
      <c r="A28" s="53">
        <v>2</v>
      </c>
      <c r="B28" s="208" t="s">
        <v>505</v>
      </c>
      <c r="C28" s="208"/>
      <c r="D28" s="208"/>
      <c r="E28" s="208"/>
      <c r="F28" s="208"/>
      <c r="G28" s="208"/>
      <c r="H28" s="208"/>
      <c r="I28" s="208"/>
      <c r="J28" s="208"/>
      <c r="K28" s="208"/>
    </row>
    <row r="29" spans="1:14" ht="13.5" customHeight="1" x14ac:dyDescent="0.3">
      <c r="A29" s="53">
        <v>3</v>
      </c>
      <c r="B29" s="90" t="s">
        <v>504</v>
      </c>
      <c r="C29" s="143"/>
      <c r="D29" s="119"/>
      <c r="E29" s="119"/>
      <c r="F29" s="119"/>
      <c r="G29" s="119"/>
      <c r="H29" s="119"/>
      <c r="I29" s="119"/>
      <c r="J29" s="119"/>
      <c r="K29" s="119"/>
      <c r="L29" s="54"/>
      <c r="M29" s="54"/>
    </row>
    <row r="30" spans="1:14" ht="15" customHeight="1" x14ac:dyDescent="0.3">
      <c r="A30" s="53">
        <v>4</v>
      </c>
      <c r="B30" s="90" t="s">
        <v>503</v>
      </c>
      <c r="L30" s="79"/>
      <c r="M30" s="79"/>
    </row>
    <row r="31" spans="1:14" ht="15" customHeight="1" x14ac:dyDescent="0.3">
      <c r="A31" s="53">
        <v>5</v>
      </c>
      <c r="B31" s="208" t="s">
        <v>414</v>
      </c>
      <c r="C31" s="208"/>
      <c r="D31" s="208"/>
      <c r="E31" s="208"/>
      <c r="F31" s="208"/>
      <c r="G31" s="208"/>
      <c r="H31" s="208"/>
      <c r="I31" s="208"/>
      <c r="J31" s="208"/>
      <c r="K31" s="208"/>
      <c r="L31" s="79"/>
      <c r="M31" s="79"/>
    </row>
    <row r="32" spans="1:14" ht="15" customHeight="1" x14ac:dyDescent="0.3">
      <c r="B32" s="55" t="s">
        <v>144</v>
      </c>
      <c r="C32" s="142"/>
      <c r="D32" s="54"/>
      <c r="E32" s="54"/>
      <c r="F32" s="54"/>
      <c r="G32" s="54"/>
      <c r="H32" s="54"/>
      <c r="I32" s="54"/>
      <c r="J32" s="54"/>
      <c r="K32" s="54"/>
      <c r="L32" s="79"/>
      <c r="M32" s="79"/>
    </row>
    <row r="33" spans="1:14" ht="43.5" customHeight="1" x14ac:dyDescent="0.3">
      <c r="A33" s="92" t="s">
        <v>143</v>
      </c>
      <c r="B33" s="188" t="s">
        <v>502</v>
      </c>
      <c r="C33" s="188"/>
      <c r="D33" s="188"/>
      <c r="E33" s="188"/>
      <c r="F33" s="188"/>
      <c r="G33" s="188"/>
      <c r="H33" s="188"/>
      <c r="I33" s="188"/>
      <c r="J33" s="188"/>
      <c r="K33" s="188"/>
      <c r="L33" s="79"/>
      <c r="M33" s="79"/>
    </row>
    <row r="34" spans="1:14" x14ac:dyDescent="0.3">
      <c r="A34" s="92" t="s">
        <v>141</v>
      </c>
      <c r="B34" s="188" t="s">
        <v>501</v>
      </c>
      <c r="C34" s="188"/>
      <c r="D34" s="188"/>
      <c r="E34" s="188"/>
      <c r="F34" s="188"/>
      <c r="G34" s="188"/>
      <c r="H34" s="188"/>
      <c r="I34" s="188"/>
      <c r="J34" s="188"/>
      <c r="K34" s="188"/>
      <c r="L34" s="79"/>
      <c r="M34" s="79"/>
    </row>
    <row r="35" spans="1:14" x14ac:dyDescent="0.3">
      <c r="A35" s="92" t="s">
        <v>139</v>
      </c>
      <c r="B35" s="188" t="s">
        <v>500</v>
      </c>
      <c r="C35" s="188"/>
      <c r="D35" s="188"/>
      <c r="E35" s="188"/>
      <c r="F35" s="188"/>
      <c r="G35" s="188"/>
      <c r="H35" s="188"/>
      <c r="I35" s="188"/>
      <c r="J35" s="188"/>
      <c r="K35" s="188"/>
      <c r="L35" s="79"/>
      <c r="M35" s="79"/>
    </row>
    <row r="36" spans="1:14" ht="14.25" customHeight="1" x14ac:dyDescent="0.3">
      <c r="A36" s="92" t="s">
        <v>137</v>
      </c>
      <c r="B36" s="188" t="s">
        <v>499</v>
      </c>
      <c r="C36" s="188"/>
      <c r="D36" s="188"/>
      <c r="E36" s="188"/>
      <c r="F36" s="188"/>
      <c r="G36" s="188"/>
      <c r="H36" s="188"/>
      <c r="I36" s="188"/>
      <c r="J36" s="188"/>
      <c r="K36" s="188"/>
      <c r="L36" s="79"/>
      <c r="M36" s="79"/>
    </row>
    <row r="37" spans="1:14" ht="13.5" customHeight="1" x14ac:dyDescent="0.3">
      <c r="A37" s="92" t="s">
        <v>135</v>
      </c>
      <c r="B37" s="188" t="s">
        <v>498</v>
      </c>
      <c r="C37" s="188"/>
      <c r="D37" s="188"/>
      <c r="E37" s="188"/>
      <c r="F37" s="188"/>
      <c r="G37" s="188"/>
      <c r="H37" s="188"/>
      <c r="I37" s="188"/>
      <c r="J37" s="188"/>
      <c r="K37" s="188"/>
      <c r="L37" s="79"/>
      <c r="M37" s="79"/>
    </row>
    <row r="38" spans="1:14" ht="28.5" customHeight="1" x14ac:dyDescent="0.3">
      <c r="A38" s="92" t="s">
        <v>133</v>
      </c>
      <c r="B38" s="188" t="s">
        <v>497</v>
      </c>
      <c r="C38" s="188"/>
      <c r="D38" s="188"/>
      <c r="E38" s="188"/>
      <c r="F38" s="188"/>
      <c r="G38" s="188"/>
      <c r="H38" s="188"/>
      <c r="I38" s="188"/>
      <c r="J38" s="188"/>
      <c r="K38" s="188"/>
      <c r="L38" s="79"/>
      <c r="M38" s="79"/>
      <c r="N38" s="90" t="s">
        <v>295</v>
      </c>
    </row>
    <row r="39" spans="1:14" ht="16.5" customHeight="1" x14ac:dyDescent="0.3">
      <c r="A39" s="92" t="s">
        <v>131</v>
      </c>
      <c r="B39" s="188" t="s">
        <v>496</v>
      </c>
      <c r="C39" s="188"/>
      <c r="D39" s="188"/>
      <c r="E39" s="188"/>
      <c r="F39" s="188"/>
      <c r="G39" s="188"/>
      <c r="H39" s="188"/>
      <c r="I39" s="188"/>
      <c r="J39" s="188"/>
      <c r="K39" s="188"/>
      <c r="L39" s="79"/>
      <c r="M39" s="79"/>
    </row>
    <row r="40" spans="1:14" ht="36" customHeight="1" x14ac:dyDescent="0.3">
      <c r="A40" s="92" t="s">
        <v>129</v>
      </c>
      <c r="B40" s="216" t="s">
        <v>495</v>
      </c>
      <c r="C40" s="216"/>
      <c r="D40" s="216"/>
      <c r="E40" s="216"/>
      <c r="F40" s="216"/>
      <c r="G40" s="216"/>
      <c r="H40" s="216"/>
      <c r="I40" s="216"/>
      <c r="J40" s="216"/>
      <c r="K40" s="216"/>
    </row>
    <row r="41" spans="1:14" x14ac:dyDescent="0.3">
      <c r="A41" s="92"/>
      <c r="B41" s="188"/>
      <c r="C41" s="188"/>
      <c r="D41" s="188"/>
      <c r="E41" s="188"/>
      <c r="F41" s="188"/>
      <c r="G41" s="188"/>
      <c r="H41" s="188"/>
      <c r="I41" s="188"/>
      <c r="J41" s="188"/>
      <c r="K41" s="188"/>
    </row>
  </sheetData>
  <mergeCells count="21">
    <mergeCell ref="B39:K39"/>
    <mergeCell ref="B40:K40"/>
    <mergeCell ref="B41:K41"/>
    <mergeCell ref="B27:K27"/>
    <mergeCell ref="B28:K28"/>
    <mergeCell ref="B31:K31"/>
    <mergeCell ref="B33:K33"/>
    <mergeCell ref="B34:K34"/>
    <mergeCell ref="B35:K35"/>
    <mergeCell ref="B36:K36"/>
    <mergeCell ref="B37:K37"/>
    <mergeCell ref="B38:K38"/>
    <mergeCell ref="C2:K2"/>
    <mergeCell ref="B3:B4"/>
    <mergeCell ref="C3:C4"/>
    <mergeCell ref="D3:D4"/>
    <mergeCell ref="E3:E4"/>
    <mergeCell ref="F3:G4"/>
    <mergeCell ref="H3:I4"/>
    <mergeCell ref="J3:J4"/>
    <mergeCell ref="K3:K4"/>
  </mergeCells>
  <pageMargins left="0.7" right="0.7" top="0.75" bottom="0.75" header="0.3" footer="0.3"/>
  <pageSetup paperSize="9" scale="5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E4D2-385A-471A-B21A-2E4D5D7EDBF9}">
  <sheetPr>
    <pageSetUpPr fitToPage="1"/>
  </sheetPr>
  <dimension ref="A1:M38"/>
  <sheetViews>
    <sheetView zoomScale="85" zoomScaleNormal="85" workbookViewId="0">
      <selection activeCell="M12" sqref="M12"/>
    </sheetView>
  </sheetViews>
  <sheetFormatPr defaultColWidth="9.33203125" defaultRowHeight="14.4" x14ac:dyDescent="0.3"/>
  <cols>
    <col min="1" max="1" width="2.33203125" style="90" bestFit="1" customWidth="1"/>
    <col min="2" max="2" width="41" style="90" customWidth="1"/>
    <col min="3" max="5" width="9.33203125" style="90"/>
    <col min="6" max="7" width="10" style="90" bestFit="1" customWidth="1"/>
    <col min="8" max="9" width="9.33203125" style="90"/>
    <col min="10" max="10" width="12.5546875" style="90" customWidth="1"/>
    <col min="11" max="12" width="9.33203125" style="90"/>
    <col min="13" max="13" width="32.33203125" style="90" customWidth="1"/>
    <col min="14" max="14" width="29.33203125" style="90" customWidth="1"/>
    <col min="15" max="17" width="9.33203125" style="90"/>
    <col min="18" max="18" width="30.6640625" style="90" customWidth="1"/>
    <col min="19" max="19" width="29.33203125" style="90" customWidth="1"/>
    <col min="20" max="16384" width="9.33203125" style="90"/>
  </cols>
  <sheetData>
    <row r="1" spans="2:13" ht="15" thickBot="1" x14ac:dyDescent="0.35">
      <c r="B1" s="75"/>
    </row>
    <row r="2" spans="2:13" ht="33.75" customHeight="1" thickBot="1" x14ac:dyDescent="0.35">
      <c r="B2" s="110" t="s">
        <v>197</v>
      </c>
      <c r="C2" s="206" t="s">
        <v>551</v>
      </c>
      <c r="D2" s="206"/>
      <c r="E2" s="206"/>
      <c r="F2" s="206"/>
      <c r="G2" s="206"/>
      <c r="H2" s="206"/>
      <c r="I2" s="206"/>
      <c r="J2" s="206"/>
      <c r="K2" s="207"/>
      <c r="M2" s="109"/>
    </row>
    <row r="3" spans="2:13" x14ac:dyDescent="0.3">
      <c r="B3" s="198"/>
      <c r="C3" s="200">
        <v>2020</v>
      </c>
      <c r="D3" s="200">
        <v>2030</v>
      </c>
      <c r="E3" s="200">
        <v>2050</v>
      </c>
      <c r="F3" s="202" t="s">
        <v>195</v>
      </c>
      <c r="G3" s="203"/>
      <c r="H3" s="202" t="s">
        <v>194</v>
      </c>
      <c r="I3" s="203"/>
      <c r="J3" s="200" t="s">
        <v>193</v>
      </c>
      <c r="K3" s="200" t="s">
        <v>192</v>
      </c>
    </row>
    <row r="4" spans="2:13" ht="15" thickBot="1" x14ac:dyDescent="0.35">
      <c r="B4" s="199"/>
      <c r="C4" s="201"/>
      <c r="D4" s="201"/>
      <c r="E4" s="201"/>
      <c r="F4" s="204"/>
      <c r="G4" s="205"/>
      <c r="H4" s="204"/>
      <c r="I4" s="205"/>
      <c r="J4" s="201"/>
      <c r="K4" s="201"/>
    </row>
    <row r="5" spans="2:13" ht="15" thickBot="1" x14ac:dyDescent="0.35">
      <c r="B5" s="97" t="s">
        <v>191</v>
      </c>
      <c r="C5" s="104"/>
      <c r="D5" s="104"/>
      <c r="E5" s="104"/>
      <c r="F5" s="108" t="s">
        <v>190</v>
      </c>
      <c r="G5" s="108" t="s">
        <v>189</v>
      </c>
      <c r="H5" s="108" t="s">
        <v>190</v>
      </c>
      <c r="I5" s="108" t="s">
        <v>189</v>
      </c>
      <c r="J5" s="104"/>
      <c r="K5" s="103"/>
    </row>
    <row r="6" spans="2:13" ht="15" thickBot="1" x14ac:dyDescent="0.35">
      <c r="B6" s="60" t="s">
        <v>550</v>
      </c>
      <c r="C6" s="93">
        <v>2250</v>
      </c>
      <c r="D6" s="93">
        <f>+C6*0.9</f>
        <v>2025</v>
      </c>
      <c r="E6" s="93">
        <f>+C6*0.7</f>
        <v>1575</v>
      </c>
      <c r="F6" s="93"/>
      <c r="G6" s="93"/>
      <c r="H6" s="93"/>
      <c r="I6" s="93"/>
      <c r="J6" s="93" t="s">
        <v>547</v>
      </c>
      <c r="K6" s="93"/>
    </row>
    <row r="7" spans="2:13" ht="15" thickBot="1" x14ac:dyDescent="0.35">
      <c r="B7" s="60" t="s">
        <v>549</v>
      </c>
      <c r="C7" s="93">
        <v>2450</v>
      </c>
      <c r="D7" s="93">
        <f>+C7*0.9</f>
        <v>2205</v>
      </c>
      <c r="E7" s="93">
        <f>+C7*0.7</f>
        <v>1715</v>
      </c>
      <c r="F7" s="93"/>
      <c r="G7" s="93"/>
      <c r="H7" s="93"/>
      <c r="I7" s="93"/>
      <c r="J7" s="93" t="s">
        <v>547</v>
      </c>
      <c r="K7" s="93"/>
    </row>
    <row r="8" spans="2:13" ht="15" thickBot="1" x14ac:dyDescent="0.35">
      <c r="B8" s="60" t="s">
        <v>548</v>
      </c>
      <c r="C8" s="93">
        <v>2450</v>
      </c>
      <c r="D8" s="93">
        <f>+C8*0.9</f>
        <v>2205</v>
      </c>
      <c r="E8" s="93">
        <f>+C8*0.7</f>
        <v>1715</v>
      </c>
      <c r="F8" s="93"/>
      <c r="G8" s="93"/>
      <c r="H8" s="93"/>
      <c r="I8" s="93"/>
      <c r="J8" s="93" t="s">
        <v>547</v>
      </c>
      <c r="K8" s="93"/>
    </row>
    <row r="9" spans="2:13" ht="15" thickBot="1" x14ac:dyDescent="0.35">
      <c r="B9" s="95" t="s">
        <v>179</v>
      </c>
      <c r="C9" s="93">
        <v>20</v>
      </c>
      <c r="D9" s="93">
        <v>20</v>
      </c>
      <c r="E9" s="93">
        <v>20</v>
      </c>
      <c r="F9" s="93"/>
      <c r="G9" s="93"/>
      <c r="H9" s="93"/>
      <c r="I9" s="93"/>
      <c r="J9" s="93"/>
      <c r="K9" s="93">
        <v>1</v>
      </c>
    </row>
    <row r="10" spans="2:13" ht="15" thickBot="1" x14ac:dyDescent="0.35">
      <c r="B10" s="97" t="s">
        <v>176</v>
      </c>
      <c r="C10" s="104"/>
      <c r="D10" s="104"/>
      <c r="E10" s="104"/>
      <c r="F10" s="104"/>
      <c r="G10" s="104"/>
      <c r="H10" s="104"/>
      <c r="I10" s="104"/>
      <c r="J10" s="104"/>
      <c r="K10" s="103"/>
    </row>
    <row r="11" spans="2:13" ht="15" thickBot="1" x14ac:dyDescent="0.35">
      <c r="B11" s="80" t="s">
        <v>546</v>
      </c>
      <c r="C11" s="93">
        <v>15000</v>
      </c>
      <c r="D11" s="93">
        <v>14000</v>
      </c>
      <c r="E11" s="93">
        <v>10000</v>
      </c>
      <c r="F11" s="93"/>
      <c r="G11" s="93"/>
      <c r="H11" s="93"/>
      <c r="I11" s="93"/>
      <c r="J11" s="93" t="s">
        <v>131</v>
      </c>
      <c r="K11" s="93">
        <v>2.2999999999999998</v>
      </c>
    </row>
    <row r="12" spans="2:13" ht="17.25" customHeight="1" thickBot="1" x14ac:dyDescent="0.35">
      <c r="B12" s="80" t="s">
        <v>545</v>
      </c>
      <c r="C12" s="93">
        <v>1750</v>
      </c>
      <c r="D12" s="93">
        <f>+C12</f>
        <v>1750</v>
      </c>
      <c r="E12" s="93">
        <f>+C12</f>
        <v>1750</v>
      </c>
      <c r="F12" s="93"/>
      <c r="G12" s="93"/>
      <c r="H12" s="93"/>
      <c r="I12" s="93"/>
      <c r="J12" s="93" t="s">
        <v>478</v>
      </c>
      <c r="K12" s="93">
        <v>2.2999999999999998</v>
      </c>
    </row>
    <row r="13" spans="2:13" ht="17.25" customHeight="1" thickBot="1" x14ac:dyDescent="0.35">
      <c r="B13" s="148" t="s">
        <v>544</v>
      </c>
      <c r="C13" s="93">
        <v>690</v>
      </c>
      <c r="D13" s="93">
        <f>+C13</f>
        <v>690</v>
      </c>
      <c r="E13" s="93">
        <f>+C13</f>
        <v>690</v>
      </c>
      <c r="F13" s="93"/>
      <c r="G13" s="93"/>
      <c r="H13" s="93"/>
      <c r="I13" s="93"/>
      <c r="J13" s="93" t="s">
        <v>137</v>
      </c>
      <c r="K13" s="93"/>
    </row>
    <row r="14" spans="2:13" ht="17.25" customHeight="1" thickBot="1" x14ac:dyDescent="0.35">
      <c r="B14" s="80" t="s">
        <v>543</v>
      </c>
      <c r="C14" s="93">
        <v>75</v>
      </c>
      <c r="D14" s="93">
        <v>70</v>
      </c>
      <c r="E14" s="93">
        <v>50</v>
      </c>
      <c r="F14" s="93"/>
      <c r="G14" s="93"/>
      <c r="H14" s="93"/>
      <c r="I14" s="93"/>
      <c r="J14" s="93" t="s">
        <v>135</v>
      </c>
      <c r="K14" s="93"/>
    </row>
    <row r="15" spans="2:13" ht="17.25" customHeight="1" thickBot="1" x14ac:dyDescent="0.35">
      <c r="B15" s="80" t="s">
        <v>542</v>
      </c>
      <c r="C15" s="93">
        <v>9</v>
      </c>
      <c r="D15" s="93">
        <v>9</v>
      </c>
      <c r="E15" s="93">
        <v>9</v>
      </c>
      <c r="F15" s="93"/>
      <c r="G15" s="93"/>
      <c r="H15" s="93"/>
      <c r="I15" s="93"/>
      <c r="J15" s="93" t="s">
        <v>135</v>
      </c>
      <c r="K15" s="93"/>
    </row>
    <row r="16" spans="2:13" ht="17.25" customHeight="1" thickBot="1" x14ac:dyDescent="0.35">
      <c r="B16" s="148" t="s">
        <v>541</v>
      </c>
      <c r="C16" s="93">
        <v>4</v>
      </c>
      <c r="D16" s="93">
        <v>4</v>
      </c>
      <c r="E16" s="93">
        <v>4</v>
      </c>
      <c r="F16" s="93"/>
      <c r="G16" s="93"/>
      <c r="H16" s="93"/>
      <c r="I16" s="93"/>
      <c r="J16" s="93" t="s">
        <v>135</v>
      </c>
      <c r="K16" s="93"/>
    </row>
    <row r="17" spans="1:12" ht="17.25" customHeight="1" thickBot="1" x14ac:dyDescent="0.35">
      <c r="B17" s="80" t="s">
        <v>540</v>
      </c>
      <c r="C17" s="93">
        <v>6.8</v>
      </c>
      <c r="D17" s="93">
        <v>6</v>
      </c>
      <c r="E17" s="93">
        <v>4</v>
      </c>
      <c r="F17" s="93"/>
      <c r="G17" s="93"/>
      <c r="H17" s="93"/>
      <c r="I17" s="93"/>
      <c r="J17" s="93"/>
      <c r="K17" s="93">
        <v>3</v>
      </c>
    </row>
    <row r="18" spans="1:12" ht="15" customHeight="1" thickBot="1" x14ac:dyDescent="0.35">
      <c r="B18" s="148" t="s">
        <v>539</v>
      </c>
      <c r="C18" s="93">
        <v>1.7</v>
      </c>
      <c r="D18" s="93">
        <v>1.7</v>
      </c>
      <c r="E18" s="93">
        <v>1.7</v>
      </c>
      <c r="F18" s="93"/>
      <c r="G18" s="93"/>
      <c r="H18" s="93"/>
      <c r="I18" s="93"/>
      <c r="J18" s="93"/>
      <c r="K18" s="93">
        <v>3</v>
      </c>
    </row>
    <row r="19" spans="1:12" ht="15" customHeight="1" thickBot="1" x14ac:dyDescent="0.35">
      <c r="B19" s="80" t="s">
        <v>538</v>
      </c>
      <c r="C19" s="93">
        <v>1.4</v>
      </c>
      <c r="D19" s="93">
        <v>1.4</v>
      </c>
      <c r="E19" s="93">
        <v>1.4</v>
      </c>
      <c r="F19" s="93"/>
      <c r="G19" s="93"/>
      <c r="H19" s="93"/>
      <c r="I19" s="93"/>
      <c r="J19" s="93"/>
      <c r="K19" s="93">
        <v>3</v>
      </c>
    </row>
    <row r="20" spans="1:12" ht="15" thickBot="1" x14ac:dyDescent="0.35">
      <c r="B20" s="110" t="s">
        <v>155</v>
      </c>
      <c r="C20" s="93"/>
      <c r="D20" s="93"/>
      <c r="E20" s="93"/>
      <c r="F20" s="93"/>
      <c r="G20" s="93"/>
      <c r="H20" s="93"/>
      <c r="I20" s="93"/>
      <c r="J20" s="93"/>
      <c r="K20" s="93"/>
    </row>
    <row r="21" spans="1:12" ht="15" thickBot="1" x14ac:dyDescent="0.35">
      <c r="B21" s="96"/>
      <c r="C21" s="93"/>
      <c r="D21" s="93"/>
      <c r="E21" s="93"/>
      <c r="F21" s="93"/>
      <c r="G21" s="93"/>
      <c r="H21" s="93"/>
      <c r="I21" s="93"/>
      <c r="J21" s="93"/>
      <c r="K21" s="93"/>
    </row>
    <row r="22" spans="1:12" ht="15" thickBot="1" x14ac:dyDescent="0.35">
      <c r="B22" s="95"/>
      <c r="C22" s="93"/>
      <c r="D22" s="93"/>
      <c r="E22" s="93"/>
      <c r="F22" s="93"/>
      <c r="G22" s="93"/>
      <c r="H22" s="93"/>
      <c r="I22" s="93"/>
      <c r="J22" s="93"/>
      <c r="K22" s="93"/>
    </row>
    <row r="23" spans="1:12" x14ac:dyDescent="0.3">
      <c r="B23" s="55" t="s">
        <v>154</v>
      </c>
    </row>
    <row r="24" spans="1:12" x14ac:dyDescent="0.3">
      <c r="A24" s="53">
        <v>1</v>
      </c>
      <c r="B24" s="208" t="s">
        <v>537</v>
      </c>
      <c r="C24" s="208"/>
      <c r="D24" s="208"/>
      <c r="E24" s="208"/>
      <c r="F24" s="208"/>
      <c r="G24" s="208"/>
      <c r="H24" s="208"/>
      <c r="I24" s="208"/>
      <c r="J24" s="208"/>
      <c r="K24" s="208"/>
    </row>
    <row r="25" spans="1:12" ht="15" customHeight="1" x14ac:dyDescent="0.3">
      <c r="A25" s="53">
        <v>2</v>
      </c>
      <c r="B25" s="208" t="s">
        <v>536</v>
      </c>
      <c r="C25" s="208"/>
      <c r="D25" s="208"/>
      <c r="E25" s="208"/>
      <c r="F25" s="208"/>
      <c r="G25" s="208"/>
      <c r="H25" s="208"/>
      <c r="I25" s="208"/>
      <c r="J25" s="208"/>
      <c r="K25" s="208"/>
    </row>
    <row r="26" spans="1:12" ht="15" customHeight="1" x14ac:dyDescent="0.3">
      <c r="A26" s="53">
        <v>3</v>
      </c>
      <c r="B26" s="208" t="s">
        <v>535</v>
      </c>
      <c r="C26" s="208"/>
      <c r="D26" s="208"/>
      <c r="E26" s="208"/>
      <c r="F26" s="208"/>
      <c r="G26" s="208"/>
      <c r="H26" s="208"/>
      <c r="I26" s="208"/>
      <c r="J26" s="208"/>
      <c r="K26" s="208"/>
    </row>
    <row r="27" spans="1:12" ht="15" customHeight="1" x14ac:dyDescent="0.3">
      <c r="A27" s="53"/>
    </row>
    <row r="28" spans="1:12" x14ac:dyDescent="0.3">
      <c r="C28" s="54"/>
      <c r="D28" s="54"/>
      <c r="E28" s="54"/>
      <c r="F28" s="54"/>
      <c r="G28" s="54"/>
      <c r="H28" s="54"/>
      <c r="I28" s="54"/>
      <c r="J28" s="54"/>
      <c r="K28" s="54"/>
    </row>
    <row r="29" spans="1:12" ht="23.25" customHeight="1" x14ac:dyDescent="0.3">
      <c r="A29" s="53"/>
      <c r="B29" s="55" t="s">
        <v>144</v>
      </c>
      <c r="L29" s="54"/>
    </row>
    <row r="30" spans="1:12" ht="27.75" customHeight="1" x14ac:dyDescent="0.3">
      <c r="A30" s="92" t="s">
        <v>143</v>
      </c>
      <c r="B30" s="188" t="s">
        <v>534</v>
      </c>
      <c r="C30" s="188"/>
      <c r="D30" s="188"/>
      <c r="E30" s="188"/>
      <c r="F30" s="188"/>
      <c r="G30" s="188"/>
      <c r="H30" s="188"/>
      <c r="I30" s="188"/>
      <c r="J30" s="188"/>
      <c r="K30" s="188"/>
      <c r="L30" s="79"/>
    </row>
    <row r="31" spans="1:12" ht="15" customHeight="1" x14ac:dyDescent="0.3">
      <c r="A31" s="92" t="s">
        <v>141</v>
      </c>
      <c r="B31" s="188" t="s">
        <v>533</v>
      </c>
      <c r="C31" s="188"/>
      <c r="D31" s="188"/>
      <c r="E31" s="188"/>
      <c r="F31" s="188"/>
      <c r="G31" s="188"/>
      <c r="H31" s="188"/>
      <c r="I31" s="188"/>
      <c r="J31" s="188"/>
      <c r="K31" s="188"/>
      <c r="L31" s="79"/>
    </row>
    <row r="32" spans="1:12" ht="15" customHeight="1" x14ac:dyDescent="0.3">
      <c r="A32" s="92" t="s">
        <v>139</v>
      </c>
      <c r="B32" s="188" t="s">
        <v>532</v>
      </c>
      <c r="C32" s="188"/>
      <c r="D32" s="188"/>
      <c r="E32" s="188"/>
      <c r="F32" s="188"/>
      <c r="G32" s="188"/>
      <c r="H32" s="188"/>
      <c r="I32" s="188"/>
      <c r="J32" s="188"/>
      <c r="K32" s="188"/>
      <c r="L32" s="79"/>
    </row>
    <row r="33" spans="1:13" x14ac:dyDescent="0.3">
      <c r="A33" s="92" t="s">
        <v>137</v>
      </c>
      <c r="B33" s="188" t="s">
        <v>531</v>
      </c>
      <c r="C33" s="188"/>
      <c r="D33" s="188"/>
      <c r="E33" s="188"/>
      <c r="F33" s="188"/>
      <c r="G33" s="188"/>
      <c r="H33" s="188"/>
      <c r="I33" s="188"/>
      <c r="J33" s="188"/>
      <c r="K33" s="188"/>
      <c r="L33" s="79"/>
    </row>
    <row r="34" spans="1:13" x14ac:dyDescent="0.3">
      <c r="A34" s="92" t="s">
        <v>135</v>
      </c>
      <c r="B34" s="188" t="s">
        <v>530</v>
      </c>
      <c r="C34" s="188"/>
      <c r="D34" s="188"/>
      <c r="E34" s="188"/>
      <c r="F34" s="188"/>
      <c r="G34" s="188"/>
      <c r="H34" s="188"/>
      <c r="I34" s="188"/>
      <c r="J34" s="188"/>
      <c r="K34" s="188"/>
      <c r="L34" s="79"/>
    </row>
    <row r="35" spans="1:13" ht="34.5" customHeight="1" x14ac:dyDescent="0.3">
      <c r="A35" s="92" t="s">
        <v>133</v>
      </c>
      <c r="B35" s="188" t="s">
        <v>529</v>
      </c>
      <c r="C35" s="188"/>
      <c r="D35" s="188"/>
      <c r="E35" s="188"/>
      <c r="F35" s="188"/>
      <c r="G35" s="188"/>
      <c r="H35" s="188"/>
      <c r="I35" s="188"/>
      <c r="J35" s="188"/>
      <c r="K35" s="188"/>
      <c r="L35" s="79"/>
    </row>
    <row r="36" spans="1:13" ht="15" customHeight="1" x14ac:dyDescent="0.3">
      <c r="A36" s="92" t="s">
        <v>131</v>
      </c>
      <c r="B36" s="188" t="s">
        <v>528</v>
      </c>
      <c r="C36" s="188"/>
      <c r="D36" s="188"/>
      <c r="E36" s="188"/>
      <c r="F36" s="188"/>
      <c r="G36" s="188"/>
      <c r="H36" s="188"/>
      <c r="I36" s="188"/>
      <c r="J36" s="188"/>
      <c r="K36" s="188"/>
      <c r="L36" s="79"/>
    </row>
    <row r="37" spans="1:13" x14ac:dyDescent="0.3">
      <c r="A37" s="92" t="s">
        <v>129</v>
      </c>
      <c r="B37" s="188"/>
      <c r="C37" s="188"/>
      <c r="D37" s="188"/>
      <c r="E37" s="188"/>
      <c r="F37" s="188"/>
      <c r="G37" s="188"/>
      <c r="H37" s="188"/>
      <c r="I37" s="188"/>
      <c r="J37" s="188"/>
      <c r="K37" s="188"/>
      <c r="L37" s="79"/>
      <c r="M37" s="90" t="s">
        <v>295</v>
      </c>
    </row>
    <row r="38" spans="1:13" ht="15" customHeight="1" x14ac:dyDescent="0.3">
      <c r="A38" s="92" t="s">
        <v>127</v>
      </c>
      <c r="L38" s="79"/>
    </row>
  </sheetData>
  <mergeCells count="20">
    <mergeCell ref="B34:K34"/>
    <mergeCell ref="B35:K35"/>
    <mergeCell ref="B36:K36"/>
    <mergeCell ref="B37:K37"/>
    <mergeCell ref="B24:K24"/>
    <mergeCell ref="B25:K25"/>
    <mergeCell ref="B26:K26"/>
    <mergeCell ref="B30:K30"/>
    <mergeCell ref="B31:K31"/>
    <mergeCell ref="B33:K33"/>
    <mergeCell ref="B32:K32"/>
    <mergeCell ref="C2:K2"/>
    <mergeCell ref="B3:B4"/>
    <mergeCell ref="C3:C4"/>
    <mergeCell ref="D3:D4"/>
    <mergeCell ref="E3:E4"/>
    <mergeCell ref="F3:G4"/>
    <mergeCell ref="H3:I4"/>
    <mergeCell ref="J3:J4"/>
    <mergeCell ref="K3:K4"/>
  </mergeCells>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BD3E-A42D-41F3-B5C9-1FB15D0D2453}">
  <sheetPr>
    <tabColor rgb="FF92D050"/>
  </sheetPr>
  <dimension ref="B1:V33"/>
  <sheetViews>
    <sheetView workbookViewId="0">
      <selection activeCell="L10" sqref="L10"/>
    </sheetView>
  </sheetViews>
  <sheetFormatPr defaultRowHeight="13.2" x14ac:dyDescent="0.25"/>
  <cols>
    <col min="1" max="1" width="3.6640625" customWidth="1"/>
    <col min="2" max="2" width="40.6640625" customWidth="1"/>
    <col min="3" max="3" width="17.33203125" bestFit="1" customWidth="1"/>
    <col min="4" max="4" width="59.5546875" bestFit="1" customWidth="1"/>
    <col min="5" max="5" width="11.6640625" bestFit="1" customWidth="1"/>
    <col min="6" max="6" width="12.33203125" bestFit="1" customWidth="1"/>
    <col min="7" max="7" width="15.6640625" customWidth="1"/>
    <col min="8" max="8" width="17" bestFit="1" customWidth="1"/>
    <col min="9" max="9" width="14.6640625" bestFit="1" customWidth="1"/>
    <col min="10" max="10" width="14" customWidth="1"/>
    <col min="11" max="11" width="12" customWidth="1"/>
    <col min="12" max="13" width="13.33203125" customWidth="1"/>
    <col min="17" max="17" width="14.44140625" bestFit="1" customWidth="1"/>
    <col min="18" max="18" width="9.5546875" bestFit="1" customWidth="1"/>
  </cols>
  <sheetData>
    <row r="1" spans="2:22" ht="15.6" x14ac:dyDescent="0.3">
      <c r="B1" s="9"/>
    </row>
    <row r="2" spans="2:22" ht="17.399999999999999" x14ac:dyDescent="0.3">
      <c r="B2" s="7" t="s">
        <v>591</v>
      </c>
    </row>
    <row r="3" spans="2:22" x14ac:dyDescent="0.25">
      <c r="D3" s="2"/>
      <c r="E3" s="1"/>
      <c r="F3" s="1"/>
    </row>
    <row r="4" spans="2:22" x14ac:dyDescent="0.25">
      <c r="E4" s="4" t="s">
        <v>0</v>
      </c>
      <c r="F4" s="1"/>
      <c r="G4" s="1"/>
    </row>
    <row r="5" spans="2:22" x14ac:dyDescent="0.25">
      <c r="B5" s="5" t="s">
        <v>1</v>
      </c>
      <c r="C5" s="5" t="s">
        <v>3</v>
      </c>
      <c r="D5" s="5" t="s">
        <v>4</v>
      </c>
      <c r="E5" s="5" t="s">
        <v>70</v>
      </c>
      <c r="F5" s="5" t="s">
        <v>7</v>
      </c>
      <c r="G5" s="5" t="s">
        <v>9</v>
      </c>
      <c r="H5" s="8" t="s">
        <v>25</v>
      </c>
      <c r="I5" s="8" t="s">
        <v>5</v>
      </c>
      <c r="J5" s="8" t="s">
        <v>27</v>
      </c>
      <c r="K5" s="8" t="s">
        <v>33</v>
      </c>
      <c r="L5" s="8" t="s">
        <v>6</v>
      </c>
      <c r="M5" s="8" t="s">
        <v>26</v>
      </c>
      <c r="N5" s="150" t="s">
        <v>572</v>
      </c>
      <c r="P5" s="150"/>
    </row>
    <row r="6" spans="2:22" ht="27" thickBot="1" x14ac:dyDescent="0.3">
      <c r="B6" s="6" t="s">
        <v>37</v>
      </c>
      <c r="C6" s="6" t="s">
        <v>23</v>
      </c>
      <c r="D6" s="6" t="s">
        <v>24</v>
      </c>
      <c r="E6" s="6"/>
      <c r="F6" s="6" t="s">
        <v>32</v>
      </c>
      <c r="G6" s="6" t="s">
        <v>28</v>
      </c>
      <c r="H6" s="6" t="s">
        <v>29</v>
      </c>
      <c r="I6" s="6" t="s">
        <v>30</v>
      </c>
      <c r="J6" s="6" t="s">
        <v>31</v>
      </c>
      <c r="K6" s="6" t="s">
        <v>34</v>
      </c>
      <c r="L6" s="6" t="s">
        <v>35</v>
      </c>
      <c r="M6" s="6" t="s">
        <v>36</v>
      </c>
      <c r="N6" s="6" t="s">
        <v>573</v>
      </c>
      <c r="P6" s="151" t="s">
        <v>574</v>
      </c>
    </row>
    <row r="7" spans="2:22" ht="26.4" x14ac:dyDescent="0.25">
      <c r="B7" s="151" t="s">
        <v>576</v>
      </c>
      <c r="C7" s="151"/>
      <c r="D7" s="151"/>
      <c r="E7" s="151"/>
      <c r="F7" s="151"/>
      <c r="G7" s="151"/>
      <c r="H7" s="151"/>
      <c r="I7" s="151" t="s">
        <v>577</v>
      </c>
      <c r="J7" s="151"/>
      <c r="K7" s="151" t="s">
        <v>578</v>
      </c>
      <c r="L7" s="151" t="s">
        <v>579</v>
      </c>
      <c r="M7" s="151" t="s">
        <v>581</v>
      </c>
      <c r="N7" s="151" t="s">
        <v>580</v>
      </c>
      <c r="P7" s="151" t="s">
        <v>575</v>
      </c>
      <c r="Q7" s="151" t="s">
        <v>586</v>
      </c>
      <c r="R7" s="3" t="s">
        <v>586</v>
      </c>
    </row>
    <row r="8" spans="2:22" x14ac:dyDescent="0.25">
      <c r="B8" s="10" t="s">
        <v>606</v>
      </c>
      <c r="C8" s="10" t="s">
        <v>552</v>
      </c>
      <c r="D8" s="10" t="s">
        <v>553</v>
      </c>
      <c r="E8" s="170" t="s">
        <v>587</v>
      </c>
      <c r="F8" s="10">
        <v>2020</v>
      </c>
      <c r="G8" s="152">
        <f>(100-'111 1 el Main distri50-60kVcabl'!D9*2-'111 1 el Main distri50-60kVcabl'!D8)/100</f>
        <v>0.99149999999999994</v>
      </c>
      <c r="H8" s="21">
        <f>'111 1 el Main distri50-60kVcabl'!C13</f>
        <v>0.45</v>
      </c>
      <c r="I8" s="21">
        <f>'111 1 el Main distri50-60kVcabl'!D12</f>
        <v>40</v>
      </c>
      <c r="J8" s="24">
        <f>8760*3.6/1000000</f>
        <v>3.1536000000000002E-2</v>
      </c>
      <c r="K8" s="13">
        <f>'111 1 el Main distri50-60kVcabl'!C19*P8/1000+'111 1 el Main distri50-60kVcabl'!D24/1000000*2</f>
        <v>0.307</v>
      </c>
      <c r="L8" s="159">
        <f>'111 1 el Main distri50-60kVcabl'!D28*P8/1000000</f>
        <v>1.08953E-3</v>
      </c>
      <c r="M8" s="13"/>
      <c r="N8" s="13">
        <f>'111 1 el Main distri50-60kVcabl'!D14</f>
        <v>1.5</v>
      </c>
      <c r="P8">
        <v>50</v>
      </c>
      <c r="Q8" s="161">
        <f>PMT(0.1,I8,-K8*1000000*7.45)/(8760*H8)</f>
        <v>59.330953748814103</v>
      </c>
      <c r="R8" s="161">
        <f>L8*7.45*1000</f>
        <v>8.1169984999999993</v>
      </c>
      <c r="S8" s="3">
        <f t="shared" ref="S8:T10" si="0">Q8/10</f>
        <v>5.9330953748814101</v>
      </c>
      <c r="T8" s="3">
        <f t="shared" si="0"/>
        <v>0.81169984999999989</v>
      </c>
    </row>
    <row r="9" spans="2:22" x14ac:dyDescent="0.25">
      <c r="B9" s="10" t="s">
        <v>607</v>
      </c>
      <c r="C9" s="10" t="s">
        <v>553</v>
      </c>
      <c r="D9" s="10" t="s">
        <v>554</v>
      </c>
      <c r="E9" s="170" t="s">
        <v>587</v>
      </c>
      <c r="F9" s="10">
        <v>2020</v>
      </c>
      <c r="G9" s="155">
        <f>(100-'111 1 el Main distri50-60kVcabl'!D7-'111 1 el Main distri50-60kVcabl'!D6-'111 1 el Main distri50-60kVcabl'!D9*2)/100</f>
        <v>0.98749999999999982</v>
      </c>
      <c r="H9" s="21">
        <f>'111 1 el Main distri50-60kVcabl'!D13</f>
        <v>0.45</v>
      </c>
      <c r="I9" s="21">
        <f>'111 1 el Main distri50-60kVcabl'!D12</f>
        <v>40</v>
      </c>
      <c r="J9" s="24">
        <f>8760*3.6/1000000</f>
        <v>3.1536000000000002E-2</v>
      </c>
      <c r="K9">
        <f>'111 1 el Main distri50-60kVcabl'!D17*P9/1000+'111 1 el Main distri50-60kVcabl'!D24/1000000*2</f>
        <v>0.33199999999999996</v>
      </c>
      <c r="L9" s="160">
        <f>'111 1 el Main distri50-60kVcabl'!D28*P9/1000000</f>
        <v>6.5371800000000007E-4</v>
      </c>
      <c r="N9">
        <f>'111 1 el Main distri50-60kVcabl'!D14</f>
        <v>1.5</v>
      </c>
      <c r="P9">
        <v>30</v>
      </c>
      <c r="Q9" s="161">
        <f>PMT(0.1,I9,-K9*1000000*7.45)/(8760*H9)</f>
        <v>64.162464640411329</v>
      </c>
      <c r="R9" s="161">
        <f>L9*7.45*1000</f>
        <v>4.8701991000000007</v>
      </c>
      <c r="S9" s="3">
        <f t="shared" si="0"/>
        <v>6.4162464640411327</v>
      </c>
      <c r="T9" s="3">
        <f t="shared" si="0"/>
        <v>0.48701991000000006</v>
      </c>
    </row>
    <row r="10" spans="2:22" x14ac:dyDescent="0.25">
      <c r="B10" s="10" t="s">
        <v>608</v>
      </c>
      <c r="C10" s="23" t="s">
        <v>554</v>
      </c>
      <c r="D10" s="23" t="s">
        <v>555</v>
      </c>
      <c r="E10" s="170" t="s">
        <v>587</v>
      </c>
      <c r="F10" s="10">
        <v>2020</v>
      </c>
      <c r="G10" s="153">
        <f>1-(SUM('111 2 el distri Rural'!D6:D7)+SUM('111 3 el distri suburban'!D6:D7)+SUM('111 4 el distri  city'!D6:D7)+SUM('111 5 el distri new area'!D6:D7))/4/100</f>
        <v>0.95499999999999996</v>
      </c>
      <c r="H10" s="162">
        <f>('111 2 el distri Rural'!D10+'111 3 el distri suburban'!D10+'111 4 el distri  city'!D10+'111 5 el distri new area'!D10)/4</f>
        <v>0.47499999999999998</v>
      </c>
      <c r="I10" s="22">
        <f>'111 2 el distri Rural'!D9</f>
        <v>40</v>
      </c>
      <c r="J10" s="24">
        <f>8760*3.6/1000000</f>
        <v>3.1536000000000002E-2</v>
      </c>
      <c r="K10" s="168">
        <f>('111 2 el distri Rural'!D16+'111 3 el distri suburban'!D16+'111 4 el distri  city'!D16+'111 5 el distri new area'!D16)/4*8760*H10/1000000</f>
        <v>1.1401140000000001</v>
      </c>
      <c r="L10" s="169">
        <f>('111 2 el distri Rural'!D35+'111 3 el distri suburban'!D35+'111 4 el distri  city'!D35+'111 5 el distri new area'!D35)/4/1000000</f>
        <v>2.1034229310113715E-3</v>
      </c>
      <c r="M10" s="11"/>
      <c r="N10">
        <f>'111 2 el distri Rural'!D13</f>
        <v>1</v>
      </c>
      <c r="Q10" s="161">
        <f>PMT(0.1,I10,-K10*1000000*7.45)/(8760*H10)</f>
        <v>208.74214264405248</v>
      </c>
      <c r="R10" s="161">
        <f>L10*7.45*1000</f>
        <v>15.670500836034718</v>
      </c>
      <c r="S10" s="3">
        <f t="shared" si="0"/>
        <v>20.874214264405246</v>
      </c>
      <c r="T10" s="3">
        <f t="shared" si="0"/>
        <v>1.5670500836034718</v>
      </c>
    </row>
    <row r="11" spans="2:22" x14ac:dyDescent="0.25">
      <c r="B11" s="10"/>
      <c r="C11" s="149"/>
      <c r="D11" s="149"/>
      <c r="E11" s="10"/>
      <c r="F11" s="10"/>
      <c r="G11" s="163"/>
      <c r="H11" s="164"/>
      <c r="I11" s="26"/>
      <c r="J11" s="24"/>
      <c r="K11" s="165"/>
      <c r="L11" s="12"/>
      <c r="M11" s="12"/>
      <c r="Q11" s="161"/>
      <c r="R11" s="161"/>
      <c r="S11" s="3"/>
      <c r="T11" s="3"/>
      <c r="U11" s="3"/>
    </row>
    <row r="12" spans="2:22" x14ac:dyDescent="0.25">
      <c r="B12" s="10" t="s">
        <v>557</v>
      </c>
      <c r="C12" s="10" t="s">
        <v>552</v>
      </c>
      <c r="D12" s="10" t="s">
        <v>553</v>
      </c>
      <c r="E12" s="10" t="s">
        <v>556</v>
      </c>
      <c r="F12" s="10">
        <v>2020</v>
      </c>
      <c r="G12" s="21"/>
      <c r="H12" s="21"/>
      <c r="I12" s="21"/>
      <c r="J12" s="24"/>
      <c r="K12" s="13"/>
      <c r="L12" s="13"/>
      <c r="M12" s="13"/>
      <c r="S12" s="161">
        <f>SUM(Q8:R10)</f>
        <v>360.89325946931262</v>
      </c>
      <c r="T12" s="3">
        <f>S12/10</f>
        <v>36.089325946931261</v>
      </c>
      <c r="U12" s="3" t="s">
        <v>589</v>
      </c>
      <c r="V12" t="s">
        <v>588</v>
      </c>
    </row>
    <row r="13" spans="2:22" x14ac:dyDescent="0.25">
      <c r="B13" s="10" t="s">
        <v>558</v>
      </c>
      <c r="C13" s="10" t="s">
        <v>553</v>
      </c>
      <c r="D13" s="10" t="s">
        <v>554</v>
      </c>
      <c r="E13" s="10" t="s">
        <v>556</v>
      </c>
      <c r="F13" s="10">
        <v>2020</v>
      </c>
      <c r="G13" s="21"/>
      <c r="H13" s="21"/>
      <c r="I13" s="26"/>
      <c r="J13" s="27"/>
      <c r="R13" s="3"/>
      <c r="S13" s="3" t="s">
        <v>590</v>
      </c>
    </row>
    <row r="14" spans="2:22" x14ac:dyDescent="0.25">
      <c r="B14" s="10" t="s">
        <v>559</v>
      </c>
      <c r="C14" s="23" t="s">
        <v>554</v>
      </c>
      <c r="D14" s="23" t="s">
        <v>555</v>
      </c>
      <c r="E14" s="10" t="s">
        <v>556</v>
      </c>
      <c r="F14" s="10">
        <v>2020</v>
      </c>
      <c r="G14" s="22"/>
      <c r="H14" s="22"/>
      <c r="I14" s="22"/>
      <c r="J14" s="25"/>
      <c r="K14" s="11"/>
      <c r="L14" s="11"/>
      <c r="M14" s="11"/>
      <c r="R14" s="3"/>
    </row>
    <row r="15" spans="2:22" x14ac:dyDescent="0.25">
      <c r="B15" s="10" t="s">
        <v>563</v>
      </c>
      <c r="C15" s="10" t="s">
        <v>552</v>
      </c>
      <c r="D15" s="10" t="s">
        <v>553</v>
      </c>
      <c r="E15" s="10" t="s">
        <v>556</v>
      </c>
      <c r="F15" s="10">
        <v>2020</v>
      </c>
      <c r="G15" s="21"/>
      <c r="H15" s="21"/>
      <c r="I15" s="21"/>
      <c r="J15" s="24"/>
      <c r="K15" s="13"/>
      <c r="L15" s="13"/>
      <c r="M15" s="13"/>
      <c r="Q15" s="171"/>
      <c r="R15" s="3"/>
    </row>
    <row r="16" spans="2:22" x14ac:dyDescent="0.25">
      <c r="B16" s="10" t="s">
        <v>564</v>
      </c>
      <c r="C16" s="10" t="s">
        <v>553</v>
      </c>
      <c r="D16" s="10" t="s">
        <v>554</v>
      </c>
      <c r="E16" s="10" t="s">
        <v>556</v>
      </c>
      <c r="F16" s="10">
        <v>2020</v>
      </c>
      <c r="G16" s="21"/>
      <c r="H16" s="21"/>
      <c r="I16" s="26"/>
      <c r="J16" s="27"/>
      <c r="R16" s="3"/>
    </row>
    <row r="17" spans="2:18" x14ac:dyDescent="0.25">
      <c r="B17" s="10" t="s">
        <v>565</v>
      </c>
      <c r="C17" s="23" t="s">
        <v>554</v>
      </c>
      <c r="D17" s="23" t="s">
        <v>555</v>
      </c>
      <c r="E17" s="10" t="s">
        <v>556</v>
      </c>
      <c r="F17" s="10">
        <v>2020</v>
      </c>
      <c r="G17" s="22"/>
      <c r="H17" s="22"/>
      <c r="I17" s="22"/>
      <c r="J17" s="25"/>
      <c r="K17" s="11"/>
      <c r="L17" s="11"/>
      <c r="M17" s="11"/>
      <c r="R17" s="3"/>
    </row>
    <row r="18" spans="2:18" x14ac:dyDescent="0.25">
      <c r="B18" s="12"/>
      <c r="C18" s="12"/>
      <c r="D18" s="12"/>
      <c r="E18" s="12"/>
      <c r="F18" s="12"/>
      <c r="G18" s="12"/>
      <c r="H18" s="12"/>
      <c r="I18" s="12"/>
      <c r="J18" s="12"/>
      <c r="K18" s="12"/>
      <c r="L18" s="12"/>
    </row>
    <row r="19" spans="2:18" x14ac:dyDescent="0.25">
      <c r="R19" s="3"/>
    </row>
    <row r="20" spans="2:18" x14ac:dyDescent="0.25">
      <c r="R20" s="3"/>
    </row>
    <row r="21" spans="2:18" x14ac:dyDescent="0.25">
      <c r="B21" s="14" t="s">
        <v>10</v>
      </c>
      <c r="C21" s="14"/>
      <c r="D21" s="16"/>
      <c r="E21" s="16"/>
      <c r="F21" s="16"/>
      <c r="G21" s="16"/>
      <c r="H21" s="16"/>
      <c r="I21" s="16"/>
    </row>
    <row r="22" spans="2:18" x14ac:dyDescent="0.25">
      <c r="B22" s="17" t="s">
        <v>8</v>
      </c>
      <c r="C22" s="17" t="s">
        <v>1</v>
      </c>
      <c r="D22" s="17" t="s">
        <v>2</v>
      </c>
      <c r="E22" s="17" t="s">
        <v>11</v>
      </c>
      <c r="F22" s="17" t="s">
        <v>12</v>
      </c>
      <c r="G22" s="17" t="s">
        <v>13</v>
      </c>
      <c r="H22" s="17" t="s">
        <v>14</v>
      </c>
      <c r="I22" s="17" t="s">
        <v>15</v>
      </c>
    </row>
    <row r="23" spans="2:18" ht="27" thickBot="1" x14ac:dyDescent="0.3">
      <c r="B23" s="18" t="s">
        <v>38</v>
      </c>
      <c r="C23" s="18" t="s">
        <v>16</v>
      </c>
      <c r="D23" s="18" t="s">
        <v>17</v>
      </c>
      <c r="E23" s="18" t="s">
        <v>18</v>
      </c>
      <c r="F23" s="18" t="s">
        <v>19</v>
      </c>
      <c r="G23" s="18" t="s">
        <v>20</v>
      </c>
      <c r="H23" s="18" t="s">
        <v>21</v>
      </c>
      <c r="I23" s="18" t="s">
        <v>22</v>
      </c>
    </row>
    <row r="24" spans="2:18" x14ac:dyDescent="0.25">
      <c r="B24" s="15" t="s">
        <v>39</v>
      </c>
      <c r="C24" s="15" t="str">
        <f>B8</f>
        <v>FT-GRDELCHIGH1N</v>
      </c>
      <c r="D24" s="15" t="s">
        <v>561</v>
      </c>
      <c r="E24" s="15" t="s">
        <v>40</v>
      </c>
      <c r="F24" s="15" t="s">
        <v>41</v>
      </c>
      <c r="G24" s="15" t="s">
        <v>42</v>
      </c>
      <c r="H24" s="15"/>
      <c r="I24" s="15"/>
      <c r="J24" s="10"/>
      <c r="K24" s="10"/>
      <c r="L24" s="10"/>
      <c r="M24" s="10"/>
    </row>
    <row r="25" spans="2:18" x14ac:dyDescent="0.25">
      <c r="B25" s="16"/>
      <c r="C25" s="15" t="str">
        <f>B9</f>
        <v>FT-GRDELCMID1N</v>
      </c>
      <c r="D25" s="15" t="s">
        <v>560</v>
      </c>
      <c r="E25" s="15" t="s">
        <v>40</v>
      </c>
      <c r="F25" s="15" t="s">
        <v>41</v>
      </c>
      <c r="G25" s="15" t="s">
        <v>42</v>
      </c>
      <c r="H25" s="16"/>
      <c r="I25" s="16"/>
    </row>
    <row r="26" spans="2:18" x14ac:dyDescent="0.25">
      <c r="B26" s="19"/>
      <c r="C26" s="15" t="str">
        <f>B10</f>
        <v>FT-GRDELCLOW1N</v>
      </c>
      <c r="D26" s="15" t="s">
        <v>562</v>
      </c>
      <c r="E26" s="20" t="s">
        <v>40</v>
      </c>
      <c r="F26" s="20" t="s">
        <v>41</v>
      </c>
      <c r="G26" s="20" t="s">
        <v>42</v>
      </c>
      <c r="H26" s="19"/>
      <c r="I26" s="19"/>
    </row>
    <row r="27" spans="2:18" x14ac:dyDescent="0.25">
      <c r="B27" s="166"/>
      <c r="C27" s="15"/>
      <c r="D27" s="15"/>
      <c r="E27" s="167"/>
      <c r="F27" s="167"/>
      <c r="G27" s="167"/>
      <c r="H27" s="166"/>
      <c r="I27" s="166"/>
    </row>
    <row r="28" spans="2:18" x14ac:dyDescent="0.25">
      <c r="B28" s="16"/>
      <c r="C28" s="15" t="str">
        <f t="shared" ref="C28:C33" si="1">B12</f>
        <v>FT-ELCHIGH2N</v>
      </c>
      <c r="D28" s="15" t="s">
        <v>566</v>
      </c>
      <c r="E28" s="15" t="s">
        <v>40</v>
      </c>
      <c r="F28" s="15" t="s">
        <v>41</v>
      </c>
      <c r="G28" s="15" t="s">
        <v>42</v>
      </c>
      <c r="H28" s="16"/>
      <c r="I28" s="16"/>
    </row>
    <row r="29" spans="2:18" x14ac:dyDescent="0.25">
      <c r="B29" s="16"/>
      <c r="C29" s="15" t="str">
        <f t="shared" si="1"/>
        <v>FT-ELCMID2N</v>
      </c>
      <c r="D29" s="15" t="s">
        <v>567</v>
      </c>
      <c r="E29" s="15" t="s">
        <v>40</v>
      </c>
      <c r="F29" s="15" t="s">
        <v>41</v>
      </c>
      <c r="G29" s="15" t="s">
        <v>42</v>
      </c>
      <c r="H29" s="16"/>
      <c r="I29" s="16"/>
    </row>
    <row r="30" spans="2:18" x14ac:dyDescent="0.25">
      <c r="B30" s="19"/>
      <c r="C30" s="15" t="str">
        <f t="shared" si="1"/>
        <v>FT-ELCLOW2N</v>
      </c>
      <c r="D30" s="15" t="s">
        <v>568</v>
      </c>
      <c r="E30" s="20" t="s">
        <v>40</v>
      </c>
      <c r="F30" s="20" t="s">
        <v>41</v>
      </c>
      <c r="G30" s="20" t="s">
        <v>42</v>
      </c>
      <c r="H30" s="19"/>
      <c r="I30" s="19"/>
    </row>
    <row r="31" spans="2:18" x14ac:dyDescent="0.25">
      <c r="C31" s="15" t="str">
        <f t="shared" si="1"/>
        <v>FT-ELCHIGH3N</v>
      </c>
      <c r="D31" s="15" t="s">
        <v>569</v>
      </c>
      <c r="E31" s="15" t="s">
        <v>40</v>
      </c>
      <c r="F31" s="15" t="s">
        <v>41</v>
      </c>
      <c r="G31" s="15" t="s">
        <v>42</v>
      </c>
    </row>
    <row r="32" spans="2:18" x14ac:dyDescent="0.25">
      <c r="C32" s="15" t="str">
        <f t="shared" si="1"/>
        <v>FT-ELCMID3N</v>
      </c>
      <c r="D32" s="15" t="s">
        <v>570</v>
      </c>
      <c r="E32" s="15" t="s">
        <v>40</v>
      </c>
      <c r="F32" s="15" t="s">
        <v>41</v>
      </c>
      <c r="G32" s="15" t="s">
        <v>42</v>
      </c>
    </row>
    <row r="33" spans="3:7" x14ac:dyDescent="0.25">
      <c r="C33" s="15" t="str">
        <f t="shared" si="1"/>
        <v>FT-ELCLOW3N</v>
      </c>
      <c r="D33" s="15" t="s">
        <v>571</v>
      </c>
      <c r="E33" s="20" t="s">
        <v>40</v>
      </c>
      <c r="F33" s="20" t="s">
        <v>41</v>
      </c>
      <c r="G33" s="20" t="s">
        <v>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9D591-5E7D-40D0-9B7E-91C6A37A6A2B}">
  <sheetPr>
    <tabColor rgb="FF92D050"/>
  </sheetPr>
  <dimension ref="B1:V28"/>
  <sheetViews>
    <sheetView workbookViewId="0">
      <selection activeCell="D30" sqref="D30"/>
    </sheetView>
  </sheetViews>
  <sheetFormatPr defaultRowHeight="13.2" x14ac:dyDescent="0.25"/>
  <cols>
    <col min="1" max="1" width="3.6640625" customWidth="1"/>
    <col min="2" max="2" width="40.6640625" customWidth="1"/>
    <col min="3" max="3" width="17.33203125" bestFit="1" customWidth="1"/>
    <col min="4" max="4" width="59.5546875" bestFit="1" customWidth="1"/>
    <col min="5" max="5" width="11.6640625" bestFit="1" customWidth="1"/>
    <col min="6" max="6" width="12.33203125" bestFit="1" customWidth="1"/>
    <col min="7" max="7" width="15.6640625" customWidth="1"/>
    <col min="8" max="8" width="17" bestFit="1" customWidth="1"/>
    <col min="9" max="9" width="14.6640625" bestFit="1" customWidth="1"/>
    <col min="10" max="10" width="14" customWidth="1"/>
    <col min="11" max="11" width="12" customWidth="1"/>
    <col min="12" max="13" width="13.33203125" customWidth="1"/>
    <col min="18" max="18" width="14.44140625" bestFit="1" customWidth="1"/>
    <col min="19" max="19" width="9.5546875" bestFit="1" customWidth="1"/>
  </cols>
  <sheetData>
    <row r="1" spans="2:22" ht="15.6" x14ac:dyDescent="0.3">
      <c r="B1" s="9"/>
    </row>
    <row r="2" spans="2:22" ht="17.399999999999999" x14ac:dyDescent="0.3">
      <c r="B2" s="7" t="s">
        <v>592</v>
      </c>
    </row>
    <row r="3" spans="2:22" x14ac:dyDescent="0.25">
      <c r="D3" s="2"/>
      <c r="E3" s="1"/>
      <c r="F3" s="1"/>
    </row>
    <row r="4" spans="2:22" x14ac:dyDescent="0.25">
      <c r="E4" s="4" t="s">
        <v>0</v>
      </c>
      <c r="F4" s="1"/>
      <c r="G4" s="1"/>
    </row>
    <row r="5" spans="2:22" ht="39.6" x14ac:dyDescent="0.25">
      <c r="B5" s="5" t="s">
        <v>1</v>
      </c>
      <c r="C5" s="5" t="s">
        <v>3</v>
      </c>
      <c r="D5" s="5" t="s">
        <v>4</v>
      </c>
      <c r="E5" s="5" t="s">
        <v>70</v>
      </c>
      <c r="F5" s="5" t="s">
        <v>7</v>
      </c>
      <c r="G5" s="5" t="s">
        <v>9</v>
      </c>
      <c r="H5" s="8" t="s">
        <v>25</v>
      </c>
      <c r="I5" s="8" t="s">
        <v>5</v>
      </c>
      <c r="J5" s="8" t="s">
        <v>27</v>
      </c>
      <c r="K5" s="8" t="s">
        <v>33</v>
      </c>
      <c r="L5" s="8" t="s">
        <v>6</v>
      </c>
      <c r="M5" s="8" t="s">
        <v>26</v>
      </c>
      <c r="N5" s="150" t="s">
        <v>572</v>
      </c>
      <c r="O5" s="150" t="s">
        <v>603</v>
      </c>
      <c r="Q5" s="150"/>
    </row>
    <row r="6" spans="2:22" ht="27" thickBot="1" x14ac:dyDescent="0.3">
      <c r="B6" s="6" t="s">
        <v>37</v>
      </c>
      <c r="C6" s="6" t="s">
        <v>23</v>
      </c>
      <c r="D6" s="6" t="s">
        <v>24</v>
      </c>
      <c r="E6" s="6"/>
      <c r="F6" s="6" t="s">
        <v>32</v>
      </c>
      <c r="G6" s="6" t="s">
        <v>28</v>
      </c>
      <c r="H6" s="6" t="s">
        <v>29</v>
      </c>
      <c r="I6" s="6" t="s">
        <v>30</v>
      </c>
      <c r="J6" s="6" t="s">
        <v>31</v>
      </c>
      <c r="K6" s="6" t="s">
        <v>34</v>
      </c>
      <c r="L6" s="6" t="s">
        <v>35</v>
      </c>
      <c r="M6" s="6" t="s">
        <v>36</v>
      </c>
      <c r="N6" s="6" t="s">
        <v>573</v>
      </c>
      <c r="O6" s="151" t="s">
        <v>598</v>
      </c>
      <c r="Q6" s="151" t="s">
        <v>574</v>
      </c>
    </row>
    <row r="7" spans="2:22" ht="26.4" x14ac:dyDescent="0.25">
      <c r="B7" s="151" t="s">
        <v>576</v>
      </c>
      <c r="C7" s="151"/>
      <c r="D7" s="151"/>
      <c r="E7" s="151"/>
      <c r="F7" s="151"/>
      <c r="G7" s="151"/>
      <c r="H7" s="151"/>
      <c r="I7" s="151" t="s">
        <v>577</v>
      </c>
      <c r="J7" s="151"/>
      <c r="K7" s="151" t="s">
        <v>578</v>
      </c>
      <c r="L7" s="151" t="s">
        <v>579</v>
      </c>
      <c r="M7" s="151" t="s">
        <v>581</v>
      </c>
      <c r="N7" s="151" t="s">
        <v>580</v>
      </c>
      <c r="O7" s="151" t="s">
        <v>599</v>
      </c>
      <c r="Q7" s="151" t="s">
        <v>575</v>
      </c>
      <c r="R7" s="151" t="s">
        <v>586</v>
      </c>
      <c r="S7" s="3" t="s">
        <v>586</v>
      </c>
    </row>
    <row r="8" spans="2:22" x14ac:dyDescent="0.25">
      <c r="B8" t="s">
        <v>604</v>
      </c>
      <c r="C8" t="s">
        <v>593</v>
      </c>
      <c r="D8" t="s">
        <v>594</v>
      </c>
      <c r="E8" s="10" t="s">
        <v>587</v>
      </c>
      <c r="F8" s="10">
        <v>2020</v>
      </c>
      <c r="G8" s="152">
        <f>(100-'112 6 gas Main distri line'!C8)/100</f>
        <v>0.99900000000000011</v>
      </c>
      <c r="H8" s="21">
        <f>'112 6 gas Main distri line'!D13</f>
        <v>0.2</v>
      </c>
      <c r="I8" s="21">
        <f>'112 6 gas Main distri line'!D12</f>
        <v>50</v>
      </c>
      <c r="J8" s="24">
        <f>8760*3.6/1000000</f>
        <v>3.1536000000000002E-2</v>
      </c>
      <c r="K8" s="13">
        <f>'112 6 gas Main distri line'!D21*Q8/1000</f>
        <v>3.4000000000000002E-2</v>
      </c>
      <c r="L8" s="159">
        <f>'112 6 gas Main distri line'!D28*Q8/1000000</f>
        <v>6.0493420284648663E-6</v>
      </c>
      <c r="M8" s="13">
        <f>'112 6 gas Main distri line'!D29*Q8*1000/3.6</f>
        <v>0.15631479862069877</v>
      </c>
      <c r="N8" s="13">
        <f>'112 6 gas Main distri line'!D14</f>
        <v>1</v>
      </c>
      <c r="O8" s="174">
        <f>(1-G8)*1000/53.6*25</f>
        <v>0.4664179104477098</v>
      </c>
      <c r="Q8">
        <v>50</v>
      </c>
      <c r="R8" s="161">
        <f>PMT(0.1,I8,-K8*1000000*7.45)/(8760*H8)</f>
        <v>14.581979900617686</v>
      </c>
      <c r="S8" s="161">
        <f>L8*7.45*1000</f>
        <v>4.5067598112063255E-2</v>
      </c>
      <c r="T8" s="3">
        <f t="shared" ref="T8:U8" si="0">R8/10</f>
        <v>1.4581979900617685</v>
      </c>
      <c r="U8" s="3">
        <f t="shared" si="0"/>
        <v>4.5067598112063251E-3</v>
      </c>
    </row>
    <row r="9" spans="2:22" x14ac:dyDescent="0.25">
      <c r="B9" t="s">
        <v>605</v>
      </c>
      <c r="C9" t="s">
        <v>594</v>
      </c>
      <c r="D9" t="s">
        <v>595</v>
      </c>
      <c r="E9" s="10" t="s">
        <v>587</v>
      </c>
      <c r="F9" s="10">
        <v>2020</v>
      </c>
      <c r="G9" s="163">
        <f>(100-'112 7 gas  Rural'!D6)/100</f>
        <v>0.99736925513967367</v>
      </c>
      <c r="H9" s="164">
        <f>('111 2 el distri Rural'!D10+'111 3 el distri suburban'!D10+'111 4 el distri  city'!D10+'111 5 el distri new area'!D10)/4</f>
        <v>0.47499999999999998</v>
      </c>
      <c r="I9" s="26">
        <f>'111 2 el distri Rural'!D9</f>
        <v>40</v>
      </c>
      <c r="J9" s="27">
        <f>8760*3.6/1000000</f>
        <v>3.1536000000000002E-2</v>
      </c>
      <c r="K9" s="172">
        <f>('112 7 gas  Rural'!D16+'112 8 gas  Suburban'!D16+'112 9 gas City'!D16)/3*8760*H9/1000000</f>
        <v>0.41610000000000003</v>
      </c>
      <c r="L9" s="173">
        <f>('112 7 gas  Rural'!D33+'112 8 gas  Suburban'!D33+'112 9 gas City'!D32)/3/1000000</f>
        <v>3.5340000000000002E-4</v>
      </c>
      <c r="M9" s="12"/>
      <c r="N9" s="13">
        <f>'112 6 gas Main distri line'!D15</f>
        <v>0</v>
      </c>
      <c r="O9" s="174">
        <f>(1-G9)*1000/53.6*25</f>
        <v>1.2270265206745934</v>
      </c>
      <c r="R9" s="161">
        <f>PMT(0.1,I9,-K9*1000000*7.45)/(8760*H9)</f>
        <v>76.183263738705278</v>
      </c>
      <c r="S9" s="161">
        <f>L9*7.45*1000</f>
        <v>2.6328300000000002</v>
      </c>
      <c r="T9" s="3">
        <f>R9/10</f>
        <v>7.618326373870528</v>
      </c>
      <c r="U9" s="3">
        <f>S9/10</f>
        <v>0.26328300000000004</v>
      </c>
    </row>
    <row r="10" spans="2:22" x14ac:dyDescent="0.25">
      <c r="E10" s="10"/>
      <c r="F10" s="10"/>
      <c r="G10" s="21"/>
      <c r="H10" s="164"/>
      <c r="I10" s="26"/>
      <c r="J10" s="27"/>
      <c r="K10" s="165"/>
      <c r="L10" s="12"/>
      <c r="M10" s="12"/>
    </row>
    <row r="11" spans="2:22" x14ac:dyDescent="0.25">
      <c r="B11" s="149"/>
      <c r="C11" s="12"/>
      <c r="D11" s="12"/>
      <c r="E11" s="12"/>
      <c r="F11" s="12"/>
      <c r="G11" s="12"/>
      <c r="H11" s="12"/>
      <c r="I11" s="12"/>
      <c r="J11" s="12"/>
      <c r="K11" s="12"/>
      <c r="L11" s="12"/>
      <c r="M11" s="12"/>
      <c r="N11" s="12"/>
      <c r="O11" s="12"/>
      <c r="R11" s="161"/>
      <c r="S11" s="161"/>
      <c r="T11" s="3"/>
      <c r="U11" s="3"/>
      <c r="V11" s="3"/>
    </row>
    <row r="12" spans="2:22" x14ac:dyDescent="0.25">
      <c r="B12" s="149"/>
      <c r="P12" s="12"/>
      <c r="T12" s="161">
        <f>SUM(R8:S9)</f>
        <v>93.443141237435029</v>
      </c>
      <c r="U12" s="3">
        <f>T12/10</f>
        <v>9.3443141237435032</v>
      </c>
      <c r="V12" s="3" t="s">
        <v>589</v>
      </c>
    </row>
    <row r="13" spans="2:22" x14ac:dyDescent="0.25">
      <c r="B13" s="149"/>
      <c r="P13" s="12"/>
      <c r="S13" s="3"/>
      <c r="T13" s="3"/>
    </row>
    <row r="14" spans="2:22" x14ac:dyDescent="0.25">
      <c r="B14" s="14" t="s">
        <v>10</v>
      </c>
      <c r="C14" s="14"/>
      <c r="D14" s="16"/>
      <c r="E14" s="16"/>
      <c r="F14" s="16"/>
      <c r="G14" s="16"/>
      <c r="H14" s="16"/>
      <c r="I14" s="16"/>
      <c r="P14" s="12"/>
      <c r="S14" s="3"/>
    </row>
    <row r="15" spans="2:22" x14ac:dyDescent="0.25">
      <c r="B15" s="17" t="s">
        <v>8</v>
      </c>
      <c r="C15" s="17" t="s">
        <v>1</v>
      </c>
      <c r="D15" s="17" t="s">
        <v>2</v>
      </c>
      <c r="E15" s="17" t="s">
        <v>11</v>
      </c>
      <c r="F15" s="17" t="s">
        <v>12</v>
      </c>
      <c r="G15" s="17" t="s">
        <v>13</v>
      </c>
      <c r="H15" s="17" t="s">
        <v>14</v>
      </c>
      <c r="I15" s="17" t="s">
        <v>15</v>
      </c>
      <c r="P15" s="12"/>
      <c r="R15" s="171"/>
      <c r="S15" s="3"/>
    </row>
    <row r="16" spans="2:22" ht="27" thickBot="1" x14ac:dyDescent="0.3">
      <c r="B16" s="18" t="s">
        <v>38</v>
      </c>
      <c r="C16" s="18" t="s">
        <v>16</v>
      </c>
      <c r="D16" s="18" t="s">
        <v>17</v>
      </c>
      <c r="E16" s="18" t="s">
        <v>18</v>
      </c>
      <c r="F16" s="18" t="s">
        <v>19</v>
      </c>
      <c r="G16" s="18" t="s">
        <v>20</v>
      </c>
      <c r="H16" s="18" t="s">
        <v>21</v>
      </c>
      <c r="I16" s="18" t="s">
        <v>22</v>
      </c>
      <c r="P16" s="12"/>
      <c r="S16" s="3"/>
    </row>
    <row r="17" spans="2:19" x14ac:dyDescent="0.25">
      <c r="B17" s="15" t="s">
        <v>39</v>
      </c>
      <c r="C17" s="15" t="str">
        <f>B8</f>
        <v>FT-GRDNGATN</v>
      </c>
      <c r="D17" t="s">
        <v>596</v>
      </c>
      <c r="E17" s="15" t="s">
        <v>40</v>
      </c>
      <c r="F17" s="15" t="s">
        <v>41</v>
      </c>
      <c r="G17" s="15" t="s">
        <v>42</v>
      </c>
      <c r="H17" s="15"/>
      <c r="I17" s="15"/>
      <c r="J17" s="10"/>
      <c r="K17" s="10"/>
      <c r="L17" s="10"/>
      <c r="M17" s="10"/>
      <c r="P17" s="12"/>
      <c r="S17" s="3"/>
    </row>
    <row r="18" spans="2:19" x14ac:dyDescent="0.25">
      <c r="B18" s="16"/>
      <c r="C18" s="167" t="str">
        <f>B9</f>
        <v>FT-GRDNGADN</v>
      </c>
      <c r="D18" t="s">
        <v>597</v>
      </c>
      <c r="E18" s="167" t="s">
        <v>40</v>
      </c>
      <c r="F18" s="167" t="s">
        <v>41</v>
      </c>
      <c r="G18" s="167" t="s">
        <v>42</v>
      </c>
      <c r="H18" s="166"/>
      <c r="I18" s="166"/>
      <c r="P18" s="12"/>
    </row>
    <row r="19" spans="2:19" x14ac:dyDescent="0.25">
      <c r="B19" s="166"/>
      <c r="C19" s="167"/>
      <c r="D19" s="167"/>
      <c r="E19" s="167"/>
      <c r="F19" s="167"/>
      <c r="G19" s="167"/>
      <c r="H19" s="166"/>
      <c r="I19" s="166"/>
      <c r="S19" s="3"/>
    </row>
    <row r="20" spans="2:19" x14ac:dyDescent="0.25">
      <c r="B20" s="166"/>
      <c r="C20" s="167"/>
      <c r="D20" s="167"/>
      <c r="E20" s="167"/>
      <c r="F20" s="167"/>
      <c r="G20" s="167"/>
      <c r="H20" s="166"/>
      <c r="I20" s="166"/>
      <c r="S20" s="3"/>
    </row>
    <row r="21" spans="2:19" x14ac:dyDescent="0.25">
      <c r="B21" s="166"/>
      <c r="C21" s="167"/>
      <c r="D21" s="167"/>
      <c r="E21" s="167"/>
      <c r="F21" s="167"/>
      <c r="G21" s="167"/>
      <c r="H21" s="166"/>
      <c r="I21" s="166"/>
    </row>
    <row r="22" spans="2:19" x14ac:dyDescent="0.25">
      <c r="B22" s="166"/>
      <c r="C22" s="167"/>
      <c r="D22" s="167"/>
      <c r="E22" s="167"/>
      <c r="F22" s="167"/>
      <c r="G22" s="167"/>
      <c r="H22" s="166"/>
      <c r="I22" s="166"/>
    </row>
    <row r="23" spans="2:19" x14ac:dyDescent="0.25">
      <c r="B23" s="166"/>
      <c r="C23" s="167"/>
      <c r="D23" s="167"/>
      <c r="E23" s="167"/>
      <c r="F23" s="167"/>
      <c r="G23" s="167"/>
      <c r="H23" s="12"/>
      <c r="I23" s="12"/>
    </row>
    <row r="24" spans="2:19" x14ac:dyDescent="0.25">
      <c r="B24" s="12"/>
      <c r="C24" s="167"/>
      <c r="D24" s="167"/>
      <c r="E24" s="167"/>
      <c r="F24" s="167"/>
      <c r="G24" s="167"/>
      <c r="H24" s="12"/>
      <c r="I24" s="12"/>
    </row>
    <row r="25" spans="2:19" x14ac:dyDescent="0.25">
      <c r="B25" s="12"/>
      <c r="C25" s="167"/>
      <c r="D25" s="167"/>
      <c r="E25" s="167"/>
      <c r="F25" s="167"/>
      <c r="G25" s="167"/>
      <c r="H25" s="12"/>
      <c r="I25" s="12"/>
    </row>
    <row r="26" spans="2:19" x14ac:dyDescent="0.25">
      <c r="B26" s="12"/>
      <c r="C26" s="12"/>
      <c r="D26" s="12"/>
      <c r="E26" s="12"/>
      <c r="F26" s="12"/>
      <c r="G26" s="12"/>
      <c r="H26" s="12"/>
      <c r="I26" s="12"/>
    </row>
    <row r="27" spans="2:19" x14ac:dyDescent="0.25">
      <c r="B27" s="12"/>
      <c r="C27" s="12"/>
      <c r="D27" s="12"/>
      <c r="E27" s="12"/>
      <c r="F27" s="12"/>
      <c r="G27" s="12"/>
      <c r="H27" s="12"/>
      <c r="I27" s="12"/>
    </row>
    <row r="28" spans="2:19" x14ac:dyDescent="0.25">
      <c r="B28" s="1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1471-3B6F-4957-A544-1136E1AC1369}">
  <dimension ref="A1:J28"/>
  <sheetViews>
    <sheetView workbookViewId="0">
      <selection activeCell="D41" sqref="D41"/>
    </sheetView>
  </sheetViews>
  <sheetFormatPr defaultColWidth="8.6640625" defaultRowHeight="14.4" x14ac:dyDescent="0.3"/>
  <cols>
    <col min="1" max="1" width="27" style="40" bestFit="1" customWidth="1"/>
    <col min="2" max="2" width="8.6640625" style="39"/>
    <col min="3" max="3" width="12.109375" style="39" customWidth="1"/>
    <col min="4" max="4" width="21.88671875" style="39" bestFit="1" customWidth="1"/>
    <col min="5" max="5" width="20.6640625" style="39" bestFit="1" customWidth="1"/>
    <col min="6" max="16384" width="8.6640625" style="39"/>
  </cols>
  <sheetData>
    <row r="1" spans="1:10" s="51" customFormat="1" ht="19.8" x14ac:dyDescent="0.4">
      <c r="A1" s="51" t="s">
        <v>107</v>
      </c>
      <c r="C1" s="176" t="s">
        <v>106</v>
      </c>
      <c r="D1" s="176"/>
      <c r="E1" s="176"/>
      <c r="F1" s="176"/>
      <c r="G1" s="176"/>
      <c r="H1" s="176"/>
      <c r="I1" s="176"/>
      <c r="J1" s="176"/>
    </row>
    <row r="2" spans="1:10" x14ac:dyDescent="0.3">
      <c r="A2" s="41" t="s">
        <v>105</v>
      </c>
      <c r="C2" s="39" t="s">
        <v>104</v>
      </c>
    </row>
    <row r="3" spans="1:10" x14ac:dyDescent="0.3">
      <c r="A3" s="41" t="s">
        <v>103</v>
      </c>
    </row>
    <row r="4" spans="1:10" x14ac:dyDescent="0.3">
      <c r="A4" s="41" t="s">
        <v>102</v>
      </c>
    </row>
    <row r="5" spans="1:10" x14ac:dyDescent="0.3">
      <c r="A5" s="41" t="s">
        <v>101</v>
      </c>
    </row>
    <row r="6" spans="1:10" x14ac:dyDescent="0.3">
      <c r="A6" s="41" t="s">
        <v>100</v>
      </c>
    </row>
    <row r="7" spans="1:10" x14ac:dyDescent="0.3">
      <c r="A7" s="41" t="s">
        <v>99</v>
      </c>
      <c r="C7" s="50" t="s">
        <v>47</v>
      </c>
      <c r="D7" s="49" t="s">
        <v>98</v>
      </c>
      <c r="E7" s="49" t="s">
        <v>97</v>
      </c>
      <c r="F7" s="48" t="s">
        <v>96</v>
      </c>
    </row>
    <row r="8" spans="1:10" x14ac:dyDescent="0.3">
      <c r="A8" s="41" t="s">
        <v>95</v>
      </c>
      <c r="C8" s="47">
        <v>44256</v>
      </c>
      <c r="D8" s="39" t="s">
        <v>94</v>
      </c>
      <c r="E8" s="39" t="s">
        <v>93</v>
      </c>
      <c r="F8" s="45"/>
    </row>
    <row r="9" spans="1:10" x14ac:dyDescent="0.3">
      <c r="A9" s="41" t="s">
        <v>92</v>
      </c>
      <c r="C9" s="47">
        <v>44137</v>
      </c>
      <c r="D9" s="39" t="s">
        <v>91</v>
      </c>
      <c r="E9" s="39" t="s">
        <v>90</v>
      </c>
      <c r="F9" s="45"/>
    </row>
    <row r="10" spans="1:10" x14ac:dyDescent="0.3">
      <c r="A10" s="41" t="s">
        <v>89</v>
      </c>
      <c r="C10" s="46"/>
      <c r="F10" s="45"/>
    </row>
    <row r="11" spans="1:10" x14ac:dyDescent="0.3">
      <c r="A11" s="41" t="s">
        <v>88</v>
      </c>
      <c r="C11" s="46"/>
      <c r="F11" s="45"/>
    </row>
    <row r="12" spans="1:10" x14ac:dyDescent="0.3">
      <c r="A12" s="41" t="s">
        <v>87</v>
      </c>
      <c r="C12" s="46"/>
      <c r="F12" s="45"/>
    </row>
    <row r="13" spans="1:10" x14ac:dyDescent="0.3">
      <c r="A13" s="41" t="s">
        <v>86</v>
      </c>
      <c r="C13" s="44"/>
      <c r="D13" s="43"/>
      <c r="E13" s="43"/>
      <c r="F13" s="42"/>
    </row>
    <row r="14" spans="1:10" x14ac:dyDescent="0.3">
      <c r="A14" s="41" t="s">
        <v>85</v>
      </c>
    </row>
    <row r="15" spans="1:10" x14ac:dyDescent="0.3">
      <c r="A15" s="41" t="s">
        <v>84</v>
      </c>
    </row>
    <row r="16" spans="1:10" x14ac:dyDescent="0.3">
      <c r="A16" s="41" t="s">
        <v>83</v>
      </c>
    </row>
    <row r="17" spans="1:1" x14ac:dyDescent="0.3">
      <c r="A17" s="41" t="s">
        <v>82</v>
      </c>
    </row>
    <row r="18" spans="1:1" x14ac:dyDescent="0.3">
      <c r="A18" s="41" t="s">
        <v>81</v>
      </c>
    </row>
    <row r="19" spans="1:1" x14ac:dyDescent="0.3">
      <c r="A19" s="41" t="s">
        <v>80</v>
      </c>
    </row>
    <row r="20" spans="1:1" x14ac:dyDescent="0.3">
      <c r="A20" s="41" t="s">
        <v>79</v>
      </c>
    </row>
    <row r="21" spans="1:1" x14ac:dyDescent="0.3">
      <c r="A21" s="41" t="s">
        <v>78</v>
      </c>
    </row>
    <row r="22" spans="1:1" x14ac:dyDescent="0.3">
      <c r="A22" s="41" t="s">
        <v>77</v>
      </c>
    </row>
    <row r="23" spans="1:1" x14ac:dyDescent="0.3">
      <c r="A23" s="41" t="s">
        <v>76</v>
      </c>
    </row>
    <row r="24" spans="1:1" x14ac:dyDescent="0.3">
      <c r="A24" s="41" t="s">
        <v>75</v>
      </c>
    </row>
    <row r="25" spans="1:1" x14ac:dyDescent="0.3">
      <c r="A25" s="41" t="s">
        <v>74</v>
      </c>
    </row>
    <row r="26" spans="1:1" x14ac:dyDescent="0.3">
      <c r="A26" s="41" t="s">
        <v>73</v>
      </c>
    </row>
    <row r="27" spans="1:1" x14ac:dyDescent="0.3">
      <c r="A27" s="41" t="s">
        <v>72</v>
      </c>
    </row>
    <row r="28" spans="1:1" x14ac:dyDescent="0.3">
      <c r="A28" s="41" t="s">
        <v>71</v>
      </c>
    </row>
  </sheetData>
  <mergeCells count="1">
    <mergeCell ref="C1:J1"/>
  </mergeCells>
  <hyperlinks>
    <hyperlink ref="A2" location="sheet2" display="111 1 el Main distri50-60kVcabl" xr:uid="{85AE29B4-C4BA-419E-9AD0-01F361E51B3F}"/>
    <hyperlink ref="A3" location="sheet3" display="111 2 el distri Rural" xr:uid="{A401622A-B43D-45F1-B2CB-034A2B86A47A}"/>
    <hyperlink ref="A4" location="sheet4" display="111 3 el distri suburban" xr:uid="{4F2F984D-ACBF-4F50-8317-CD0972C305EB}"/>
    <hyperlink ref="A5" location="sheet5" display="111 4 el distri  city" xr:uid="{121457B3-0FD3-4287-A997-4E4E6C51717B}"/>
    <hyperlink ref="A6" location="sheet6" display="111 5 el distri new area" xr:uid="{6E2C534A-A51D-47F0-B5A6-B1C09BEF3465}"/>
    <hyperlink ref="A7" location="sheet7" display="112 6 gas Main distri line" xr:uid="{0E3FE1B1-C675-4337-844D-FBA11322162B}"/>
    <hyperlink ref="A8" location="sheet8" display="112 7 gas  Rural" xr:uid="{2D165CA8-1751-4146-83B2-B0C913B1EC3F}"/>
    <hyperlink ref="A9" location="sheet9" display="112 8 gas  Suburban" xr:uid="{8C74E7BA-2CFB-472D-B511-BA5F0E0E1B83}"/>
    <hyperlink ref="A10" location="sheet10" display="112 9 gas City" xr:uid="{DC598ABF-2BD6-4CCD-9CCA-56FF41C93CB2}"/>
    <hyperlink ref="A11" location="sheet11" display="112 1 gas  New area" xr:uid="{0EA99E73-3F8B-47A3-9610-370ED771B686}"/>
    <hyperlink ref="A12" location="sheet12" display="113_11 DH transmission" xr:uid="{4CB28BD1-D70A-4C24-8383-4790849186E8}"/>
    <hyperlink ref="A13" location="sheet13" display="113_12 DH_Distribu Rural" xr:uid="{AB2E5BA0-9918-4A60-9F54-61C264E5E48C}"/>
    <hyperlink ref="A14" location="sheet14" display="113_13 DH_Distribu Suburb" xr:uid="{FE961322-0C52-4069-BD5A-F773E8234EE5}"/>
    <hyperlink ref="A15" location="sheet15" display="113_14 DH_Distribu City" xr:uid="{F0941099-68D7-4224-AFCF-91916B3BB464}"/>
    <hyperlink ref="A16" location="sheet16" display="112_15 DH_Distribu New area" xr:uid="{F73D79D3-7206-4B9D-A36D-38504A79BE2E}"/>
    <hyperlink ref="A17" location="sheet17" display="113_16 DH_Distr New area LTDH" xr:uid="{8A843E71-FF8D-4952-AD88-3961D4B72261}"/>
    <hyperlink ref="A18" location="sheet18" display="121 co2 pipeline" xr:uid="{B8B11961-AB0F-4AF5-85A4-0BB7135FBE13}"/>
    <hyperlink ref="A19" location="sheet19" display="122 co2 road transport" xr:uid="{71B0C807-DE74-4970-9C63-C31842EC2CDB}"/>
    <hyperlink ref="A20" location="sheet20" display="123 co2 ship transport" xr:uid="{9AB26B4F-F52C-45FF-95AF-3B21C7CC811C}"/>
    <hyperlink ref="A21" location="sheet21" display="co2 terminals" xr:uid="{B6FCB535-83DB-4146-B99C-D52714C36C2E}"/>
    <hyperlink ref="A22" location="'H2 140'!A1" display="131 1 H2 140" xr:uid="{45383794-BCC8-490B-9DB1-BF67C3E30A2F}"/>
    <hyperlink ref="A23" location="'H2 70'!A1" display="131 2 H2 70" xr:uid="{52AFAEFE-A89E-411D-9AAE-F84BF3F77E4D}"/>
    <hyperlink ref="A24" location="'NH3'!A1" display="131 3 NH3" xr:uid="{447EB8E7-FE91-4854-89B2-940AEA6BE975}"/>
    <hyperlink ref="A25" location="DME!A1" display="131 4 DME" xr:uid="{FE1AF0F6-8D96-4945-AA90-5356E027194D}"/>
    <hyperlink ref="A26" location="TOLU!A1" display="131 5 TOLU" xr:uid="{E88C6EC4-C23C-4559-9AFC-25A0139CDECF}"/>
    <hyperlink ref="A27" location="'Road transport'!A1" display="132 Road transport" xr:uid="{6215DF08-C685-4AB7-B63C-D9E07985479A}"/>
    <hyperlink ref="A28" location="'Ship Transport'!A1" display="133 Ship transport" xr:uid="{7E0BC230-A87E-40FC-8439-FCA395CF96C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296C-535D-4F78-B4AB-9D2A6BFF5355}">
  <dimension ref="A1:N69"/>
  <sheetViews>
    <sheetView zoomScaleNormal="100" workbookViewId="0">
      <selection activeCell="D28" sqref="D28"/>
    </sheetView>
  </sheetViews>
  <sheetFormatPr defaultColWidth="9.109375" defaultRowHeight="14.4" x14ac:dyDescent="0.3"/>
  <cols>
    <col min="1" max="1" width="2.109375" style="52" bestFit="1" customWidth="1"/>
    <col min="2" max="2" width="42.109375" style="52" customWidth="1"/>
    <col min="3" max="12" width="9.109375" style="52"/>
    <col min="13" max="13" width="87.44140625" style="52" customWidth="1"/>
    <col min="14" max="16384" width="9.109375" style="52"/>
  </cols>
  <sheetData>
    <row r="1" spans="1:14" ht="15" thickBot="1" x14ac:dyDescent="0.35">
      <c r="A1" s="76"/>
      <c r="B1" s="75" t="s">
        <v>198</v>
      </c>
    </row>
    <row r="2" spans="1:14" ht="16.5" customHeight="1" thickBot="1" x14ac:dyDescent="0.35">
      <c r="B2" s="74" t="s">
        <v>197</v>
      </c>
      <c r="C2" s="177" t="s">
        <v>196</v>
      </c>
      <c r="D2" s="178"/>
      <c r="E2" s="178"/>
      <c r="F2" s="178"/>
      <c r="G2" s="178"/>
      <c r="H2" s="178"/>
      <c r="I2" s="178"/>
      <c r="J2" s="178"/>
      <c r="K2" s="178"/>
      <c r="L2" s="179"/>
      <c r="N2" s="73"/>
    </row>
    <row r="3" spans="1:14" x14ac:dyDescent="0.3">
      <c r="B3" s="180"/>
      <c r="C3" s="182">
        <v>2015</v>
      </c>
      <c r="D3" s="182">
        <v>2020</v>
      </c>
      <c r="E3" s="182">
        <v>2030</v>
      </c>
      <c r="F3" s="182">
        <v>2050</v>
      </c>
      <c r="G3" s="184" t="s">
        <v>195</v>
      </c>
      <c r="H3" s="185"/>
      <c r="I3" s="184" t="s">
        <v>194</v>
      </c>
      <c r="J3" s="185"/>
      <c r="K3" s="182" t="s">
        <v>193</v>
      </c>
      <c r="L3" s="182" t="s">
        <v>192</v>
      </c>
      <c r="N3" s="67"/>
    </row>
    <row r="4" spans="1:14" ht="15" thickBot="1" x14ac:dyDescent="0.35">
      <c r="B4" s="181"/>
      <c r="C4" s="183"/>
      <c r="D4" s="183"/>
      <c r="E4" s="183"/>
      <c r="F4" s="183"/>
      <c r="G4" s="186"/>
      <c r="H4" s="187"/>
      <c r="I4" s="186"/>
      <c r="J4" s="187"/>
      <c r="K4" s="183"/>
      <c r="L4" s="183"/>
    </row>
    <row r="5" spans="1:14" ht="61.8" thickBot="1" x14ac:dyDescent="0.35">
      <c r="B5" s="62" t="s">
        <v>191</v>
      </c>
      <c r="C5" s="69"/>
      <c r="D5" s="158" t="s">
        <v>585</v>
      </c>
      <c r="E5" s="69"/>
      <c r="F5" s="69"/>
      <c r="G5" s="72" t="s">
        <v>190</v>
      </c>
      <c r="H5" s="72" t="s">
        <v>189</v>
      </c>
      <c r="I5" s="72" t="s">
        <v>190</v>
      </c>
      <c r="J5" s="72" t="s">
        <v>189</v>
      </c>
      <c r="K5" s="69"/>
      <c r="L5" s="68"/>
    </row>
    <row r="6" spans="1:14" ht="15" thickBot="1" x14ac:dyDescent="0.35">
      <c r="B6" s="60" t="s">
        <v>188</v>
      </c>
      <c r="C6" s="71">
        <f t="shared" ref="C6:G7" si="0">1.2/4</f>
        <v>0.3</v>
      </c>
      <c r="D6" s="157">
        <f>G6/2+H6/2</f>
        <v>0.4</v>
      </c>
      <c r="E6" s="71">
        <f t="shared" si="0"/>
        <v>0.3</v>
      </c>
      <c r="F6" s="71">
        <f t="shared" si="0"/>
        <v>0.3</v>
      </c>
      <c r="G6" s="71">
        <f t="shared" si="0"/>
        <v>0.3</v>
      </c>
      <c r="H6" s="63">
        <v>0.5</v>
      </c>
      <c r="I6" s="59">
        <f>0.6/4</f>
        <v>0.15</v>
      </c>
      <c r="J6" s="63">
        <f>2/4</f>
        <v>0.5</v>
      </c>
      <c r="K6" s="59" t="s">
        <v>184</v>
      </c>
      <c r="L6" s="59" t="s">
        <v>183</v>
      </c>
    </row>
    <row r="7" spans="1:14" ht="15" thickBot="1" x14ac:dyDescent="0.35">
      <c r="B7" s="60" t="s">
        <v>187</v>
      </c>
      <c r="C7" s="71">
        <f t="shared" si="0"/>
        <v>0.3</v>
      </c>
      <c r="D7" s="157">
        <f>G7/2+H7/2</f>
        <v>0.4</v>
      </c>
      <c r="E7" s="71">
        <f t="shared" si="0"/>
        <v>0.3</v>
      </c>
      <c r="F7" s="71">
        <f t="shared" si="0"/>
        <v>0.3</v>
      </c>
      <c r="G7" s="71">
        <f t="shared" si="0"/>
        <v>0.3</v>
      </c>
      <c r="H7" s="63">
        <v>0.5</v>
      </c>
      <c r="I7" s="59">
        <f>0.6/4</f>
        <v>0.15</v>
      </c>
      <c r="J7" s="63">
        <f>2/4</f>
        <v>0.5</v>
      </c>
      <c r="K7" s="59" t="s">
        <v>184</v>
      </c>
      <c r="L7" s="59" t="s">
        <v>183</v>
      </c>
    </row>
    <row r="8" spans="1:14" ht="15" thickBot="1" x14ac:dyDescent="0.35">
      <c r="B8" s="60" t="s">
        <v>186</v>
      </c>
      <c r="C8" s="71">
        <f>1.2/4</f>
        <v>0.3</v>
      </c>
      <c r="D8" s="157">
        <f>G8/2+H8/2</f>
        <v>0.4</v>
      </c>
      <c r="E8" s="71">
        <f>1.2/4</f>
        <v>0.3</v>
      </c>
      <c r="F8" s="71">
        <f>1.2/4</f>
        <v>0.3</v>
      </c>
      <c r="G8" s="156">
        <v>0.3</v>
      </c>
      <c r="H8" s="63">
        <v>0.5</v>
      </c>
      <c r="I8" s="59">
        <f>0.6/4</f>
        <v>0.15</v>
      </c>
      <c r="J8" s="63">
        <f>2/4</f>
        <v>0.5</v>
      </c>
      <c r="K8" s="59" t="s">
        <v>184</v>
      </c>
      <c r="L8" s="59" t="s">
        <v>183</v>
      </c>
      <c r="M8" s="52" t="s">
        <v>584</v>
      </c>
    </row>
    <row r="9" spans="1:14" ht="15" thickBot="1" x14ac:dyDescent="0.35">
      <c r="B9" s="60" t="s">
        <v>185</v>
      </c>
      <c r="C9" s="59">
        <f>0.8/4</f>
        <v>0.2</v>
      </c>
      <c r="D9" s="157">
        <f>G9/2+H9/2</f>
        <v>0.22500000000000001</v>
      </c>
      <c r="E9" s="59">
        <f>0.8/4</f>
        <v>0.2</v>
      </c>
      <c r="F9" s="59">
        <f>0.8/4</f>
        <v>0.2</v>
      </c>
      <c r="G9" s="59">
        <f>0.8/4</f>
        <v>0.2</v>
      </c>
      <c r="H9" s="71">
        <f>1/4</f>
        <v>0.25</v>
      </c>
      <c r="I9" s="59">
        <v>0.1</v>
      </c>
      <c r="J9" s="71">
        <v>0.25</v>
      </c>
      <c r="K9" s="59" t="s">
        <v>184</v>
      </c>
      <c r="L9" s="59" t="s">
        <v>183</v>
      </c>
    </row>
    <row r="10" spans="1:14" ht="15" thickBot="1" x14ac:dyDescent="0.35">
      <c r="B10" s="60" t="s">
        <v>182</v>
      </c>
      <c r="C10" s="59" t="s">
        <v>156</v>
      </c>
      <c r="D10" s="59" t="s">
        <v>156</v>
      </c>
      <c r="E10" s="59" t="s">
        <v>156</v>
      </c>
      <c r="F10" s="59" t="s">
        <v>156</v>
      </c>
      <c r="G10" s="59" t="s">
        <v>156</v>
      </c>
      <c r="H10" s="59" t="s">
        <v>156</v>
      </c>
      <c r="I10" s="59" t="s">
        <v>156</v>
      </c>
      <c r="J10" s="59" t="s">
        <v>156</v>
      </c>
      <c r="K10" s="59" t="s">
        <v>180</v>
      </c>
      <c r="L10" s="59"/>
    </row>
    <row r="11" spans="1:14" ht="15" thickBot="1" x14ac:dyDescent="0.35">
      <c r="B11" s="60" t="s">
        <v>181</v>
      </c>
      <c r="C11" s="59" t="s">
        <v>156</v>
      </c>
      <c r="D11" s="59" t="s">
        <v>156</v>
      </c>
      <c r="E11" s="59" t="s">
        <v>156</v>
      </c>
      <c r="F11" s="59" t="s">
        <v>156</v>
      </c>
      <c r="G11" s="59" t="s">
        <v>156</v>
      </c>
      <c r="H11" s="59" t="s">
        <v>156</v>
      </c>
      <c r="I11" s="59" t="s">
        <v>156</v>
      </c>
      <c r="J11" s="59" t="s">
        <v>156</v>
      </c>
      <c r="K11" s="59" t="s">
        <v>180</v>
      </c>
      <c r="L11" s="59">
        <v>4</v>
      </c>
    </row>
    <row r="12" spans="1:14" ht="15" thickBot="1" x14ac:dyDescent="0.35">
      <c r="B12" s="60" t="s">
        <v>179</v>
      </c>
      <c r="C12" s="59">
        <v>40</v>
      </c>
      <c r="D12" s="59">
        <v>40</v>
      </c>
      <c r="E12" s="59">
        <v>40</v>
      </c>
      <c r="F12" s="59">
        <v>40</v>
      </c>
      <c r="G12" s="59">
        <v>35</v>
      </c>
      <c r="H12" s="59">
        <v>40</v>
      </c>
      <c r="I12" s="59">
        <v>40</v>
      </c>
      <c r="J12" s="59">
        <v>50</v>
      </c>
      <c r="K12" s="59" t="s">
        <v>139</v>
      </c>
      <c r="L12" s="59">
        <v>5</v>
      </c>
    </row>
    <row r="13" spans="1:14" ht="15" thickBot="1" x14ac:dyDescent="0.35">
      <c r="B13" s="60" t="s">
        <v>178</v>
      </c>
      <c r="C13" s="64">
        <v>0.45</v>
      </c>
      <c r="D13" s="64">
        <v>0.45</v>
      </c>
      <c r="E13" s="64">
        <v>0.45</v>
      </c>
      <c r="F13" s="64">
        <v>0.45</v>
      </c>
      <c r="G13" s="64">
        <v>0.45</v>
      </c>
      <c r="H13" s="64">
        <v>0.45</v>
      </c>
      <c r="I13" s="70">
        <f>C13*0.94</f>
        <v>0.42299999999999999</v>
      </c>
      <c r="J13" s="70">
        <f>C13*1.2</f>
        <v>0.54</v>
      </c>
      <c r="K13" s="59" t="s">
        <v>137</v>
      </c>
      <c r="L13" s="59"/>
      <c r="N13" s="67"/>
    </row>
    <row r="14" spans="1:14" ht="15" thickBot="1" x14ac:dyDescent="0.35">
      <c r="B14" s="60" t="s">
        <v>177</v>
      </c>
      <c r="C14" s="59">
        <v>1.5</v>
      </c>
      <c r="D14" s="59">
        <v>1.5</v>
      </c>
      <c r="E14" s="59">
        <v>1.5</v>
      </c>
      <c r="F14" s="59">
        <v>1.5</v>
      </c>
      <c r="G14" s="59">
        <v>1</v>
      </c>
      <c r="H14" s="59">
        <v>5</v>
      </c>
      <c r="I14" s="59">
        <v>1</v>
      </c>
      <c r="J14" s="59">
        <v>5</v>
      </c>
      <c r="K14" s="59" t="s">
        <v>135</v>
      </c>
      <c r="L14" s="59"/>
      <c r="N14" s="67"/>
    </row>
    <row r="15" spans="1:14" ht="15" thickBot="1" x14ac:dyDescent="0.35">
      <c r="B15" s="60"/>
      <c r="C15" s="59"/>
      <c r="D15" s="59"/>
      <c r="E15" s="59"/>
      <c r="F15" s="59"/>
      <c r="G15" s="59"/>
      <c r="H15" s="59"/>
      <c r="I15" s="59"/>
      <c r="J15" s="59"/>
      <c r="K15" s="59"/>
      <c r="L15" s="59"/>
    </row>
    <row r="16" spans="1:14" ht="15" thickBot="1" x14ac:dyDescent="0.35">
      <c r="B16" s="62" t="s">
        <v>176</v>
      </c>
      <c r="C16" s="69"/>
      <c r="D16" s="69"/>
      <c r="E16" s="69"/>
      <c r="F16" s="69"/>
      <c r="G16" s="69"/>
      <c r="H16" s="69"/>
      <c r="I16" s="69"/>
      <c r="J16" s="69"/>
      <c r="K16" s="69"/>
      <c r="L16" s="68"/>
      <c r="N16" s="67"/>
    </row>
    <row r="17" spans="2:12" ht="15" thickBot="1" x14ac:dyDescent="0.35">
      <c r="B17" s="60" t="s">
        <v>175</v>
      </c>
      <c r="C17" s="63">
        <v>6</v>
      </c>
      <c r="D17" s="63">
        <v>6</v>
      </c>
      <c r="E17" s="63">
        <v>6</v>
      </c>
      <c r="F17" s="63">
        <v>6</v>
      </c>
      <c r="G17" s="59">
        <f>0.9*C17</f>
        <v>5.4</v>
      </c>
      <c r="H17" s="63">
        <f>C17</f>
        <v>6</v>
      </c>
      <c r="I17" s="59">
        <f>0.9*G17</f>
        <v>4.8600000000000003</v>
      </c>
      <c r="J17" s="63">
        <f>H17</f>
        <v>6</v>
      </c>
      <c r="K17" s="59" t="s">
        <v>174</v>
      </c>
      <c r="L17" s="59">
        <v>6.7</v>
      </c>
    </row>
    <row r="18" spans="2:12" ht="15" thickBot="1" x14ac:dyDescent="0.35">
      <c r="B18" s="60" t="s">
        <v>173</v>
      </c>
      <c r="C18" s="63">
        <v>3.9</v>
      </c>
      <c r="D18" s="63">
        <v>3.9</v>
      </c>
      <c r="E18" s="63">
        <v>3.9</v>
      </c>
      <c r="F18" s="63">
        <v>3.9</v>
      </c>
      <c r="G18" s="59">
        <f>0.9*C18</f>
        <v>3.51</v>
      </c>
      <c r="H18" s="63">
        <f>C18</f>
        <v>3.9</v>
      </c>
      <c r="I18" s="59">
        <f>0.9*G18</f>
        <v>3.1589999999999998</v>
      </c>
      <c r="J18" s="63">
        <f>H18</f>
        <v>3.9</v>
      </c>
      <c r="K18" s="59" t="s">
        <v>172</v>
      </c>
      <c r="L18" s="59">
        <v>6.7</v>
      </c>
    </row>
    <row r="19" spans="2:12" ht="15" thickBot="1" x14ac:dyDescent="0.35">
      <c r="B19" s="60" t="s">
        <v>171</v>
      </c>
      <c r="C19" s="63">
        <v>3.1</v>
      </c>
      <c r="D19" s="63">
        <v>3.1</v>
      </c>
      <c r="E19" s="63">
        <v>3.1</v>
      </c>
      <c r="F19" s="63">
        <v>3.1</v>
      </c>
      <c r="G19" s="59">
        <f>0.9*C19</f>
        <v>2.79</v>
      </c>
      <c r="H19" s="63">
        <f>C19</f>
        <v>3.1</v>
      </c>
      <c r="I19" s="59">
        <f>0.9*G19</f>
        <v>2.5110000000000001</v>
      </c>
      <c r="J19" s="63">
        <f>H19</f>
        <v>3.1</v>
      </c>
      <c r="K19" s="59" t="s">
        <v>170</v>
      </c>
      <c r="L19" s="59">
        <v>6.7</v>
      </c>
    </row>
    <row r="20" spans="2:12" ht="15" thickBot="1" x14ac:dyDescent="0.35">
      <c r="B20" s="60" t="s">
        <v>169</v>
      </c>
      <c r="C20" s="59" t="s">
        <v>156</v>
      </c>
      <c r="D20" s="59" t="s">
        <v>156</v>
      </c>
      <c r="E20" s="59" t="s">
        <v>156</v>
      </c>
      <c r="F20" s="59" t="s">
        <v>156</v>
      </c>
      <c r="G20" s="59" t="s">
        <v>156</v>
      </c>
      <c r="H20" s="59" t="s">
        <v>156</v>
      </c>
      <c r="I20" s="59" t="s">
        <v>156</v>
      </c>
      <c r="J20" s="59" t="s">
        <v>156</v>
      </c>
      <c r="K20" s="59" t="s">
        <v>125</v>
      </c>
      <c r="L20" s="59">
        <v>6</v>
      </c>
    </row>
    <row r="21" spans="2:12" ht="15" thickBot="1" x14ac:dyDescent="0.35">
      <c r="B21" s="60" t="s">
        <v>168</v>
      </c>
      <c r="C21" s="59" t="s">
        <v>156</v>
      </c>
      <c r="D21" s="59" t="s">
        <v>156</v>
      </c>
      <c r="E21" s="59" t="s">
        <v>156</v>
      </c>
      <c r="F21" s="59" t="s">
        <v>156</v>
      </c>
      <c r="G21" s="59" t="s">
        <v>156</v>
      </c>
      <c r="H21" s="59" t="s">
        <v>156</v>
      </c>
      <c r="I21" s="59" t="s">
        <v>156</v>
      </c>
      <c r="J21" s="59" t="s">
        <v>156</v>
      </c>
      <c r="K21" s="59" t="s">
        <v>125</v>
      </c>
      <c r="L21" s="59">
        <v>7</v>
      </c>
    </row>
    <row r="22" spans="2:12" ht="15" thickBot="1" x14ac:dyDescent="0.35">
      <c r="B22" s="60" t="s">
        <v>167</v>
      </c>
      <c r="C22" s="59" t="s">
        <v>156</v>
      </c>
      <c r="D22" s="59" t="s">
        <v>156</v>
      </c>
      <c r="E22" s="59" t="s">
        <v>156</v>
      </c>
      <c r="F22" s="59" t="s">
        <v>156</v>
      </c>
      <c r="G22" s="59" t="s">
        <v>156</v>
      </c>
      <c r="H22" s="59" t="s">
        <v>156</v>
      </c>
      <c r="I22" s="59" t="s">
        <v>156</v>
      </c>
      <c r="J22" s="59" t="s">
        <v>156</v>
      </c>
      <c r="K22" s="59" t="s">
        <v>125</v>
      </c>
      <c r="L22" s="59">
        <v>8</v>
      </c>
    </row>
    <row r="23" spans="2:12" ht="15" thickBot="1" x14ac:dyDescent="0.35">
      <c r="B23" s="60" t="s">
        <v>166</v>
      </c>
      <c r="C23" s="66">
        <v>15800</v>
      </c>
      <c r="D23" s="66">
        <v>15800</v>
      </c>
      <c r="E23" s="66">
        <v>15800</v>
      </c>
      <c r="F23" s="66">
        <v>15800</v>
      </c>
      <c r="G23" s="65">
        <f>0.954*C23</f>
        <v>15073.199999999999</v>
      </c>
      <c r="H23" s="65">
        <f>C23</f>
        <v>15800</v>
      </c>
      <c r="I23" s="65">
        <f>0.954*G23</f>
        <v>14379.832799999998</v>
      </c>
      <c r="J23" s="65">
        <f>H23</f>
        <v>15800</v>
      </c>
      <c r="K23" s="59" t="s">
        <v>165</v>
      </c>
      <c r="L23" s="59">
        <v>6</v>
      </c>
    </row>
    <row r="24" spans="2:12" ht="15" thickBot="1" x14ac:dyDescent="0.35">
      <c r="B24" s="60" t="s">
        <v>164</v>
      </c>
      <c r="C24" s="66">
        <v>76000</v>
      </c>
      <c r="D24" s="66">
        <v>76000</v>
      </c>
      <c r="E24" s="66">
        <v>76000</v>
      </c>
      <c r="F24" s="66">
        <v>76000</v>
      </c>
      <c r="G24" s="65">
        <f>0.954*C24</f>
        <v>72504</v>
      </c>
      <c r="H24" s="65">
        <f>C24</f>
        <v>76000</v>
      </c>
      <c r="I24" s="65">
        <f>0.954*G24</f>
        <v>69168.815999999992</v>
      </c>
      <c r="J24" s="65">
        <f>H24</f>
        <v>76000</v>
      </c>
      <c r="K24" s="59" t="s">
        <v>163</v>
      </c>
      <c r="L24" s="59">
        <v>8</v>
      </c>
    </row>
    <row r="25" spans="2:12" ht="15" thickBot="1" x14ac:dyDescent="0.35">
      <c r="B25" s="60" t="s">
        <v>162</v>
      </c>
      <c r="C25" s="59">
        <v>4476</v>
      </c>
      <c r="D25" s="59">
        <v>4476</v>
      </c>
      <c r="E25" s="59">
        <v>4476</v>
      </c>
      <c r="F25" s="59">
        <v>4476</v>
      </c>
      <c r="G25" s="65">
        <f>0.954*C25</f>
        <v>4270.1040000000003</v>
      </c>
      <c r="H25" s="65">
        <f>C25</f>
        <v>4476</v>
      </c>
      <c r="I25" s="65">
        <f>0.954*G25</f>
        <v>4073.679216</v>
      </c>
      <c r="J25" s="65">
        <f>H25</f>
        <v>4476</v>
      </c>
      <c r="K25" s="59" t="s">
        <v>161</v>
      </c>
      <c r="L25" s="59"/>
    </row>
    <row r="26" spans="2:12" ht="15" thickBot="1" x14ac:dyDescent="0.35">
      <c r="B26" s="60" t="s">
        <v>160</v>
      </c>
      <c r="C26" s="64">
        <v>0.42</v>
      </c>
      <c r="D26" s="64">
        <v>0.42</v>
      </c>
      <c r="E26" s="64">
        <v>0.42</v>
      </c>
      <c r="F26" s="64">
        <v>0.42</v>
      </c>
      <c r="G26" s="64">
        <f>F26*(1-0.176)/(F26*(1-0.176)+F27)</f>
        <v>0.37370421561852107</v>
      </c>
      <c r="H26" s="64">
        <f>F26</f>
        <v>0.42</v>
      </c>
      <c r="I26" s="64">
        <f>G26*(1-0.176)/(G26*(1-0.176)+H27)</f>
        <v>0.32961145944602421</v>
      </c>
      <c r="J26" s="64">
        <f>H26</f>
        <v>0.42</v>
      </c>
      <c r="K26" s="59" t="s">
        <v>115</v>
      </c>
      <c r="L26" s="59">
        <v>6</v>
      </c>
    </row>
    <row r="27" spans="2:12" ht="15" thickBot="1" x14ac:dyDescent="0.35">
      <c r="B27" s="60" t="s">
        <v>159</v>
      </c>
      <c r="C27" s="64">
        <v>0.57999999999999996</v>
      </c>
      <c r="D27" s="64">
        <v>0.57999999999999996</v>
      </c>
      <c r="E27" s="64">
        <v>0.57999999999999996</v>
      </c>
      <c r="F27" s="64">
        <v>0.57999999999999996</v>
      </c>
      <c r="G27" s="64">
        <f>F27</f>
        <v>0.57999999999999996</v>
      </c>
      <c r="H27" s="64">
        <f>1-G26</f>
        <v>0.62629578438147893</v>
      </c>
      <c r="I27" s="64">
        <f>G27</f>
        <v>0.57999999999999996</v>
      </c>
      <c r="J27" s="64">
        <f>1-I26</f>
        <v>0.67038854055397579</v>
      </c>
      <c r="K27" s="59" t="s">
        <v>115</v>
      </c>
      <c r="L27" s="59">
        <v>6</v>
      </c>
    </row>
    <row r="28" spans="2:12" ht="15" thickBot="1" x14ac:dyDescent="0.35">
      <c r="B28" s="60" t="s">
        <v>158</v>
      </c>
      <c r="C28" s="63">
        <f>AVERAGE(C17:C19)*0.0051*1000</f>
        <v>22.1</v>
      </c>
      <c r="D28" s="63">
        <f>C28*(1-0.014)</f>
        <v>21.790600000000001</v>
      </c>
      <c r="E28" s="63">
        <f>D28*(1-0.014)</f>
        <v>21.485531600000002</v>
      </c>
      <c r="F28" s="63">
        <f>E28*(1-0.014)</f>
        <v>21.184734157600001</v>
      </c>
      <c r="G28" s="63">
        <f>C28*(1-0.018)</f>
        <v>21.702200000000001</v>
      </c>
      <c r="H28" s="63">
        <f>C28</f>
        <v>22.1</v>
      </c>
      <c r="I28" s="63">
        <f>C28*(1-0.018)^3</f>
        <v>20.927952312800002</v>
      </c>
      <c r="J28" s="63">
        <f>C28</f>
        <v>22.1</v>
      </c>
      <c r="K28" s="59" t="s">
        <v>113</v>
      </c>
      <c r="L28" s="59">
        <v>9</v>
      </c>
    </row>
    <row r="29" spans="2:12" ht="15" thickBot="1" x14ac:dyDescent="0.35">
      <c r="B29" s="60" t="s">
        <v>157</v>
      </c>
      <c r="C29" s="59" t="s">
        <v>156</v>
      </c>
      <c r="D29" s="59" t="s">
        <v>156</v>
      </c>
      <c r="E29" s="59" t="s">
        <v>156</v>
      </c>
      <c r="F29" s="59" t="s">
        <v>156</v>
      </c>
      <c r="G29" s="59" t="s">
        <v>156</v>
      </c>
      <c r="H29" s="59" t="s">
        <v>156</v>
      </c>
      <c r="I29" s="59" t="s">
        <v>156</v>
      </c>
      <c r="J29" s="59" t="s">
        <v>156</v>
      </c>
      <c r="K29" s="59" t="s">
        <v>111</v>
      </c>
      <c r="L29" s="59"/>
    </row>
    <row r="30" spans="2:12" ht="15" thickBot="1" x14ac:dyDescent="0.35">
      <c r="B30" s="61"/>
      <c r="C30" s="59"/>
      <c r="D30" s="59"/>
      <c r="E30" s="59"/>
      <c r="F30" s="59"/>
      <c r="G30" s="59"/>
      <c r="H30" s="59"/>
      <c r="I30" s="59"/>
      <c r="J30" s="59"/>
      <c r="K30" s="59"/>
      <c r="L30" s="59"/>
    </row>
    <row r="31" spans="2:12" ht="15" thickBot="1" x14ac:dyDescent="0.35">
      <c r="B31" s="62" t="s">
        <v>155</v>
      </c>
      <c r="C31" s="59"/>
      <c r="D31" s="59"/>
      <c r="E31" s="59"/>
      <c r="F31" s="59"/>
      <c r="G31" s="59"/>
      <c r="H31" s="59"/>
      <c r="I31" s="59"/>
      <c r="J31" s="59"/>
      <c r="K31" s="59"/>
      <c r="L31" s="59"/>
    </row>
    <row r="32" spans="2:12" ht="15" thickBot="1" x14ac:dyDescent="0.35">
      <c r="B32" s="61"/>
      <c r="C32" s="59"/>
      <c r="D32" s="59"/>
      <c r="E32" s="59"/>
      <c r="F32" s="59"/>
      <c r="G32" s="59"/>
      <c r="H32" s="59"/>
      <c r="I32" s="59"/>
      <c r="J32" s="59"/>
      <c r="K32" s="59"/>
      <c r="L32" s="59"/>
    </row>
    <row r="33" spans="1:13" ht="15" thickBot="1" x14ac:dyDescent="0.35">
      <c r="B33" s="60"/>
      <c r="C33" s="59"/>
      <c r="D33" s="59"/>
      <c r="E33" s="59"/>
      <c r="F33" s="59"/>
      <c r="G33" s="59"/>
      <c r="H33" s="59"/>
      <c r="I33" s="59"/>
      <c r="J33" s="59"/>
      <c r="K33" s="59"/>
      <c r="L33" s="59"/>
    </row>
    <row r="34" spans="1:13" x14ac:dyDescent="0.3">
      <c r="B34" s="58"/>
      <c r="C34" s="57"/>
      <c r="D34" s="57"/>
      <c r="E34" s="57"/>
      <c r="F34" s="57"/>
      <c r="G34" s="57"/>
      <c r="H34" s="57"/>
      <c r="I34" s="57"/>
      <c r="J34" s="57"/>
      <c r="K34" s="57"/>
      <c r="L34" s="57"/>
    </row>
    <row r="35" spans="1:13" x14ac:dyDescent="0.3">
      <c r="B35" s="55" t="s">
        <v>154</v>
      </c>
    </row>
    <row r="36" spans="1:13" x14ac:dyDescent="0.3">
      <c r="A36" s="53">
        <v>1</v>
      </c>
      <c r="B36" s="56" t="s">
        <v>153</v>
      </c>
    </row>
    <row r="37" spans="1:13" x14ac:dyDescent="0.3">
      <c r="A37" s="53">
        <v>2</v>
      </c>
      <c r="B37" s="56" t="s">
        <v>152</v>
      </c>
    </row>
    <row r="38" spans="1:13" x14ac:dyDescent="0.3">
      <c r="A38" s="53">
        <v>3</v>
      </c>
      <c r="B38" s="56" t="s">
        <v>151</v>
      </c>
    </row>
    <row r="39" spans="1:13" x14ac:dyDescent="0.3">
      <c r="A39" s="53">
        <v>4</v>
      </c>
      <c r="B39" s="56" t="s">
        <v>150</v>
      </c>
    </row>
    <row r="40" spans="1:13" x14ac:dyDescent="0.3">
      <c r="A40" s="53">
        <v>5</v>
      </c>
      <c r="B40" s="56" t="s">
        <v>149</v>
      </c>
    </row>
    <row r="41" spans="1:13" x14ac:dyDescent="0.3">
      <c r="A41" s="53">
        <v>6</v>
      </c>
      <c r="B41" s="56" t="s">
        <v>148</v>
      </c>
    </row>
    <row r="42" spans="1:13" x14ac:dyDescent="0.3">
      <c r="A42" s="53">
        <v>7</v>
      </c>
      <c r="B42" s="56" t="s">
        <v>147</v>
      </c>
    </row>
    <row r="43" spans="1:13" x14ac:dyDescent="0.3">
      <c r="A43" s="53">
        <v>8</v>
      </c>
      <c r="B43" s="56" t="s">
        <v>146</v>
      </c>
    </row>
    <row r="44" spans="1:13" x14ac:dyDescent="0.3">
      <c r="A44" s="53">
        <v>9</v>
      </c>
      <c r="B44" s="56" t="s">
        <v>145</v>
      </c>
    </row>
    <row r="46" spans="1:13" x14ac:dyDescent="0.3">
      <c r="B46" s="55" t="s">
        <v>144</v>
      </c>
      <c r="C46" s="54"/>
      <c r="D46" s="54"/>
      <c r="E46" s="54"/>
      <c r="F46" s="54"/>
      <c r="G46" s="54"/>
      <c r="H46" s="54"/>
      <c r="I46" s="54"/>
      <c r="J46" s="54"/>
      <c r="K46" s="54"/>
      <c r="L46" s="54"/>
      <c r="M46" s="54"/>
    </row>
    <row r="47" spans="1:13" x14ac:dyDescent="0.3">
      <c r="A47" s="53" t="s">
        <v>143</v>
      </c>
      <c r="B47" s="188" t="s">
        <v>142</v>
      </c>
      <c r="C47" s="188"/>
      <c r="D47" s="188"/>
      <c r="E47" s="188"/>
      <c r="F47" s="188"/>
      <c r="G47" s="188"/>
      <c r="H47" s="188"/>
      <c r="I47" s="188"/>
      <c r="J47" s="188"/>
      <c r="K47" s="188"/>
      <c r="L47" s="188"/>
      <c r="M47" s="188"/>
    </row>
    <row r="48" spans="1:13" ht="64.5" customHeight="1" x14ac:dyDescent="0.3">
      <c r="A48" s="53" t="s">
        <v>141</v>
      </c>
      <c r="B48" s="188" t="s">
        <v>140</v>
      </c>
      <c r="C48" s="188"/>
      <c r="D48" s="188"/>
      <c r="E48" s="188"/>
      <c r="F48" s="188"/>
      <c r="G48" s="188"/>
      <c r="H48" s="188"/>
      <c r="I48" s="188"/>
      <c r="J48" s="188"/>
      <c r="K48" s="188"/>
      <c r="L48" s="188"/>
      <c r="M48" s="188"/>
    </row>
    <row r="49" spans="1:13" ht="27.75" customHeight="1" x14ac:dyDescent="0.3">
      <c r="A49" s="53" t="s">
        <v>139</v>
      </c>
      <c r="B49" s="188" t="s">
        <v>138</v>
      </c>
      <c r="C49" s="189"/>
      <c r="D49" s="189"/>
      <c r="E49" s="189"/>
      <c r="F49" s="189"/>
      <c r="G49" s="189"/>
      <c r="H49" s="189"/>
      <c r="I49" s="189"/>
      <c r="J49" s="189"/>
      <c r="K49" s="189"/>
      <c r="L49" s="189"/>
      <c r="M49" s="189"/>
    </row>
    <row r="50" spans="1:13" ht="31.5" customHeight="1" x14ac:dyDescent="0.3">
      <c r="A50" s="53" t="s">
        <v>137</v>
      </c>
      <c r="B50" s="188" t="s">
        <v>136</v>
      </c>
      <c r="C50" s="189"/>
      <c r="D50" s="189"/>
      <c r="E50" s="189"/>
      <c r="F50" s="189"/>
      <c r="G50" s="189"/>
      <c r="H50" s="189"/>
      <c r="I50" s="189"/>
      <c r="J50" s="189"/>
      <c r="K50" s="189"/>
      <c r="L50" s="189"/>
      <c r="M50" s="189"/>
    </row>
    <row r="51" spans="1:13" x14ac:dyDescent="0.3">
      <c r="A51" s="53" t="s">
        <v>135</v>
      </c>
      <c r="B51" s="188" t="s">
        <v>134</v>
      </c>
      <c r="C51" s="189"/>
      <c r="D51" s="189"/>
      <c r="E51" s="189"/>
      <c r="F51" s="189"/>
      <c r="G51" s="189"/>
      <c r="H51" s="189"/>
      <c r="I51" s="189"/>
      <c r="J51" s="189"/>
      <c r="K51" s="189"/>
      <c r="L51" s="189"/>
      <c r="M51" s="189"/>
    </row>
    <row r="52" spans="1:13" ht="52.5" customHeight="1" x14ac:dyDescent="0.3">
      <c r="A52" s="53" t="s">
        <v>133</v>
      </c>
      <c r="B52" s="188" t="s">
        <v>132</v>
      </c>
      <c r="C52" s="188"/>
      <c r="D52" s="188"/>
      <c r="E52" s="188"/>
      <c r="F52" s="188"/>
      <c r="G52" s="188"/>
      <c r="H52" s="188"/>
      <c r="I52" s="188"/>
      <c r="J52" s="188"/>
      <c r="K52" s="188"/>
      <c r="L52" s="188"/>
      <c r="M52" s="188"/>
    </row>
    <row r="53" spans="1:13" ht="28.5" customHeight="1" x14ac:dyDescent="0.3">
      <c r="A53" s="53" t="s">
        <v>131</v>
      </c>
      <c r="B53" s="188" t="s">
        <v>130</v>
      </c>
      <c r="C53" s="188"/>
      <c r="D53" s="188"/>
      <c r="E53" s="188"/>
      <c r="F53" s="188"/>
      <c r="G53" s="188"/>
      <c r="H53" s="188"/>
      <c r="I53" s="188"/>
      <c r="J53" s="188"/>
      <c r="K53" s="188"/>
      <c r="L53" s="188"/>
      <c r="M53" s="188"/>
    </row>
    <row r="54" spans="1:13" ht="42.75" customHeight="1" x14ac:dyDescent="0.3">
      <c r="A54" s="53" t="s">
        <v>129</v>
      </c>
      <c r="B54" s="188" t="s">
        <v>128</v>
      </c>
      <c r="C54" s="188"/>
      <c r="D54" s="188"/>
      <c r="E54" s="188"/>
      <c r="F54" s="188"/>
      <c r="G54" s="188"/>
      <c r="H54" s="188"/>
      <c r="I54" s="188"/>
      <c r="J54" s="188"/>
      <c r="K54" s="188"/>
      <c r="L54" s="188"/>
      <c r="M54" s="188"/>
    </row>
    <row r="55" spans="1:13" ht="27" customHeight="1" x14ac:dyDescent="0.3">
      <c r="A55" s="53" t="s">
        <v>127</v>
      </c>
      <c r="B55" s="188" t="s">
        <v>126</v>
      </c>
      <c r="C55" s="188"/>
      <c r="D55" s="188"/>
      <c r="E55" s="188"/>
      <c r="F55" s="188"/>
      <c r="G55" s="188"/>
      <c r="H55" s="188"/>
      <c r="I55" s="188"/>
      <c r="J55" s="188"/>
      <c r="K55" s="188"/>
      <c r="L55" s="188"/>
      <c r="M55" s="188"/>
    </row>
    <row r="56" spans="1:13" ht="29.25" customHeight="1" x14ac:dyDescent="0.3">
      <c r="A56" s="53" t="s">
        <v>125</v>
      </c>
      <c r="B56" s="188" t="s">
        <v>124</v>
      </c>
      <c r="C56" s="188"/>
      <c r="D56" s="188"/>
      <c r="E56" s="188"/>
      <c r="F56" s="188"/>
      <c r="G56" s="188"/>
      <c r="H56" s="188"/>
      <c r="I56" s="188"/>
      <c r="J56" s="188"/>
      <c r="K56" s="188"/>
      <c r="L56" s="188"/>
      <c r="M56" s="188"/>
    </row>
    <row r="57" spans="1:13" ht="26.25" customHeight="1" x14ac:dyDescent="0.3">
      <c r="A57" s="53" t="s">
        <v>123</v>
      </c>
      <c r="B57" s="188" t="s">
        <v>122</v>
      </c>
      <c r="C57" s="188"/>
      <c r="D57" s="188"/>
      <c r="E57" s="188"/>
      <c r="F57" s="188"/>
      <c r="G57" s="188"/>
      <c r="H57" s="188"/>
      <c r="I57" s="188"/>
      <c r="J57" s="188"/>
      <c r="K57" s="188"/>
      <c r="L57" s="188"/>
      <c r="M57" s="188"/>
    </row>
    <row r="58" spans="1:13" ht="27.75" customHeight="1" x14ac:dyDescent="0.3">
      <c r="A58" s="53" t="s">
        <v>121</v>
      </c>
      <c r="B58" s="188" t="s">
        <v>120</v>
      </c>
      <c r="C58" s="188"/>
      <c r="D58" s="188"/>
      <c r="E58" s="188"/>
      <c r="F58" s="188"/>
      <c r="G58" s="188"/>
      <c r="H58" s="188"/>
      <c r="I58" s="188"/>
      <c r="J58" s="188"/>
      <c r="K58" s="188"/>
      <c r="L58" s="188"/>
      <c r="M58" s="188"/>
    </row>
    <row r="59" spans="1:13" x14ac:dyDescent="0.3">
      <c r="A59" s="53" t="s">
        <v>119</v>
      </c>
      <c r="B59" s="188" t="s">
        <v>118</v>
      </c>
      <c r="C59" s="188"/>
      <c r="D59" s="188"/>
      <c r="E59" s="188"/>
      <c r="F59" s="188"/>
      <c r="G59" s="188"/>
      <c r="H59" s="188"/>
      <c r="I59" s="188"/>
      <c r="J59" s="188"/>
      <c r="K59" s="188"/>
      <c r="L59" s="188"/>
      <c r="M59" s="188"/>
    </row>
    <row r="60" spans="1:13" ht="27" customHeight="1" x14ac:dyDescent="0.3">
      <c r="A60" s="53" t="s">
        <v>117</v>
      </c>
      <c r="B60" s="188" t="s">
        <v>116</v>
      </c>
      <c r="C60" s="188"/>
      <c r="D60" s="188"/>
      <c r="E60" s="188"/>
      <c r="F60" s="188"/>
      <c r="G60" s="188"/>
      <c r="H60" s="188"/>
      <c r="I60" s="188"/>
      <c r="J60" s="188"/>
      <c r="K60" s="188"/>
      <c r="L60" s="188"/>
      <c r="M60" s="188"/>
    </row>
    <row r="61" spans="1:13" ht="26.25" customHeight="1" x14ac:dyDescent="0.3">
      <c r="A61" s="53" t="s">
        <v>115</v>
      </c>
      <c r="B61" s="188" t="s">
        <v>114</v>
      </c>
      <c r="C61" s="188"/>
      <c r="D61" s="188"/>
      <c r="E61" s="188"/>
      <c r="F61" s="188"/>
      <c r="G61" s="188"/>
      <c r="H61" s="188"/>
      <c r="I61" s="188"/>
      <c r="J61" s="188"/>
      <c r="K61" s="188"/>
      <c r="L61" s="188"/>
      <c r="M61" s="188"/>
    </row>
    <row r="62" spans="1:13" ht="37.5" customHeight="1" x14ac:dyDescent="0.3">
      <c r="A62" s="53" t="s">
        <v>113</v>
      </c>
      <c r="B62" s="188" t="s">
        <v>112</v>
      </c>
      <c r="C62" s="188"/>
      <c r="D62" s="188"/>
      <c r="E62" s="188"/>
      <c r="F62" s="188"/>
      <c r="G62" s="188"/>
      <c r="H62" s="188"/>
      <c r="I62" s="188"/>
      <c r="J62" s="188"/>
      <c r="K62" s="188"/>
      <c r="L62" s="188"/>
      <c r="M62" s="188"/>
    </row>
    <row r="63" spans="1:13" ht="15.75" customHeight="1" x14ac:dyDescent="0.3">
      <c r="A63" s="53" t="s">
        <v>111</v>
      </c>
      <c r="B63" s="188" t="s">
        <v>110</v>
      </c>
      <c r="C63" s="189"/>
      <c r="D63" s="189"/>
      <c r="E63" s="189"/>
      <c r="F63" s="189"/>
      <c r="G63" s="189"/>
      <c r="H63" s="189"/>
      <c r="I63" s="189"/>
      <c r="J63" s="189"/>
      <c r="K63" s="189"/>
      <c r="L63" s="189"/>
      <c r="M63" s="189"/>
    </row>
    <row r="64" spans="1:13" ht="15" customHeight="1" x14ac:dyDescent="0.3">
      <c r="A64" s="53" t="s">
        <v>109</v>
      </c>
      <c r="B64" s="188" t="s">
        <v>108</v>
      </c>
      <c r="C64" s="189"/>
      <c r="D64" s="189"/>
      <c r="E64" s="189"/>
      <c r="F64" s="189"/>
      <c r="G64" s="189"/>
      <c r="H64" s="189"/>
      <c r="I64" s="189"/>
      <c r="J64" s="189"/>
      <c r="K64" s="189"/>
      <c r="L64" s="189"/>
      <c r="M64" s="189"/>
    </row>
    <row r="65" spans="2:13" x14ac:dyDescent="0.3">
      <c r="B65" s="188"/>
      <c r="C65" s="189"/>
      <c r="D65" s="189"/>
      <c r="E65" s="189"/>
      <c r="F65" s="189"/>
      <c r="G65" s="189"/>
      <c r="H65" s="189"/>
      <c r="I65" s="189"/>
      <c r="J65" s="189"/>
      <c r="K65" s="189"/>
      <c r="L65" s="189"/>
      <c r="M65" s="189"/>
    </row>
    <row r="66" spans="2:13" x14ac:dyDescent="0.3">
      <c r="C66" s="190"/>
      <c r="D66" s="190"/>
      <c r="E66" s="190"/>
      <c r="F66" s="190"/>
      <c r="G66" s="190"/>
      <c r="H66" s="190"/>
      <c r="I66" s="190"/>
      <c r="J66" s="190"/>
      <c r="K66" s="190"/>
      <c r="L66" s="190"/>
      <c r="M66" s="190"/>
    </row>
    <row r="67" spans="2:13" x14ac:dyDescent="0.3">
      <c r="C67" s="190"/>
      <c r="D67" s="190"/>
      <c r="E67" s="190"/>
      <c r="F67" s="190"/>
      <c r="G67" s="190"/>
      <c r="H67" s="190"/>
      <c r="I67" s="190"/>
      <c r="J67" s="190"/>
      <c r="K67" s="190"/>
      <c r="L67" s="190"/>
      <c r="M67" s="190"/>
    </row>
    <row r="68" spans="2:13" x14ac:dyDescent="0.3">
      <c r="C68" s="190"/>
      <c r="D68" s="190"/>
      <c r="E68" s="190"/>
      <c r="F68" s="190"/>
      <c r="G68" s="190"/>
      <c r="H68" s="190"/>
      <c r="I68" s="190"/>
      <c r="J68" s="190"/>
      <c r="K68" s="190"/>
      <c r="L68" s="190"/>
      <c r="M68" s="190"/>
    </row>
    <row r="69" spans="2:13" x14ac:dyDescent="0.3">
      <c r="C69" s="190"/>
      <c r="D69" s="190"/>
      <c r="E69" s="190"/>
      <c r="F69" s="190"/>
      <c r="G69" s="190"/>
      <c r="H69" s="190"/>
      <c r="I69" s="190"/>
      <c r="J69" s="190"/>
      <c r="K69" s="190"/>
      <c r="L69" s="190"/>
      <c r="M69" s="190"/>
    </row>
  </sheetData>
  <mergeCells count="33">
    <mergeCell ref="C69:M69"/>
    <mergeCell ref="B62:M62"/>
    <mergeCell ref="B63:M63"/>
    <mergeCell ref="B65:M65"/>
    <mergeCell ref="C66:M66"/>
    <mergeCell ref="C67:M67"/>
    <mergeCell ref="C68:M68"/>
    <mergeCell ref="B64:M64"/>
    <mergeCell ref="B58:M58"/>
    <mergeCell ref="B59:M59"/>
    <mergeCell ref="B60:M60"/>
    <mergeCell ref="B61:M61"/>
    <mergeCell ref="L3:L4"/>
    <mergeCell ref="B47:M47"/>
    <mergeCell ref="B48:M48"/>
    <mergeCell ref="B49:M49"/>
    <mergeCell ref="B50:M50"/>
    <mergeCell ref="B51:M51"/>
    <mergeCell ref="B52:M52"/>
    <mergeCell ref="B53:M53"/>
    <mergeCell ref="B54:M54"/>
    <mergeCell ref="B55:M55"/>
    <mergeCell ref="B56:M56"/>
    <mergeCell ref="B57:M57"/>
    <mergeCell ref="C2:L2"/>
    <mergeCell ref="B3:B4"/>
    <mergeCell ref="C3:C4"/>
    <mergeCell ref="D3:D4"/>
    <mergeCell ref="E3:E4"/>
    <mergeCell ref="F3:F4"/>
    <mergeCell ref="G3:H4"/>
    <mergeCell ref="I3:J4"/>
    <mergeCell ref="K3:K4"/>
  </mergeCells>
  <hyperlinks>
    <hyperlink ref="C2" location="INDEX" display="Energy Transport Electricity Main distribution, electricity cables" xr:uid="{FF62C3B1-62AF-49BD-8C09-44B2C359939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4427-CB6C-4631-AAF8-51186EA194D2}">
  <dimension ref="A1:P72"/>
  <sheetViews>
    <sheetView zoomScaleNormal="100" workbookViewId="0">
      <selection activeCell="C16" sqref="C16"/>
    </sheetView>
  </sheetViews>
  <sheetFormatPr defaultColWidth="9.109375" defaultRowHeight="14.4" x14ac:dyDescent="0.3"/>
  <cols>
    <col min="1" max="1" width="2.33203125" style="52" bestFit="1" customWidth="1"/>
    <col min="2" max="2" width="41" style="52" customWidth="1"/>
    <col min="3" max="3" width="9.109375" style="52" customWidth="1"/>
    <col min="4" max="6" width="9.109375" style="52"/>
    <col min="7" max="7" width="9.109375" style="52" customWidth="1"/>
    <col min="8" max="8" width="9.109375" style="52"/>
    <col min="9" max="9" width="9.109375" style="52" customWidth="1"/>
    <col min="10" max="12" width="9.109375" style="52"/>
    <col min="13" max="13" width="87.5546875" style="52" customWidth="1"/>
    <col min="14" max="14" width="9.6640625" style="52" bestFit="1" customWidth="1"/>
    <col min="15" max="16384" width="9.109375" style="52"/>
  </cols>
  <sheetData>
    <row r="1" spans="2:16" ht="15" thickBot="1" x14ac:dyDescent="0.35">
      <c r="B1" s="75" t="s">
        <v>250</v>
      </c>
    </row>
    <row r="2" spans="2:16" ht="15" thickBot="1" x14ac:dyDescent="0.35">
      <c r="B2" s="74" t="s">
        <v>197</v>
      </c>
      <c r="C2" s="177" t="s">
        <v>249</v>
      </c>
      <c r="D2" s="192"/>
      <c r="E2" s="192"/>
      <c r="F2" s="192"/>
      <c r="G2" s="192"/>
      <c r="H2" s="192"/>
      <c r="I2" s="192"/>
      <c r="J2" s="192"/>
      <c r="K2" s="192"/>
      <c r="L2" s="193"/>
    </row>
    <row r="3" spans="2:16" x14ac:dyDescent="0.3">
      <c r="B3" s="180"/>
      <c r="C3" s="182">
        <v>2015</v>
      </c>
      <c r="D3" s="182">
        <v>2020</v>
      </c>
      <c r="E3" s="182">
        <v>2030</v>
      </c>
      <c r="F3" s="182">
        <v>2050</v>
      </c>
      <c r="G3" s="184" t="s">
        <v>195</v>
      </c>
      <c r="H3" s="185"/>
      <c r="I3" s="184" t="s">
        <v>194</v>
      </c>
      <c r="J3" s="185"/>
      <c r="K3" s="182" t="s">
        <v>193</v>
      </c>
      <c r="L3" s="182" t="s">
        <v>192</v>
      </c>
    </row>
    <row r="4" spans="2:16" ht="15" thickBot="1" x14ac:dyDescent="0.35">
      <c r="B4" s="181"/>
      <c r="C4" s="183"/>
      <c r="D4" s="183"/>
      <c r="E4" s="183"/>
      <c r="F4" s="183"/>
      <c r="G4" s="186"/>
      <c r="H4" s="187"/>
      <c r="I4" s="186"/>
      <c r="J4" s="187"/>
      <c r="K4" s="183"/>
      <c r="L4" s="183"/>
    </row>
    <row r="5" spans="2:16" ht="15" thickBot="1" x14ac:dyDescent="0.35">
      <c r="B5" s="62" t="s">
        <v>191</v>
      </c>
      <c r="C5" s="69"/>
      <c r="D5" s="69"/>
      <c r="E5" s="69"/>
      <c r="F5" s="69"/>
      <c r="G5" s="72" t="s">
        <v>190</v>
      </c>
      <c r="H5" s="72" t="s">
        <v>189</v>
      </c>
      <c r="I5" s="72" t="s">
        <v>190</v>
      </c>
      <c r="J5" s="72" t="s">
        <v>189</v>
      </c>
      <c r="K5" s="69"/>
      <c r="L5" s="68"/>
    </row>
    <row r="6" spans="2:16" ht="15" thickBot="1" x14ac:dyDescent="0.35">
      <c r="B6" s="60" t="s">
        <v>248</v>
      </c>
      <c r="C6" s="59">
        <v>5.25</v>
      </c>
      <c r="D6" s="59">
        <v>5.25</v>
      </c>
      <c r="E6" s="59">
        <v>5.25</v>
      </c>
      <c r="F6" s="59">
        <v>5.25</v>
      </c>
      <c r="G6" s="59">
        <v>5.25</v>
      </c>
      <c r="H6" s="59">
        <v>5.25</v>
      </c>
      <c r="I6" s="59">
        <v>4.5</v>
      </c>
      <c r="J6" s="59">
        <v>5.25</v>
      </c>
      <c r="K6" s="59" t="s">
        <v>143</v>
      </c>
      <c r="L6" s="59">
        <v>1</v>
      </c>
    </row>
    <row r="7" spans="2:16" ht="15" thickBot="1" x14ac:dyDescent="0.35">
      <c r="B7" s="60" t="s">
        <v>247</v>
      </c>
      <c r="C7" s="71">
        <v>1.125</v>
      </c>
      <c r="D7" s="71">
        <v>1.125</v>
      </c>
      <c r="E7" s="71">
        <v>1.125</v>
      </c>
      <c r="F7" s="71">
        <v>1.125</v>
      </c>
      <c r="G7" s="59">
        <v>0.75</v>
      </c>
      <c r="H7" s="59">
        <v>1.5</v>
      </c>
      <c r="I7" s="59">
        <v>0.75</v>
      </c>
      <c r="J7" s="59">
        <v>1.5</v>
      </c>
      <c r="K7" s="59" t="s">
        <v>141</v>
      </c>
      <c r="L7" s="59">
        <v>2</v>
      </c>
    </row>
    <row r="8" spans="2:16" ht="15" thickBot="1" x14ac:dyDescent="0.35">
      <c r="B8" s="60" t="s">
        <v>246</v>
      </c>
      <c r="C8" s="59" t="s">
        <v>156</v>
      </c>
      <c r="D8" s="59" t="s">
        <v>156</v>
      </c>
      <c r="E8" s="59" t="s">
        <v>156</v>
      </c>
      <c r="F8" s="59" t="s">
        <v>156</v>
      </c>
      <c r="G8" s="59" t="s">
        <v>156</v>
      </c>
      <c r="H8" s="59" t="s">
        <v>156</v>
      </c>
      <c r="I8" s="59" t="s">
        <v>156</v>
      </c>
      <c r="J8" s="59" t="s">
        <v>156</v>
      </c>
      <c r="K8" s="59" t="s">
        <v>200</v>
      </c>
      <c r="L8" s="59">
        <v>3</v>
      </c>
    </row>
    <row r="9" spans="2:16" ht="15" thickBot="1" x14ac:dyDescent="0.35">
      <c r="B9" s="60" t="s">
        <v>179</v>
      </c>
      <c r="C9" s="59">
        <v>40</v>
      </c>
      <c r="D9" s="59">
        <v>40</v>
      </c>
      <c r="E9" s="59">
        <v>40</v>
      </c>
      <c r="F9" s="59">
        <v>40</v>
      </c>
      <c r="G9" s="59">
        <v>35</v>
      </c>
      <c r="H9" s="59">
        <v>40</v>
      </c>
      <c r="I9" s="59">
        <v>35</v>
      </c>
      <c r="J9" s="59">
        <v>50</v>
      </c>
      <c r="K9" s="59" t="s">
        <v>139</v>
      </c>
      <c r="L9" s="59" t="s">
        <v>245</v>
      </c>
    </row>
    <row r="10" spans="2:16" ht="15" thickBot="1" x14ac:dyDescent="0.35">
      <c r="B10" s="60" t="s">
        <v>244</v>
      </c>
      <c r="C10" s="64">
        <v>0.44</v>
      </c>
      <c r="D10" s="64">
        <v>0.44</v>
      </c>
      <c r="E10" s="64">
        <v>0.44</v>
      </c>
      <c r="F10" s="64">
        <v>0.44</v>
      </c>
      <c r="G10" s="84">
        <v>0.44</v>
      </c>
      <c r="H10" s="84">
        <v>0.44</v>
      </c>
      <c r="I10" s="70">
        <v>0.3256</v>
      </c>
      <c r="J10" s="70">
        <v>0.46640000000000004</v>
      </c>
      <c r="K10" s="59" t="s">
        <v>137</v>
      </c>
      <c r="L10" s="59" t="s">
        <v>243</v>
      </c>
    </row>
    <row r="11" spans="2:16" ht="15" thickBot="1" x14ac:dyDescent="0.35">
      <c r="B11" s="80" t="s">
        <v>242</v>
      </c>
      <c r="C11" s="64">
        <v>0.44</v>
      </c>
      <c r="D11" s="64">
        <v>0.44</v>
      </c>
      <c r="E11" s="64">
        <v>0.44</v>
      </c>
      <c r="F11" s="64">
        <v>0.44</v>
      </c>
      <c r="G11" s="84">
        <v>0.44</v>
      </c>
      <c r="H11" s="84">
        <v>0.44</v>
      </c>
      <c r="I11" s="70">
        <v>0.3256</v>
      </c>
      <c r="J11" s="70">
        <v>0.46640000000000004</v>
      </c>
      <c r="K11" s="59" t="s">
        <v>137</v>
      </c>
      <c r="L11" s="59"/>
    </row>
    <row r="12" spans="2:16" ht="15" thickBot="1" x14ac:dyDescent="0.35">
      <c r="B12" s="80" t="s">
        <v>241</v>
      </c>
      <c r="C12" s="64">
        <v>0.44</v>
      </c>
      <c r="D12" s="64">
        <v>0.44</v>
      </c>
      <c r="E12" s="64">
        <v>0.44</v>
      </c>
      <c r="F12" s="64">
        <v>0.44</v>
      </c>
      <c r="G12" s="84">
        <v>0.44</v>
      </c>
      <c r="H12" s="84">
        <v>0.44</v>
      </c>
      <c r="I12" s="70">
        <v>0.3256</v>
      </c>
      <c r="J12" s="70">
        <v>0.46640000000000004</v>
      </c>
      <c r="K12" s="59" t="s">
        <v>137</v>
      </c>
      <c r="L12" s="59"/>
    </row>
    <row r="13" spans="2:16" ht="15" thickBot="1" x14ac:dyDescent="0.35">
      <c r="B13" s="80" t="s">
        <v>177</v>
      </c>
      <c r="C13" s="83">
        <v>1</v>
      </c>
      <c r="D13" s="83">
        <v>1</v>
      </c>
      <c r="E13" s="83">
        <v>1</v>
      </c>
      <c r="F13" s="83">
        <v>1</v>
      </c>
      <c r="G13" s="59">
        <v>1</v>
      </c>
      <c r="H13" s="59">
        <v>2</v>
      </c>
      <c r="I13" s="59">
        <v>1</v>
      </c>
      <c r="J13" s="59">
        <v>2</v>
      </c>
      <c r="K13" s="59"/>
      <c r="L13" s="59">
        <v>5</v>
      </c>
    </row>
    <row r="14" spans="2:16" ht="15" thickBot="1" x14ac:dyDescent="0.35">
      <c r="B14" s="60"/>
      <c r="C14" s="59"/>
      <c r="D14" s="59"/>
      <c r="E14" s="59"/>
      <c r="F14" s="59"/>
      <c r="G14" s="59"/>
      <c r="H14" s="59"/>
      <c r="I14" s="59"/>
      <c r="J14" s="59"/>
      <c r="K14" s="59"/>
      <c r="L14" s="59"/>
    </row>
    <row r="15" spans="2:16" ht="15" thickBot="1" x14ac:dyDescent="0.35">
      <c r="B15" s="62" t="s">
        <v>176</v>
      </c>
      <c r="C15" s="69"/>
      <c r="D15" s="69"/>
      <c r="E15" s="69"/>
      <c r="F15" s="69"/>
      <c r="G15" s="69"/>
      <c r="H15" s="69"/>
      <c r="I15" s="69"/>
      <c r="J15" s="69"/>
      <c r="K15" s="69"/>
      <c r="L15" s="68"/>
    </row>
    <row r="16" spans="2:16" ht="15" thickBot="1" x14ac:dyDescent="0.35">
      <c r="B16" s="80" t="s">
        <v>240</v>
      </c>
      <c r="C16" s="59">
        <v>173</v>
      </c>
      <c r="D16" s="59">
        <v>173</v>
      </c>
      <c r="E16" s="59">
        <v>173</v>
      </c>
      <c r="F16" s="59">
        <v>173</v>
      </c>
      <c r="G16" s="65">
        <v>155.70000000000002</v>
      </c>
      <c r="H16" s="59">
        <v>173</v>
      </c>
      <c r="I16" s="65">
        <v>131.72220000000002</v>
      </c>
      <c r="J16" s="65">
        <v>205.87</v>
      </c>
      <c r="K16" s="59" t="s">
        <v>239</v>
      </c>
      <c r="L16" s="59" t="s">
        <v>238</v>
      </c>
      <c r="N16" s="52">
        <f>D16*7.45</f>
        <v>1288.8500000000001</v>
      </c>
      <c r="O16" s="52">
        <f>N16/1000</f>
        <v>1.2888500000000001</v>
      </c>
      <c r="P16" s="52" t="s">
        <v>583</v>
      </c>
    </row>
    <row r="17" spans="2:16" ht="15" thickBot="1" x14ac:dyDescent="0.35">
      <c r="B17" s="80" t="s">
        <v>237</v>
      </c>
      <c r="C17" s="65">
        <v>524</v>
      </c>
      <c r="D17" s="65">
        <v>524</v>
      </c>
      <c r="E17" s="65">
        <v>524</v>
      </c>
      <c r="F17" s="65">
        <v>524</v>
      </c>
      <c r="G17" s="65">
        <v>471.6</v>
      </c>
      <c r="H17" s="65">
        <v>524</v>
      </c>
      <c r="I17" s="65">
        <v>424.44000000000005</v>
      </c>
      <c r="J17" s="65">
        <v>524</v>
      </c>
      <c r="K17" s="59" t="s">
        <v>233</v>
      </c>
      <c r="L17" s="59">
        <v>6</v>
      </c>
      <c r="M17" s="82"/>
      <c r="N17" s="154">
        <f>PMT(0.1,20,N16)</f>
        <v>-151.38783738809568</v>
      </c>
      <c r="O17" s="154">
        <f>PMT(0.1,20,O16)</f>
        <v>-0.15138783738809566</v>
      </c>
    </row>
    <row r="18" spans="2:16" ht="15" thickBot="1" x14ac:dyDescent="0.35">
      <c r="B18" s="80" t="s">
        <v>236</v>
      </c>
      <c r="C18" s="65">
        <v>1412</v>
      </c>
      <c r="D18" s="65">
        <v>1412</v>
      </c>
      <c r="E18" s="65">
        <v>1412</v>
      </c>
      <c r="F18" s="65">
        <v>1412</v>
      </c>
      <c r="G18" s="65">
        <v>1270.8</v>
      </c>
      <c r="H18" s="65">
        <v>1412</v>
      </c>
      <c r="I18" s="65">
        <v>1143.72</v>
      </c>
      <c r="J18" s="65">
        <v>1412</v>
      </c>
      <c r="K18" s="59" t="s">
        <v>233</v>
      </c>
      <c r="L18" s="59">
        <v>6</v>
      </c>
      <c r="M18" s="81"/>
    </row>
    <row r="19" spans="2:16" ht="15" thickBot="1" x14ac:dyDescent="0.35">
      <c r="B19" s="80" t="s">
        <v>235</v>
      </c>
      <c r="C19" s="65">
        <v>1583</v>
      </c>
      <c r="D19" s="65">
        <v>1583</v>
      </c>
      <c r="E19" s="65">
        <v>1583</v>
      </c>
      <c r="F19" s="65">
        <v>1583</v>
      </c>
      <c r="G19" s="65">
        <v>1424.7</v>
      </c>
      <c r="H19" s="65">
        <v>1583</v>
      </c>
      <c r="I19" s="65">
        <v>1282.23</v>
      </c>
      <c r="J19" s="65">
        <v>1583</v>
      </c>
      <c r="K19" s="59" t="s">
        <v>233</v>
      </c>
      <c r="L19" s="59">
        <v>6</v>
      </c>
      <c r="M19" s="81"/>
      <c r="O19" s="52">
        <v>0.15</v>
      </c>
      <c r="P19" s="52" t="s">
        <v>582</v>
      </c>
    </row>
    <row r="20" spans="2:16" ht="15" thickBot="1" x14ac:dyDescent="0.35">
      <c r="B20" s="80" t="s">
        <v>234</v>
      </c>
      <c r="C20" s="65">
        <v>3745</v>
      </c>
      <c r="D20" s="65">
        <v>3745</v>
      </c>
      <c r="E20" s="65">
        <v>3745</v>
      </c>
      <c r="F20" s="65">
        <v>3745</v>
      </c>
      <c r="G20" s="65">
        <v>3370.5</v>
      </c>
      <c r="H20" s="65">
        <v>3745</v>
      </c>
      <c r="I20" s="65">
        <v>3033.4500000000003</v>
      </c>
      <c r="J20" s="65">
        <v>3745</v>
      </c>
      <c r="K20" s="59" t="s">
        <v>233</v>
      </c>
      <c r="L20" s="59">
        <v>6</v>
      </c>
      <c r="M20" s="81"/>
    </row>
    <row r="21" spans="2:16" ht="15" thickBot="1" x14ac:dyDescent="0.35">
      <c r="B21" s="80" t="s">
        <v>232</v>
      </c>
      <c r="C21" s="59" t="s">
        <v>156</v>
      </c>
      <c r="D21" s="59" t="s">
        <v>156</v>
      </c>
      <c r="E21" s="59" t="s">
        <v>156</v>
      </c>
      <c r="F21" s="59" t="s">
        <v>156</v>
      </c>
      <c r="G21" s="59" t="s">
        <v>156</v>
      </c>
      <c r="H21" s="59" t="s">
        <v>156</v>
      </c>
      <c r="I21" s="59" t="s">
        <v>156</v>
      </c>
      <c r="J21" s="59" t="s">
        <v>156</v>
      </c>
      <c r="K21" s="59" t="s">
        <v>225</v>
      </c>
      <c r="L21" s="59"/>
      <c r="M21" s="81"/>
    </row>
    <row r="22" spans="2:16" ht="15" thickBot="1" x14ac:dyDescent="0.35">
      <c r="B22" s="80" t="s">
        <v>231</v>
      </c>
      <c r="C22" s="59" t="s">
        <v>156</v>
      </c>
      <c r="D22" s="59" t="s">
        <v>156</v>
      </c>
      <c r="E22" s="59" t="s">
        <v>156</v>
      </c>
      <c r="F22" s="59" t="s">
        <v>156</v>
      </c>
      <c r="G22" s="59" t="s">
        <v>156</v>
      </c>
      <c r="H22" s="59" t="s">
        <v>156</v>
      </c>
      <c r="I22" s="59" t="s">
        <v>156</v>
      </c>
      <c r="J22" s="59" t="s">
        <v>156</v>
      </c>
      <c r="K22" s="59" t="s">
        <v>225</v>
      </c>
      <c r="L22" s="59"/>
      <c r="M22" s="81"/>
    </row>
    <row r="23" spans="2:16" ht="15" thickBot="1" x14ac:dyDescent="0.35">
      <c r="B23" s="80" t="s">
        <v>230</v>
      </c>
      <c r="C23" s="59">
        <v>36</v>
      </c>
      <c r="D23" s="59">
        <v>36</v>
      </c>
      <c r="E23" s="59">
        <v>36</v>
      </c>
      <c r="F23" s="59">
        <v>36</v>
      </c>
      <c r="G23" s="59">
        <v>32</v>
      </c>
      <c r="H23" s="59">
        <v>36</v>
      </c>
      <c r="I23" s="65">
        <v>28.8</v>
      </c>
      <c r="J23" s="59">
        <v>36</v>
      </c>
      <c r="K23" s="59" t="s">
        <v>225</v>
      </c>
      <c r="L23" s="59">
        <v>6</v>
      </c>
      <c r="M23" s="81"/>
    </row>
    <row r="24" spans="2:16" ht="15" thickBot="1" x14ac:dyDescent="0.35">
      <c r="B24" s="80" t="s">
        <v>229</v>
      </c>
      <c r="C24" s="59">
        <v>36</v>
      </c>
      <c r="D24" s="59">
        <v>36</v>
      </c>
      <c r="E24" s="59">
        <v>36</v>
      </c>
      <c r="F24" s="59">
        <v>36</v>
      </c>
      <c r="G24" s="59">
        <v>32</v>
      </c>
      <c r="H24" s="59">
        <v>36</v>
      </c>
      <c r="I24" s="65">
        <v>28.8</v>
      </c>
      <c r="J24" s="59">
        <v>36</v>
      </c>
      <c r="K24" s="59" t="s">
        <v>225</v>
      </c>
      <c r="L24" s="59">
        <v>6</v>
      </c>
      <c r="M24" s="81"/>
    </row>
    <row r="25" spans="2:16" ht="15" thickBot="1" x14ac:dyDescent="0.35">
      <c r="B25" s="80" t="s">
        <v>228</v>
      </c>
      <c r="C25" s="59">
        <v>41</v>
      </c>
      <c r="D25" s="59">
        <v>41</v>
      </c>
      <c r="E25" s="59">
        <v>41</v>
      </c>
      <c r="F25" s="59">
        <v>41</v>
      </c>
      <c r="G25" s="59">
        <v>37</v>
      </c>
      <c r="H25" s="59">
        <v>41</v>
      </c>
      <c r="I25" s="65">
        <v>33.300000000000004</v>
      </c>
      <c r="J25" s="59">
        <v>41</v>
      </c>
      <c r="K25" s="59" t="s">
        <v>225</v>
      </c>
      <c r="L25" s="59">
        <v>6</v>
      </c>
      <c r="M25" s="81"/>
    </row>
    <row r="26" spans="2:16" ht="15" thickBot="1" x14ac:dyDescent="0.35">
      <c r="B26" s="80" t="s">
        <v>227</v>
      </c>
      <c r="C26" s="59">
        <v>88</v>
      </c>
      <c r="D26" s="59">
        <v>88</v>
      </c>
      <c r="E26" s="59">
        <v>88</v>
      </c>
      <c r="F26" s="59">
        <v>88</v>
      </c>
      <c r="G26" s="59">
        <v>85</v>
      </c>
      <c r="H26" s="59">
        <v>88</v>
      </c>
      <c r="I26" s="65">
        <v>76.5</v>
      </c>
      <c r="J26" s="59">
        <v>88</v>
      </c>
      <c r="K26" s="59" t="s">
        <v>225</v>
      </c>
      <c r="L26" s="59">
        <v>6</v>
      </c>
      <c r="M26" s="81"/>
    </row>
    <row r="27" spans="2:16" ht="15" thickBot="1" x14ac:dyDescent="0.35">
      <c r="B27" s="80" t="s">
        <v>226</v>
      </c>
      <c r="C27" s="59" t="s">
        <v>156</v>
      </c>
      <c r="D27" s="59" t="s">
        <v>156</v>
      </c>
      <c r="E27" s="59" t="s">
        <v>156</v>
      </c>
      <c r="F27" s="59" t="s">
        <v>156</v>
      </c>
      <c r="G27" s="59" t="s">
        <v>156</v>
      </c>
      <c r="H27" s="59" t="s">
        <v>156</v>
      </c>
      <c r="I27" s="59" t="s">
        <v>156</v>
      </c>
      <c r="J27" s="59" t="s">
        <v>156</v>
      </c>
      <c r="K27" s="59" t="s">
        <v>225</v>
      </c>
      <c r="L27" s="59"/>
      <c r="M27" s="81"/>
    </row>
    <row r="28" spans="2:16" ht="15" thickBot="1" x14ac:dyDescent="0.35">
      <c r="B28" s="80" t="s">
        <v>224</v>
      </c>
      <c r="C28" s="59">
        <v>11500</v>
      </c>
      <c r="D28" s="59">
        <v>11500</v>
      </c>
      <c r="E28" s="59">
        <v>11500</v>
      </c>
      <c r="F28" s="59">
        <v>11500</v>
      </c>
      <c r="G28" s="65">
        <v>10994</v>
      </c>
      <c r="H28" s="59">
        <v>11500</v>
      </c>
      <c r="I28" s="65">
        <v>10510.263999999999</v>
      </c>
      <c r="J28" s="59">
        <v>11500</v>
      </c>
      <c r="K28" s="59" t="s">
        <v>223</v>
      </c>
      <c r="L28" s="59">
        <v>6</v>
      </c>
      <c r="M28" s="81"/>
    </row>
    <row r="29" spans="2:16" ht="15" thickBot="1" x14ac:dyDescent="0.35">
      <c r="B29" s="80" t="s">
        <v>164</v>
      </c>
      <c r="C29" s="59">
        <v>67500</v>
      </c>
      <c r="D29" s="59">
        <v>67500</v>
      </c>
      <c r="E29" s="59">
        <v>67500</v>
      </c>
      <c r="F29" s="59">
        <v>67500</v>
      </c>
      <c r="G29" s="59">
        <v>64530</v>
      </c>
      <c r="H29" s="59">
        <v>67500</v>
      </c>
      <c r="I29" s="65">
        <v>61690.68</v>
      </c>
      <c r="J29" s="59">
        <v>67500</v>
      </c>
      <c r="K29" s="59" t="s">
        <v>125</v>
      </c>
      <c r="L29" s="59">
        <v>6</v>
      </c>
      <c r="M29" s="81"/>
    </row>
    <row r="30" spans="2:16" ht="15" thickBot="1" x14ac:dyDescent="0.35">
      <c r="B30" s="80" t="s">
        <v>162</v>
      </c>
      <c r="C30" s="59" t="s">
        <v>156</v>
      </c>
      <c r="D30" s="59" t="s">
        <v>156</v>
      </c>
      <c r="E30" s="59" t="s">
        <v>156</v>
      </c>
      <c r="F30" s="59" t="s">
        <v>156</v>
      </c>
      <c r="G30" s="59" t="s">
        <v>156</v>
      </c>
      <c r="H30" s="59" t="s">
        <v>156</v>
      </c>
      <c r="I30" s="59" t="s">
        <v>156</v>
      </c>
      <c r="J30" s="59" t="s">
        <v>156</v>
      </c>
      <c r="K30" s="59"/>
      <c r="L30" s="59"/>
      <c r="M30" s="81"/>
    </row>
    <row r="31" spans="2:16" ht="15" thickBot="1" x14ac:dyDescent="0.35">
      <c r="B31" s="80" t="s">
        <v>222</v>
      </c>
      <c r="C31" s="64">
        <v>0.62</v>
      </c>
      <c r="D31" s="64">
        <v>0.62</v>
      </c>
      <c r="E31" s="64">
        <v>0.62</v>
      </c>
      <c r="F31" s="64">
        <v>0.62</v>
      </c>
      <c r="G31" s="64">
        <v>0.57345545977011492</v>
      </c>
      <c r="H31" s="64">
        <v>0.62</v>
      </c>
      <c r="I31" s="64">
        <v>0.52557234951754206</v>
      </c>
      <c r="J31" s="64">
        <v>0.62</v>
      </c>
      <c r="K31" s="59" t="s">
        <v>123</v>
      </c>
      <c r="L31" s="59">
        <v>6</v>
      </c>
      <c r="M31" s="81"/>
    </row>
    <row r="32" spans="2:16" ht="15" thickBot="1" x14ac:dyDescent="0.35">
      <c r="B32" s="80" t="s">
        <v>221</v>
      </c>
      <c r="C32" s="64">
        <v>0.38</v>
      </c>
      <c r="D32" s="64">
        <v>0.38</v>
      </c>
      <c r="E32" s="64">
        <v>0.38</v>
      </c>
      <c r="F32" s="64">
        <v>0.38</v>
      </c>
      <c r="G32" s="64">
        <v>0.38</v>
      </c>
      <c r="H32" s="64">
        <v>0.42654454022988508</v>
      </c>
      <c r="I32" s="64">
        <v>0.42</v>
      </c>
      <c r="J32" s="64">
        <v>0.38</v>
      </c>
      <c r="K32" s="59" t="s">
        <v>123</v>
      </c>
      <c r="L32" s="59">
        <v>6</v>
      </c>
      <c r="M32" s="81"/>
    </row>
    <row r="33" spans="1:13" ht="15" thickBot="1" x14ac:dyDescent="0.35">
      <c r="B33" s="80" t="s">
        <v>220</v>
      </c>
      <c r="C33" s="64">
        <v>0.22</v>
      </c>
      <c r="D33" s="64">
        <v>0.22</v>
      </c>
      <c r="E33" s="64">
        <v>0.22</v>
      </c>
      <c r="F33" s="64">
        <v>0.22</v>
      </c>
      <c r="G33" s="64">
        <v>0.18858189081225035</v>
      </c>
      <c r="H33" s="64">
        <v>0.22</v>
      </c>
      <c r="I33" s="64">
        <v>0.16612453895418941</v>
      </c>
      <c r="J33" s="64">
        <v>0.19</v>
      </c>
      <c r="K33" s="59" t="s">
        <v>123</v>
      </c>
      <c r="L33" s="59">
        <v>6</v>
      </c>
      <c r="M33" s="81"/>
    </row>
    <row r="34" spans="1:13" ht="15" thickBot="1" x14ac:dyDescent="0.35">
      <c r="B34" s="80" t="s">
        <v>219</v>
      </c>
      <c r="C34" s="64">
        <v>0.78</v>
      </c>
      <c r="D34" s="64">
        <v>0.78</v>
      </c>
      <c r="E34" s="64">
        <v>0.78</v>
      </c>
      <c r="F34" s="64">
        <v>0.78</v>
      </c>
      <c r="G34" s="64">
        <v>0.78</v>
      </c>
      <c r="H34" s="64">
        <v>0.81</v>
      </c>
      <c r="I34" s="64">
        <v>0.78</v>
      </c>
      <c r="J34" s="64">
        <v>0.81</v>
      </c>
      <c r="K34" s="59" t="s">
        <v>123</v>
      </c>
      <c r="L34" s="59">
        <v>6</v>
      </c>
      <c r="M34" s="81"/>
    </row>
    <row r="35" spans="1:13" ht="15" thickBot="1" x14ac:dyDescent="0.35">
      <c r="B35" s="80" t="s">
        <v>218</v>
      </c>
      <c r="C35" s="65">
        <v>1627.8093023255815</v>
      </c>
      <c r="D35" s="65">
        <v>1605.0199720930234</v>
      </c>
      <c r="E35" s="65">
        <v>1582.5496924837209</v>
      </c>
      <c r="F35" s="65">
        <v>1560.3939967889489</v>
      </c>
      <c r="G35" s="65">
        <v>1598.508734883721</v>
      </c>
      <c r="H35" s="65">
        <v>1627.8093023255815</v>
      </c>
      <c r="I35" s="65">
        <v>1541.4803372580093</v>
      </c>
      <c r="J35" s="65">
        <v>1627.8093023255815</v>
      </c>
      <c r="K35" s="59" t="s">
        <v>121</v>
      </c>
      <c r="L35" s="59">
        <v>7</v>
      </c>
    </row>
    <row r="36" spans="1:13" ht="15" thickBot="1" x14ac:dyDescent="0.35">
      <c r="B36" s="80" t="s">
        <v>217</v>
      </c>
      <c r="C36" s="59" t="s">
        <v>156</v>
      </c>
      <c r="D36" s="59" t="s">
        <v>156</v>
      </c>
      <c r="E36" s="59" t="s">
        <v>156</v>
      </c>
      <c r="F36" s="59" t="s">
        <v>156</v>
      </c>
      <c r="G36" s="59" t="s">
        <v>156</v>
      </c>
      <c r="H36" s="59" t="s">
        <v>156</v>
      </c>
      <c r="I36" s="59" t="s">
        <v>156</v>
      </c>
      <c r="J36" s="59" t="s">
        <v>156</v>
      </c>
      <c r="K36" s="59" t="s">
        <v>119</v>
      </c>
      <c r="L36" s="59"/>
    </row>
    <row r="37" spans="1:13" ht="15" thickBot="1" x14ac:dyDescent="0.35">
      <c r="B37" s="61"/>
      <c r="C37" s="59"/>
      <c r="D37" s="59"/>
      <c r="E37" s="59"/>
      <c r="F37" s="59"/>
      <c r="G37" s="59"/>
      <c r="H37" s="59"/>
      <c r="I37" s="59"/>
      <c r="J37" s="59"/>
      <c r="K37" s="59"/>
      <c r="L37" s="59"/>
    </row>
    <row r="38" spans="1:13" ht="15" thickBot="1" x14ac:dyDescent="0.35">
      <c r="B38" s="62" t="s">
        <v>155</v>
      </c>
      <c r="C38" s="59"/>
      <c r="D38" s="59"/>
      <c r="E38" s="59"/>
      <c r="F38" s="59"/>
      <c r="G38" s="59"/>
      <c r="H38" s="59"/>
      <c r="I38" s="59"/>
      <c r="J38" s="59"/>
      <c r="K38" s="59"/>
      <c r="L38" s="59"/>
    </row>
    <row r="39" spans="1:13" ht="15" thickBot="1" x14ac:dyDescent="0.35">
      <c r="B39" s="61"/>
      <c r="C39" s="59"/>
      <c r="D39" s="59"/>
      <c r="E39" s="59"/>
      <c r="F39" s="59"/>
      <c r="G39" s="59"/>
      <c r="H39" s="59"/>
      <c r="I39" s="59"/>
      <c r="J39" s="59"/>
      <c r="K39" s="59"/>
      <c r="L39" s="59"/>
    </row>
    <row r="40" spans="1:13" ht="15" thickBot="1" x14ac:dyDescent="0.35">
      <c r="B40" s="60"/>
      <c r="C40" s="59"/>
      <c r="D40" s="59"/>
      <c r="E40" s="59"/>
      <c r="F40" s="59"/>
      <c r="G40" s="59"/>
      <c r="H40" s="59"/>
      <c r="I40" s="59"/>
      <c r="J40" s="59"/>
      <c r="K40" s="59"/>
      <c r="L40" s="59"/>
    </row>
    <row r="41" spans="1:13" x14ac:dyDescent="0.3">
      <c r="B41" s="58"/>
      <c r="C41" s="57"/>
      <c r="D41" s="57"/>
      <c r="E41" s="57"/>
      <c r="F41" s="57"/>
      <c r="G41" s="57"/>
      <c r="H41" s="57"/>
      <c r="I41" s="57"/>
      <c r="J41" s="57"/>
      <c r="K41" s="57"/>
      <c r="L41" s="57"/>
    </row>
    <row r="42" spans="1:13" x14ac:dyDescent="0.3">
      <c r="B42" s="55" t="s">
        <v>154</v>
      </c>
    </row>
    <row r="43" spans="1:13" x14ac:dyDescent="0.3">
      <c r="A43" s="53">
        <v>1</v>
      </c>
      <c r="B43" s="56" t="s">
        <v>216</v>
      </c>
    </row>
    <row r="44" spans="1:13" x14ac:dyDescent="0.3">
      <c r="A44" s="53">
        <v>2</v>
      </c>
      <c r="B44" s="56" t="s">
        <v>215</v>
      </c>
    </row>
    <row r="45" spans="1:13" x14ac:dyDescent="0.3">
      <c r="A45" s="53">
        <v>3</v>
      </c>
      <c r="B45" s="56" t="s">
        <v>150</v>
      </c>
    </row>
    <row r="46" spans="1:13" x14ac:dyDescent="0.3">
      <c r="A46" s="53">
        <v>4</v>
      </c>
      <c r="B46" s="56" t="s">
        <v>214</v>
      </c>
    </row>
    <row r="47" spans="1:13" x14ac:dyDescent="0.3">
      <c r="A47" s="53">
        <v>5</v>
      </c>
      <c r="B47" s="56" t="s">
        <v>213</v>
      </c>
    </row>
    <row r="48" spans="1:13" x14ac:dyDescent="0.3">
      <c r="A48" s="53">
        <v>6</v>
      </c>
      <c r="B48" s="56" t="s">
        <v>148</v>
      </c>
    </row>
    <row r="49" spans="1:13" x14ac:dyDescent="0.3">
      <c r="A49" s="53">
        <v>7</v>
      </c>
      <c r="B49" s="56" t="s">
        <v>145</v>
      </c>
    </row>
    <row r="51" spans="1:13" x14ac:dyDescent="0.3">
      <c r="B51" s="55" t="s">
        <v>144</v>
      </c>
      <c r="C51" s="54"/>
      <c r="D51" s="56"/>
      <c r="E51" s="54"/>
      <c r="F51" s="54"/>
      <c r="G51" s="54"/>
      <c r="H51" s="54"/>
      <c r="I51" s="54"/>
      <c r="J51" s="54"/>
      <c r="K51" s="54"/>
      <c r="L51" s="54"/>
      <c r="M51" s="54"/>
    </row>
    <row r="52" spans="1:13" x14ac:dyDescent="0.3">
      <c r="A52" s="53" t="s">
        <v>143</v>
      </c>
      <c r="B52" s="188" t="s">
        <v>212</v>
      </c>
      <c r="C52" s="188"/>
      <c r="D52" s="188"/>
      <c r="E52" s="188"/>
      <c r="F52" s="188"/>
      <c r="G52" s="188"/>
      <c r="H52" s="188"/>
      <c r="I52" s="188"/>
      <c r="J52" s="188"/>
      <c r="K52" s="188"/>
      <c r="L52" s="188"/>
      <c r="M52" s="188"/>
    </row>
    <row r="53" spans="1:13" x14ac:dyDescent="0.3">
      <c r="A53" s="53" t="s">
        <v>141</v>
      </c>
      <c r="B53" s="191" t="s">
        <v>211</v>
      </c>
      <c r="C53" s="191"/>
      <c r="D53" s="191"/>
      <c r="E53" s="191"/>
      <c r="F53" s="191"/>
      <c r="G53" s="191"/>
      <c r="H53" s="191"/>
      <c r="I53" s="191"/>
      <c r="J53" s="191"/>
      <c r="K53" s="191"/>
      <c r="L53" s="191"/>
      <c r="M53" s="191"/>
    </row>
    <row r="54" spans="1:13" x14ac:dyDescent="0.3">
      <c r="A54" s="53" t="s">
        <v>139</v>
      </c>
      <c r="B54" s="191" t="s">
        <v>210</v>
      </c>
      <c r="C54" s="191"/>
      <c r="D54" s="191"/>
      <c r="E54" s="191"/>
      <c r="F54" s="191"/>
      <c r="G54" s="191"/>
      <c r="H54" s="191"/>
      <c r="I54" s="191"/>
      <c r="J54" s="191"/>
      <c r="K54" s="191"/>
      <c r="L54" s="191"/>
      <c r="M54" s="191"/>
    </row>
    <row r="55" spans="1:13" x14ac:dyDescent="0.3">
      <c r="A55" s="53" t="s">
        <v>137</v>
      </c>
      <c r="B55" s="191" t="s">
        <v>209</v>
      </c>
      <c r="C55" s="191"/>
      <c r="D55" s="191"/>
      <c r="E55" s="191"/>
      <c r="F55" s="191"/>
      <c r="G55" s="191"/>
      <c r="H55" s="191"/>
      <c r="I55" s="191"/>
      <c r="J55" s="191"/>
      <c r="K55" s="191"/>
      <c r="L55" s="191"/>
      <c r="M55" s="191"/>
    </row>
    <row r="56" spans="1:13" ht="51.75" customHeight="1" x14ac:dyDescent="0.3">
      <c r="A56" s="53" t="s">
        <v>135</v>
      </c>
      <c r="B56" s="191" t="s">
        <v>208</v>
      </c>
      <c r="C56" s="194"/>
      <c r="D56" s="194"/>
      <c r="E56" s="194"/>
      <c r="F56" s="194"/>
      <c r="G56" s="194"/>
      <c r="H56" s="194"/>
      <c r="I56" s="194"/>
      <c r="J56" s="194"/>
      <c r="K56" s="194"/>
      <c r="L56" s="194"/>
      <c r="M56" s="194"/>
    </row>
    <row r="57" spans="1:13" ht="27" customHeight="1" x14ac:dyDescent="0.3">
      <c r="A57" s="53" t="s">
        <v>133</v>
      </c>
      <c r="B57" s="188" t="s">
        <v>130</v>
      </c>
      <c r="C57" s="188"/>
      <c r="D57" s="188"/>
      <c r="E57" s="188"/>
      <c r="F57" s="188"/>
      <c r="G57" s="188"/>
      <c r="H57" s="188"/>
      <c r="I57" s="188"/>
      <c r="J57" s="188"/>
      <c r="K57" s="188"/>
      <c r="L57" s="188"/>
      <c r="M57" s="188"/>
    </row>
    <row r="58" spans="1:13" ht="27" customHeight="1" x14ac:dyDescent="0.3">
      <c r="A58" s="53" t="s">
        <v>131</v>
      </c>
      <c r="B58" s="191" t="s">
        <v>207</v>
      </c>
      <c r="C58" s="194"/>
      <c r="D58" s="194"/>
      <c r="E58" s="194"/>
      <c r="F58" s="194"/>
      <c r="G58" s="194"/>
      <c r="H58" s="194"/>
      <c r="I58" s="194"/>
      <c r="J58" s="194"/>
      <c r="K58" s="194"/>
      <c r="L58" s="194"/>
      <c r="M58" s="194"/>
    </row>
    <row r="59" spans="1:13" ht="39.75" customHeight="1" x14ac:dyDescent="0.3">
      <c r="A59" s="53" t="s">
        <v>129</v>
      </c>
      <c r="B59" s="195" t="s">
        <v>206</v>
      </c>
      <c r="C59" s="195"/>
      <c r="D59" s="195"/>
      <c r="E59" s="195"/>
      <c r="F59" s="195"/>
      <c r="G59" s="195"/>
      <c r="H59" s="195"/>
      <c r="I59" s="195"/>
      <c r="J59" s="195"/>
      <c r="K59" s="195"/>
      <c r="L59" s="195"/>
      <c r="M59" s="195"/>
    </row>
    <row r="60" spans="1:13" ht="25.5" customHeight="1" x14ac:dyDescent="0.3">
      <c r="A60" s="53" t="s">
        <v>127</v>
      </c>
      <c r="B60" s="188" t="s">
        <v>205</v>
      </c>
      <c r="C60" s="188"/>
      <c r="D60" s="188"/>
      <c r="E60" s="188"/>
      <c r="F60" s="188"/>
      <c r="G60" s="188"/>
      <c r="H60" s="188"/>
      <c r="I60" s="188"/>
      <c r="J60" s="188"/>
      <c r="K60" s="188"/>
      <c r="L60" s="188"/>
      <c r="M60" s="188"/>
    </row>
    <row r="61" spans="1:13" ht="42" customHeight="1" x14ac:dyDescent="0.3">
      <c r="A61" s="53" t="s">
        <v>125</v>
      </c>
      <c r="B61" s="191" t="s">
        <v>204</v>
      </c>
      <c r="C61" s="191"/>
      <c r="D61" s="191"/>
      <c r="E61" s="191"/>
      <c r="F61" s="191"/>
      <c r="G61" s="191"/>
      <c r="H61" s="191"/>
      <c r="I61" s="191"/>
      <c r="J61" s="191"/>
      <c r="K61" s="191"/>
      <c r="L61" s="191"/>
      <c r="M61" s="191"/>
    </row>
    <row r="62" spans="1:13" ht="39.75" customHeight="1" x14ac:dyDescent="0.3">
      <c r="A62" s="53" t="s">
        <v>123</v>
      </c>
      <c r="B62" s="191" t="s">
        <v>203</v>
      </c>
      <c r="C62" s="191"/>
      <c r="D62" s="191"/>
      <c r="E62" s="191"/>
      <c r="F62" s="191"/>
      <c r="G62" s="191"/>
      <c r="H62" s="191"/>
      <c r="I62" s="191"/>
      <c r="J62" s="191"/>
      <c r="K62" s="191"/>
      <c r="L62" s="191"/>
      <c r="M62" s="191"/>
    </row>
    <row r="63" spans="1:13" ht="24.75" customHeight="1" x14ac:dyDescent="0.3">
      <c r="A63" s="53" t="s">
        <v>121</v>
      </c>
      <c r="B63" s="188" t="s">
        <v>202</v>
      </c>
      <c r="C63" s="188"/>
      <c r="D63" s="188"/>
      <c r="E63" s="188"/>
      <c r="F63" s="188"/>
      <c r="G63" s="188"/>
      <c r="H63" s="188"/>
      <c r="I63" s="188"/>
      <c r="J63" s="188"/>
      <c r="K63" s="188"/>
      <c r="L63" s="188"/>
      <c r="M63" s="188"/>
    </row>
    <row r="64" spans="1:13" ht="13.5" customHeight="1" x14ac:dyDescent="0.3">
      <c r="A64" s="53" t="s">
        <v>119</v>
      </c>
      <c r="B64" s="188" t="s">
        <v>201</v>
      </c>
      <c r="C64" s="189"/>
      <c r="D64" s="189"/>
      <c r="E64" s="189"/>
      <c r="F64" s="189"/>
      <c r="G64" s="189"/>
      <c r="H64" s="189"/>
      <c r="I64" s="189"/>
      <c r="J64" s="189"/>
      <c r="K64" s="189"/>
      <c r="L64" s="189"/>
      <c r="M64" s="189"/>
    </row>
    <row r="65" spans="1:13" ht="15" customHeight="1" x14ac:dyDescent="0.3">
      <c r="A65" s="53" t="s">
        <v>200</v>
      </c>
      <c r="B65" s="188" t="s">
        <v>199</v>
      </c>
      <c r="C65" s="189"/>
      <c r="D65" s="189"/>
      <c r="E65" s="189"/>
      <c r="F65" s="189"/>
      <c r="G65" s="189"/>
      <c r="H65" s="189"/>
      <c r="I65" s="189"/>
      <c r="J65" s="189"/>
      <c r="K65" s="189"/>
      <c r="L65" s="189"/>
      <c r="M65" s="189"/>
    </row>
    <row r="66" spans="1:13" x14ac:dyDescent="0.3">
      <c r="A66" s="53"/>
      <c r="B66" s="191"/>
      <c r="C66" s="194"/>
      <c r="D66" s="194"/>
      <c r="E66" s="194"/>
      <c r="F66" s="194"/>
      <c r="G66" s="194"/>
      <c r="H66" s="194"/>
      <c r="I66" s="194"/>
      <c r="J66" s="194"/>
      <c r="K66" s="194"/>
      <c r="L66" s="194"/>
      <c r="M66" s="79"/>
    </row>
    <row r="67" spans="1:13" x14ac:dyDescent="0.3">
      <c r="A67" s="53"/>
      <c r="B67" s="191"/>
      <c r="C67" s="194"/>
      <c r="D67" s="194"/>
      <c r="E67" s="194"/>
      <c r="F67" s="194"/>
      <c r="G67" s="194"/>
      <c r="H67" s="194"/>
      <c r="I67" s="194"/>
      <c r="J67" s="194"/>
      <c r="K67" s="194"/>
      <c r="L67" s="194"/>
      <c r="M67" s="79"/>
    </row>
    <row r="68" spans="1:13" x14ac:dyDescent="0.3">
      <c r="A68" s="53"/>
      <c r="B68" s="191"/>
      <c r="C68" s="194"/>
      <c r="D68" s="194"/>
      <c r="E68" s="194"/>
      <c r="F68" s="194"/>
      <c r="G68" s="194"/>
      <c r="H68" s="194"/>
      <c r="I68" s="194"/>
      <c r="J68" s="194"/>
      <c r="K68" s="194"/>
      <c r="L68" s="194"/>
      <c r="M68" s="194"/>
    </row>
    <row r="69" spans="1:13" x14ac:dyDescent="0.3">
      <c r="B69" s="191"/>
      <c r="C69" s="194"/>
      <c r="D69" s="194"/>
      <c r="E69" s="194"/>
      <c r="F69" s="194"/>
      <c r="G69" s="194"/>
      <c r="H69" s="194"/>
      <c r="I69" s="194"/>
      <c r="J69" s="194"/>
      <c r="K69" s="194"/>
      <c r="L69" s="194"/>
      <c r="M69" s="194"/>
    </row>
    <row r="71" spans="1:13" x14ac:dyDescent="0.3">
      <c r="A71" s="78"/>
    </row>
    <row r="72" spans="1:13" x14ac:dyDescent="0.3">
      <c r="A72" s="77"/>
      <c r="B72" s="188"/>
      <c r="C72" s="188"/>
      <c r="D72" s="188"/>
      <c r="E72" s="188"/>
      <c r="F72" s="188"/>
      <c r="G72" s="188"/>
      <c r="H72" s="188"/>
      <c r="I72" s="188"/>
      <c r="J72" s="188"/>
      <c r="K72" s="188"/>
      <c r="L72" s="188"/>
      <c r="M72" s="188"/>
    </row>
  </sheetData>
  <mergeCells count="29">
    <mergeCell ref="B63:M63"/>
    <mergeCell ref="B72:M72"/>
    <mergeCell ref="B64:M64"/>
    <mergeCell ref="B65:M65"/>
    <mergeCell ref="B66:L66"/>
    <mergeCell ref="B67:L67"/>
    <mergeCell ref="B68:M68"/>
    <mergeCell ref="B69:M69"/>
    <mergeCell ref="B54:M54"/>
    <mergeCell ref="B55:M55"/>
    <mergeCell ref="B56:M56"/>
    <mergeCell ref="B61:M61"/>
    <mergeCell ref="B62:M62"/>
    <mergeCell ref="B57:M57"/>
    <mergeCell ref="B58:M58"/>
    <mergeCell ref="B59:M59"/>
    <mergeCell ref="B60:M60"/>
    <mergeCell ref="B52:M52"/>
    <mergeCell ref="B53:M53"/>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Rural" xr:uid="{18959EBE-F526-4518-BBA3-7D7818229665}"/>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950D-D658-4F52-8DAE-19A4DD06BA32}">
  <dimension ref="A1:CS66"/>
  <sheetViews>
    <sheetView topLeftCell="A16" workbookViewId="0">
      <selection activeCell="B8" sqref="B8"/>
    </sheetView>
  </sheetViews>
  <sheetFormatPr defaultColWidth="9.109375" defaultRowHeight="14.4" x14ac:dyDescent="0.3"/>
  <cols>
    <col min="1" max="1" width="2.33203125" style="52" bestFit="1" customWidth="1"/>
    <col min="2" max="2" width="41" style="52" customWidth="1"/>
    <col min="3" max="12" width="9.109375" style="52" customWidth="1"/>
    <col min="13" max="97" width="9.109375" style="52"/>
    <col min="98" max="16384" width="9.109375" style="85"/>
  </cols>
  <sheetData>
    <row r="1" spans="2:12" ht="15" thickBot="1" x14ac:dyDescent="0.35">
      <c r="B1" s="75" t="s">
        <v>262</v>
      </c>
    </row>
    <row r="2" spans="2:12" ht="15" thickBot="1" x14ac:dyDescent="0.35">
      <c r="B2" s="74" t="s">
        <v>197</v>
      </c>
      <c r="C2" s="177" t="s">
        <v>261</v>
      </c>
      <c r="D2" s="192"/>
      <c r="E2" s="192"/>
      <c r="F2" s="192"/>
      <c r="G2" s="192"/>
      <c r="H2" s="192"/>
      <c r="I2" s="192"/>
      <c r="J2" s="192"/>
      <c r="K2" s="192"/>
      <c r="L2" s="193"/>
    </row>
    <row r="3" spans="2:12" x14ac:dyDescent="0.3">
      <c r="B3" s="180"/>
      <c r="C3" s="182">
        <v>2015</v>
      </c>
      <c r="D3" s="182">
        <v>2020</v>
      </c>
      <c r="E3" s="182">
        <v>2030</v>
      </c>
      <c r="F3" s="182">
        <v>2050</v>
      </c>
      <c r="G3" s="184" t="s">
        <v>195</v>
      </c>
      <c r="H3" s="185"/>
      <c r="I3" s="184" t="s">
        <v>194</v>
      </c>
      <c r="J3" s="185"/>
      <c r="K3" s="182" t="s">
        <v>193</v>
      </c>
      <c r="L3" s="182" t="s">
        <v>192</v>
      </c>
    </row>
    <row r="4" spans="2:12" ht="15" thickBot="1" x14ac:dyDescent="0.35">
      <c r="B4" s="181"/>
      <c r="C4" s="183"/>
      <c r="D4" s="183"/>
      <c r="E4" s="183"/>
      <c r="F4" s="183"/>
      <c r="G4" s="186"/>
      <c r="H4" s="187"/>
      <c r="I4" s="186"/>
      <c r="J4" s="187"/>
      <c r="K4" s="183"/>
      <c r="L4" s="183"/>
    </row>
    <row r="5" spans="2:12" ht="15" thickBot="1" x14ac:dyDescent="0.35">
      <c r="B5" s="62" t="s">
        <v>191</v>
      </c>
      <c r="C5" s="69"/>
      <c r="D5" s="69"/>
      <c r="E5" s="69"/>
      <c r="F5" s="69"/>
      <c r="G5" s="72" t="s">
        <v>190</v>
      </c>
      <c r="H5" s="72" t="s">
        <v>189</v>
      </c>
      <c r="I5" s="72" t="s">
        <v>190</v>
      </c>
      <c r="J5" s="72" t="s">
        <v>189</v>
      </c>
      <c r="K5" s="69"/>
      <c r="L5" s="68"/>
    </row>
    <row r="6" spans="2:12" ht="15" thickBot="1" x14ac:dyDescent="0.35">
      <c r="B6" s="60" t="s">
        <v>248</v>
      </c>
      <c r="C6" s="59">
        <v>3</v>
      </c>
      <c r="D6" s="59">
        <v>3</v>
      </c>
      <c r="E6" s="59">
        <v>3</v>
      </c>
      <c r="F6" s="59">
        <v>3</v>
      </c>
      <c r="G6" s="59">
        <v>3</v>
      </c>
      <c r="H6" s="59">
        <v>3</v>
      </c>
      <c r="I6" s="83">
        <v>2.25</v>
      </c>
      <c r="J6" s="59">
        <v>3</v>
      </c>
      <c r="K6" s="59" t="s">
        <v>143</v>
      </c>
      <c r="L6" s="59">
        <v>1</v>
      </c>
    </row>
    <row r="7" spans="2:12" ht="15" thickBot="1" x14ac:dyDescent="0.35">
      <c r="B7" s="60" t="s">
        <v>247</v>
      </c>
      <c r="C7" s="59">
        <v>1.125</v>
      </c>
      <c r="D7" s="59">
        <v>1.125</v>
      </c>
      <c r="E7" s="59">
        <v>1.125</v>
      </c>
      <c r="F7" s="59">
        <v>1.125</v>
      </c>
      <c r="G7" s="59">
        <v>0.75</v>
      </c>
      <c r="H7" s="59">
        <v>1.5</v>
      </c>
      <c r="I7" s="59">
        <v>0.75</v>
      </c>
      <c r="J7" s="59">
        <v>1.5</v>
      </c>
      <c r="K7" s="59" t="s">
        <v>141</v>
      </c>
      <c r="L7" s="59">
        <v>2</v>
      </c>
    </row>
    <row r="8" spans="2:12" ht="15" thickBot="1" x14ac:dyDescent="0.35">
      <c r="B8" s="60" t="s">
        <v>246</v>
      </c>
      <c r="C8" s="59" t="s">
        <v>156</v>
      </c>
      <c r="D8" s="59" t="s">
        <v>156</v>
      </c>
      <c r="E8" s="59" t="s">
        <v>156</v>
      </c>
      <c r="F8" s="59" t="s">
        <v>156</v>
      </c>
      <c r="G8" s="59" t="s">
        <v>156</v>
      </c>
      <c r="H8" s="59" t="s">
        <v>156</v>
      </c>
      <c r="I8" s="59" t="s">
        <v>156</v>
      </c>
      <c r="J8" s="59" t="s">
        <v>156</v>
      </c>
      <c r="K8" s="59" t="s">
        <v>200</v>
      </c>
      <c r="L8" s="59">
        <v>3</v>
      </c>
    </row>
    <row r="9" spans="2:12" ht="15" thickBot="1" x14ac:dyDescent="0.35">
      <c r="B9" s="60" t="s">
        <v>179</v>
      </c>
      <c r="C9" s="59">
        <v>40</v>
      </c>
      <c r="D9" s="59">
        <v>40</v>
      </c>
      <c r="E9" s="59">
        <v>40</v>
      </c>
      <c r="F9" s="59">
        <v>40</v>
      </c>
      <c r="G9" s="59">
        <v>35</v>
      </c>
      <c r="H9" s="59">
        <v>40</v>
      </c>
      <c r="I9" s="59">
        <v>35</v>
      </c>
      <c r="J9" s="59">
        <v>50</v>
      </c>
      <c r="K9" s="59" t="s">
        <v>139</v>
      </c>
      <c r="L9" s="59" t="s">
        <v>245</v>
      </c>
    </row>
    <row r="10" spans="2:12" ht="15" thickBot="1" x14ac:dyDescent="0.35">
      <c r="B10" s="60" t="s">
        <v>178</v>
      </c>
      <c r="C10" s="64">
        <v>0.48</v>
      </c>
      <c r="D10" s="64">
        <v>0.48</v>
      </c>
      <c r="E10" s="64">
        <v>0.48</v>
      </c>
      <c r="F10" s="64">
        <v>0.48</v>
      </c>
      <c r="G10" s="64">
        <v>0.48</v>
      </c>
      <c r="H10" s="64">
        <v>0.48</v>
      </c>
      <c r="I10" s="87">
        <v>0.432</v>
      </c>
      <c r="J10" s="87">
        <v>0.55199999999999994</v>
      </c>
      <c r="K10" s="59" t="s">
        <v>137</v>
      </c>
      <c r="L10" s="59" t="s">
        <v>243</v>
      </c>
    </row>
    <row r="11" spans="2:12" ht="15" thickBot="1" x14ac:dyDescent="0.35">
      <c r="B11" s="80" t="s">
        <v>242</v>
      </c>
      <c r="C11" s="64">
        <v>0.48</v>
      </c>
      <c r="D11" s="64">
        <v>0.48</v>
      </c>
      <c r="E11" s="64">
        <v>0.48</v>
      </c>
      <c r="F11" s="64">
        <v>0.48</v>
      </c>
      <c r="G11" s="64">
        <v>0.48</v>
      </c>
      <c r="H11" s="64">
        <v>0.48</v>
      </c>
      <c r="I11" s="87">
        <v>0.432</v>
      </c>
      <c r="J11" s="87">
        <v>0.55199999999999994</v>
      </c>
      <c r="K11" s="59" t="s">
        <v>137</v>
      </c>
      <c r="L11" s="59"/>
    </row>
    <row r="12" spans="2:12" ht="15" thickBot="1" x14ac:dyDescent="0.35">
      <c r="B12" s="80" t="s">
        <v>260</v>
      </c>
      <c r="C12" s="64">
        <v>0.48</v>
      </c>
      <c r="D12" s="64">
        <v>0.48</v>
      </c>
      <c r="E12" s="64">
        <v>0.48</v>
      </c>
      <c r="F12" s="64">
        <v>0.48</v>
      </c>
      <c r="G12" s="64">
        <v>0.48</v>
      </c>
      <c r="H12" s="64">
        <v>0.48</v>
      </c>
      <c r="I12" s="87">
        <v>0.432</v>
      </c>
      <c r="J12" s="87">
        <v>0.55199999999999994</v>
      </c>
      <c r="K12" s="59" t="s">
        <v>137</v>
      </c>
      <c r="L12" s="59"/>
    </row>
    <row r="13" spans="2:12" ht="15" thickBot="1" x14ac:dyDescent="0.35">
      <c r="B13" s="80" t="s">
        <v>177</v>
      </c>
      <c r="C13" s="83">
        <v>1</v>
      </c>
      <c r="D13" s="83">
        <v>1</v>
      </c>
      <c r="E13" s="83">
        <v>1</v>
      </c>
      <c r="F13" s="83">
        <v>1</v>
      </c>
      <c r="G13" s="59">
        <v>1</v>
      </c>
      <c r="H13" s="59">
        <v>2</v>
      </c>
      <c r="I13" s="59">
        <v>1</v>
      </c>
      <c r="J13" s="59">
        <v>2</v>
      </c>
      <c r="K13" s="59"/>
      <c r="L13" s="59">
        <v>5</v>
      </c>
    </row>
    <row r="14" spans="2:12" ht="15" thickBot="1" x14ac:dyDescent="0.35">
      <c r="B14" s="60"/>
      <c r="C14" s="59"/>
      <c r="D14" s="59"/>
      <c r="E14" s="59"/>
      <c r="F14" s="59"/>
      <c r="G14" s="59"/>
      <c r="H14" s="59"/>
      <c r="I14" s="59"/>
      <c r="J14" s="59"/>
      <c r="K14" s="59"/>
      <c r="L14" s="59"/>
    </row>
    <row r="15" spans="2:12" ht="15" thickBot="1" x14ac:dyDescent="0.35">
      <c r="B15" s="62" t="s">
        <v>176</v>
      </c>
      <c r="C15" s="69"/>
      <c r="D15" s="69"/>
      <c r="E15" s="69"/>
      <c r="F15" s="69"/>
      <c r="G15" s="69"/>
      <c r="H15" s="69"/>
      <c r="I15" s="69"/>
      <c r="J15" s="69"/>
      <c r="K15" s="69"/>
      <c r="L15" s="68"/>
    </row>
    <row r="16" spans="2:12" ht="15" thickBot="1" x14ac:dyDescent="0.35">
      <c r="B16" s="80" t="s">
        <v>259</v>
      </c>
      <c r="C16" s="65">
        <v>385</v>
      </c>
      <c r="D16" s="65">
        <v>385</v>
      </c>
      <c r="E16" s="65">
        <v>385</v>
      </c>
      <c r="F16" s="65">
        <v>385</v>
      </c>
      <c r="G16" s="65">
        <v>346.5</v>
      </c>
      <c r="H16" s="59">
        <v>385</v>
      </c>
      <c r="I16" s="65">
        <v>311.85000000000002</v>
      </c>
      <c r="J16" s="65">
        <v>487.02499999999998</v>
      </c>
      <c r="K16" s="59" t="s">
        <v>239</v>
      </c>
      <c r="L16" s="59" t="s">
        <v>238</v>
      </c>
    </row>
    <row r="17" spans="2:12" ht="15" thickBot="1" x14ac:dyDescent="0.35">
      <c r="B17" s="80" t="s">
        <v>237</v>
      </c>
      <c r="C17" s="59">
        <v>1436</v>
      </c>
      <c r="D17" s="59">
        <v>1436</v>
      </c>
      <c r="E17" s="59">
        <v>1436</v>
      </c>
      <c r="F17" s="59">
        <v>1436</v>
      </c>
      <c r="G17" s="65">
        <v>1292.4000000000001</v>
      </c>
      <c r="H17" s="59">
        <v>1436</v>
      </c>
      <c r="I17" s="65">
        <v>1163.1600000000001</v>
      </c>
      <c r="J17" s="59">
        <v>1436</v>
      </c>
      <c r="K17" s="59" t="s">
        <v>233</v>
      </c>
      <c r="L17" s="59">
        <v>6</v>
      </c>
    </row>
    <row r="18" spans="2:12" ht="15" thickBot="1" x14ac:dyDescent="0.35">
      <c r="B18" s="80" t="s">
        <v>236</v>
      </c>
      <c r="C18" s="59">
        <v>4031</v>
      </c>
      <c r="D18" s="59">
        <v>4031</v>
      </c>
      <c r="E18" s="59">
        <v>4031</v>
      </c>
      <c r="F18" s="59">
        <v>4031</v>
      </c>
      <c r="G18" s="65">
        <v>3627.9</v>
      </c>
      <c r="H18" s="59">
        <v>4031</v>
      </c>
      <c r="I18" s="65">
        <v>3265.11</v>
      </c>
      <c r="J18" s="59">
        <v>4031</v>
      </c>
      <c r="K18" s="59" t="s">
        <v>233</v>
      </c>
      <c r="L18" s="59">
        <v>6</v>
      </c>
    </row>
    <row r="19" spans="2:12" ht="15" thickBot="1" x14ac:dyDescent="0.35">
      <c r="B19" s="80" t="s">
        <v>235</v>
      </c>
      <c r="C19" s="59">
        <v>4243</v>
      </c>
      <c r="D19" s="59">
        <v>4243</v>
      </c>
      <c r="E19" s="59">
        <v>4243</v>
      </c>
      <c r="F19" s="59">
        <v>4243</v>
      </c>
      <c r="G19" s="65">
        <v>3818.7000000000003</v>
      </c>
      <c r="H19" s="59">
        <v>4243</v>
      </c>
      <c r="I19" s="65">
        <v>3436.8300000000004</v>
      </c>
      <c r="J19" s="59">
        <v>4243</v>
      </c>
      <c r="K19" s="59" t="s">
        <v>233</v>
      </c>
      <c r="L19" s="59">
        <v>6</v>
      </c>
    </row>
    <row r="20" spans="2:12" ht="15" thickBot="1" x14ac:dyDescent="0.35">
      <c r="B20" s="80" t="s">
        <v>258</v>
      </c>
      <c r="C20" s="59">
        <v>9066</v>
      </c>
      <c r="D20" s="59">
        <v>9066</v>
      </c>
      <c r="E20" s="59">
        <v>9066</v>
      </c>
      <c r="F20" s="59">
        <v>9066</v>
      </c>
      <c r="G20" s="65">
        <v>8159.4000000000005</v>
      </c>
      <c r="H20" s="59">
        <v>9066</v>
      </c>
      <c r="I20" s="65">
        <v>7343.4600000000009</v>
      </c>
      <c r="J20" s="59">
        <v>9066</v>
      </c>
      <c r="K20" s="59" t="s">
        <v>233</v>
      </c>
      <c r="L20" s="59">
        <v>6</v>
      </c>
    </row>
    <row r="21" spans="2:12" ht="15" thickBot="1" x14ac:dyDescent="0.35">
      <c r="B21" s="80" t="s">
        <v>232</v>
      </c>
      <c r="C21" s="59" t="s">
        <v>156</v>
      </c>
      <c r="D21" s="59" t="s">
        <v>156</v>
      </c>
      <c r="E21" s="59" t="s">
        <v>156</v>
      </c>
      <c r="F21" s="59" t="s">
        <v>156</v>
      </c>
      <c r="G21" s="59" t="s">
        <v>156</v>
      </c>
      <c r="H21" s="59" t="s">
        <v>156</v>
      </c>
      <c r="I21" s="59" t="s">
        <v>156</v>
      </c>
      <c r="J21" s="59" t="s">
        <v>156</v>
      </c>
      <c r="K21" s="59" t="s">
        <v>225</v>
      </c>
      <c r="L21" s="59"/>
    </row>
    <row r="22" spans="2:12" ht="15" thickBot="1" x14ac:dyDescent="0.35">
      <c r="B22" s="80" t="s">
        <v>231</v>
      </c>
      <c r="C22" s="59" t="s">
        <v>156</v>
      </c>
      <c r="D22" s="59" t="s">
        <v>156</v>
      </c>
      <c r="E22" s="59" t="s">
        <v>156</v>
      </c>
      <c r="F22" s="59" t="s">
        <v>156</v>
      </c>
      <c r="G22" s="59" t="s">
        <v>156</v>
      </c>
      <c r="H22" s="59" t="s">
        <v>156</v>
      </c>
      <c r="I22" s="59" t="s">
        <v>156</v>
      </c>
      <c r="J22" s="59" t="s">
        <v>156</v>
      </c>
      <c r="K22" s="59" t="s">
        <v>225</v>
      </c>
      <c r="L22" s="59"/>
    </row>
    <row r="23" spans="2:12" ht="15" thickBot="1" x14ac:dyDescent="0.35">
      <c r="B23" s="80" t="s">
        <v>230</v>
      </c>
      <c r="C23" s="59" t="s">
        <v>156</v>
      </c>
      <c r="D23" s="59" t="s">
        <v>156</v>
      </c>
      <c r="E23" s="59" t="s">
        <v>156</v>
      </c>
      <c r="F23" s="59" t="s">
        <v>156</v>
      </c>
      <c r="G23" s="59" t="s">
        <v>156</v>
      </c>
      <c r="H23" s="59" t="s">
        <v>156</v>
      </c>
      <c r="I23" s="59" t="s">
        <v>156</v>
      </c>
      <c r="J23" s="59" t="s">
        <v>156</v>
      </c>
      <c r="K23" s="59" t="s">
        <v>225</v>
      </c>
      <c r="L23" s="59">
        <v>6</v>
      </c>
    </row>
    <row r="24" spans="2:12" ht="15" thickBot="1" x14ac:dyDescent="0.35">
      <c r="B24" s="80" t="s">
        <v>229</v>
      </c>
      <c r="C24" s="59">
        <v>75</v>
      </c>
      <c r="D24" s="59">
        <v>75</v>
      </c>
      <c r="E24" s="59">
        <v>75</v>
      </c>
      <c r="F24" s="59">
        <v>75</v>
      </c>
      <c r="G24" s="59">
        <v>65</v>
      </c>
      <c r="H24" s="59">
        <v>75</v>
      </c>
      <c r="I24" s="65">
        <v>58.5</v>
      </c>
      <c r="J24" s="59">
        <v>75</v>
      </c>
      <c r="K24" s="59" t="s">
        <v>225</v>
      </c>
      <c r="L24" s="59">
        <v>6</v>
      </c>
    </row>
    <row r="25" spans="2:12" ht="15" thickBot="1" x14ac:dyDescent="0.35">
      <c r="B25" s="80" t="s">
        <v>228</v>
      </c>
      <c r="C25" s="59">
        <v>80</v>
      </c>
      <c r="D25" s="59">
        <v>80</v>
      </c>
      <c r="E25" s="59">
        <v>80</v>
      </c>
      <c r="F25" s="59">
        <v>80</v>
      </c>
      <c r="G25" s="59">
        <v>70</v>
      </c>
      <c r="H25" s="59">
        <v>80</v>
      </c>
      <c r="I25" s="65">
        <v>63</v>
      </c>
      <c r="J25" s="59">
        <v>80</v>
      </c>
      <c r="K25" s="59" t="s">
        <v>225</v>
      </c>
      <c r="L25" s="59">
        <v>6</v>
      </c>
    </row>
    <row r="26" spans="2:12" ht="15" thickBot="1" x14ac:dyDescent="0.35">
      <c r="B26" s="80" t="s">
        <v>227</v>
      </c>
      <c r="C26" s="59">
        <v>128</v>
      </c>
      <c r="D26" s="59">
        <v>128</v>
      </c>
      <c r="E26" s="59">
        <v>128</v>
      </c>
      <c r="F26" s="59">
        <v>128</v>
      </c>
      <c r="G26" s="59">
        <v>118</v>
      </c>
      <c r="H26" s="59">
        <v>128</v>
      </c>
      <c r="I26" s="65">
        <v>106.2</v>
      </c>
      <c r="J26" s="59">
        <v>128</v>
      </c>
      <c r="K26" s="59" t="s">
        <v>225</v>
      </c>
      <c r="L26" s="59">
        <v>6</v>
      </c>
    </row>
    <row r="27" spans="2:12" ht="15" thickBot="1" x14ac:dyDescent="0.35">
      <c r="B27" s="80" t="s">
        <v>226</v>
      </c>
      <c r="C27" s="59" t="s">
        <v>156</v>
      </c>
      <c r="D27" s="59" t="s">
        <v>156</v>
      </c>
      <c r="E27" s="59" t="s">
        <v>156</v>
      </c>
      <c r="F27" s="59" t="s">
        <v>156</v>
      </c>
      <c r="G27" s="59" t="s">
        <v>156</v>
      </c>
      <c r="H27" s="59" t="s">
        <v>156</v>
      </c>
      <c r="I27" s="59" t="s">
        <v>156</v>
      </c>
      <c r="J27" s="59" t="s">
        <v>156</v>
      </c>
      <c r="K27" s="59" t="s">
        <v>225</v>
      </c>
      <c r="L27" s="59"/>
    </row>
    <row r="28" spans="2:12" ht="15" thickBot="1" x14ac:dyDescent="0.35">
      <c r="B28" s="80" t="s">
        <v>224</v>
      </c>
      <c r="C28" s="59">
        <v>11500</v>
      </c>
      <c r="D28" s="59">
        <v>11500</v>
      </c>
      <c r="E28" s="59">
        <v>11500</v>
      </c>
      <c r="F28" s="59">
        <v>11500</v>
      </c>
      <c r="G28" s="65">
        <v>10994</v>
      </c>
      <c r="H28" s="59">
        <v>11500</v>
      </c>
      <c r="I28" s="65">
        <v>10510.263999999999</v>
      </c>
      <c r="J28" s="59">
        <v>11500</v>
      </c>
      <c r="K28" s="59" t="s">
        <v>223</v>
      </c>
      <c r="L28" s="59">
        <v>6</v>
      </c>
    </row>
    <row r="29" spans="2:12" ht="15" thickBot="1" x14ac:dyDescent="0.35">
      <c r="B29" s="80" t="s">
        <v>164</v>
      </c>
      <c r="C29" s="59">
        <v>38000</v>
      </c>
      <c r="D29" s="59">
        <v>38000</v>
      </c>
      <c r="E29" s="59">
        <v>38000</v>
      </c>
      <c r="F29" s="59">
        <v>38000</v>
      </c>
      <c r="G29" s="59">
        <v>36328</v>
      </c>
      <c r="H29" s="59">
        <v>38000</v>
      </c>
      <c r="I29" s="65">
        <v>34729.567999999999</v>
      </c>
      <c r="J29" s="59">
        <v>38000</v>
      </c>
      <c r="K29" s="59" t="s">
        <v>125</v>
      </c>
      <c r="L29" s="59">
        <v>6</v>
      </c>
    </row>
    <row r="30" spans="2:12" ht="15" thickBot="1" x14ac:dyDescent="0.35">
      <c r="B30" s="80" t="s">
        <v>162</v>
      </c>
      <c r="C30" s="59" t="s">
        <v>156</v>
      </c>
      <c r="D30" s="59" t="s">
        <v>156</v>
      </c>
      <c r="E30" s="59" t="s">
        <v>156</v>
      </c>
      <c r="F30" s="59" t="s">
        <v>156</v>
      </c>
      <c r="G30" s="59" t="s">
        <v>156</v>
      </c>
      <c r="H30" s="59" t="s">
        <v>156</v>
      </c>
      <c r="I30" s="59" t="s">
        <v>156</v>
      </c>
      <c r="J30" s="59" t="s">
        <v>156</v>
      </c>
      <c r="K30" s="59"/>
      <c r="L30" s="59"/>
    </row>
    <row r="31" spans="2:12" ht="15" thickBot="1" x14ac:dyDescent="0.35">
      <c r="B31" s="80" t="s">
        <v>222</v>
      </c>
      <c r="C31" s="64">
        <v>0.8</v>
      </c>
      <c r="D31" s="64">
        <v>0.8</v>
      </c>
      <c r="E31" s="64">
        <v>0.8</v>
      </c>
      <c r="F31" s="64">
        <v>0.8</v>
      </c>
      <c r="G31" s="64">
        <v>0.78</v>
      </c>
      <c r="H31" s="64">
        <v>0.8</v>
      </c>
      <c r="I31" s="64">
        <v>0.78</v>
      </c>
      <c r="J31" s="64">
        <v>0.8</v>
      </c>
      <c r="K31" s="59" t="s">
        <v>123</v>
      </c>
      <c r="L31" s="59">
        <v>6</v>
      </c>
    </row>
    <row r="32" spans="2:12" ht="15" thickBot="1" x14ac:dyDescent="0.35">
      <c r="B32" s="80" t="s">
        <v>221</v>
      </c>
      <c r="C32" s="64">
        <v>0.2</v>
      </c>
      <c r="D32" s="64">
        <v>0.2</v>
      </c>
      <c r="E32" s="64">
        <v>0.2</v>
      </c>
      <c r="F32" s="64">
        <v>0.2</v>
      </c>
      <c r="G32" s="64">
        <v>0.22</v>
      </c>
      <c r="H32" s="64">
        <v>0.2</v>
      </c>
      <c r="I32" s="64">
        <v>0.22</v>
      </c>
      <c r="J32" s="64">
        <v>0.2</v>
      </c>
      <c r="K32" s="59" t="s">
        <v>123</v>
      </c>
      <c r="L32" s="59">
        <v>6</v>
      </c>
    </row>
    <row r="33" spans="1:12" ht="15" thickBot="1" x14ac:dyDescent="0.35">
      <c r="B33" s="80" t="s">
        <v>220</v>
      </c>
      <c r="C33" s="64">
        <v>0.14000000000000001</v>
      </c>
      <c r="D33" s="64">
        <v>0.14000000000000001</v>
      </c>
      <c r="E33" s="64">
        <v>0.14000000000000001</v>
      </c>
      <c r="F33" s="64">
        <v>0.14000000000000001</v>
      </c>
      <c r="G33" s="64">
        <v>0.13</v>
      </c>
      <c r="H33" s="64">
        <v>0.14000000000000001</v>
      </c>
      <c r="I33" s="64">
        <v>0.13</v>
      </c>
      <c r="J33" s="64">
        <v>0.14000000000000001</v>
      </c>
      <c r="K33" s="59" t="s">
        <v>123</v>
      </c>
      <c r="L33" s="59">
        <v>6</v>
      </c>
    </row>
    <row r="34" spans="1:12" ht="15" thickBot="1" x14ac:dyDescent="0.35">
      <c r="B34" s="80" t="s">
        <v>219</v>
      </c>
      <c r="C34" s="64">
        <v>0.86</v>
      </c>
      <c r="D34" s="64">
        <v>0.86</v>
      </c>
      <c r="E34" s="64">
        <v>0.86</v>
      </c>
      <c r="F34" s="64">
        <v>0.86</v>
      </c>
      <c r="G34" s="64">
        <v>0.87</v>
      </c>
      <c r="H34" s="64">
        <v>0.86</v>
      </c>
      <c r="I34" s="64">
        <v>0.87</v>
      </c>
      <c r="J34" s="64">
        <v>0.86</v>
      </c>
      <c r="K34" s="59" t="s">
        <v>123</v>
      </c>
      <c r="L34" s="59">
        <v>6</v>
      </c>
    </row>
    <row r="35" spans="1:12" ht="15" thickBot="1" x14ac:dyDescent="0.35">
      <c r="B35" s="80" t="s">
        <v>218</v>
      </c>
      <c r="C35" s="65">
        <v>2681.338709677419</v>
      </c>
      <c r="D35" s="65">
        <v>2643.7999677419352</v>
      </c>
      <c r="E35" s="65">
        <v>2606.7867681935481</v>
      </c>
      <c r="F35" s="65">
        <v>2570.2917534388384</v>
      </c>
      <c r="G35" s="65">
        <v>2633.0746129032254</v>
      </c>
      <c r="H35" s="65">
        <v>2681.338709677419</v>
      </c>
      <c r="I35" s="65">
        <v>2539.1370430132902</v>
      </c>
      <c r="J35" s="65">
        <v>2681.338709677419</v>
      </c>
      <c r="K35" s="59" t="s">
        <v>121</v>
      </c>
      <c r="L35" s="59">
        <v>7</v>
      </c>
    </row>
    <row r="36" spans="1:12" ht="15" thickBot="1" x14ac:dyDescent="0.35">
      <c r="B36" s="80" t="s">
        <v>217</v>
      </c>
      <c r="C36" s="59" t="s">
        <v>156</v>
      </c>
      <c r="D36" s="59" t="s">
        <v>156</v>
      </c>
      <c r="E36" s="59" t="s">
        <v>156</v>
      </c>
      <c r="F36" s="59" t="s">
        <v>156</v>
      </c>
      <c r="G36" s="59" t="s">
        <v>156</v>
      </c>
      <c r="H36" s="59" t="s">
        <v>156</v>
      </c>
      <c r="I36" s="59" t="s">
        <v>156</v>
      </c>
      <c r="J36" s="59" t="s">
        <v>156</v>
      </c>
      <c r="K36" s="59" t="s">
        <v>119</v>
      </c>
      <c r="L36" s="59"/>
    </row>
    <row r="37" spans="1:12" ht="15" thickBot="1" x14ac:dyDescent="0.35">
      <c r="B37" s="61"/>
      <c r="C37" s="59"/>
      <c r="D37" s="59"/>
      <c r="E37" s="59"/>
      <c r="F37" s="59"/>
      <c r="G37" s="59"/>
      <c r="H37" s="59"/>
      <c r="I37" s="59"/>
      <c r="J37" s="59"/>
      <c r="K37" s="59"/>
      <c r="L37" s="59"/>
    </row>
    <row r="38" spans="1:12" ht="15" thickBot="1" x14ac:dyDescent="0.35">
      <c r="B38" s="62" t="s">
        <v>155</v>
      </c>
      <c r="C38" s="59"/>
      <c r="D38" s="59"/>
      <c r="E38" s="59"/>
      <c r="F38" s="59"/>
      <c r="G38" s="59"/>
      <c r="H38" s="59"/>
      <c r="I38" s="59"/>
      <c r="J38" s="59"/>
      <c r="K38" s="59"/>
      <c r="L38" s="59"/>
    </row>
    <row r="39" spans="1:12" ht="15" thickBot="1" x14ac:dyDescent="0.35">
      <c r="B39" s="61"/>
      <c r="C39" s="59"/>
      <c r="D39" s="59"/>
      <c r="E39" s="59"/>
      <c r="F39" s="59"/>
      <c r="G39" s="59"/>
      <c r="H39" s="59"/>
      <c r="I39" s="59"/>
      <c r="J39" s="59"/>
      <c r="K39" s="59"/>
      <c r="L39" s="59"/>
    </row>
    <row r="40" spans="1:12" ht="15" thickBot="1" x14ac:dyDescent="0.35">
      <c r="B40" s="60"/>
      <c r="C40" s="59"/>
      <c r="D40" s="59"/>
      <c r="E40" s="59"/>
      <c r="F40" s="59"/>
      <c r="G40" s="59"/>
      <c r="H40" s="59"/>
      <c r="I40" s="59"/>
      <c r="J40" s="59"/>
      <c r="K40" s="59"/>
      <c r="L40" s="59"/>
    </row>
    <row r="41" spans="1:12" x14ac:dyDescent="0.3">
      <c r="B41" s="58"/>
      <c r="C41" s="57"/>
      <c r="D41" s="57"/>
      <c r="E41" s="57"/>
      <c r="F41" s="57"/>
      <c r="G41" s="57"/>
      <c r="H41" s="57"/>
      <c r="I41" s="57"/>
      <c r="J41" s="57"/>
      <c r="K41" s="57"/>
      <c r="L41" s="57"/>
    </row>
    <row r="42" spans="1:12" x14ac:dyDescent="0.3">
      <c r="B42" s="55" t="s">
        <v>154</v>
      </c>
    </row>
    <row r="43" spans="1:12" x14ac:dyDescent="0.3">
      <c r="A43" s="53">
        <v>1</v>
      </c>
      <c r="B43" s="56" t="s">
        <v>216</v>
      </c>
    </row>
    <row r="44" spans="1:12" x14ac:dyDescent="0.3">
      <c r="A44" s="53">
        <v>2</v>
      </c>
      <c r="B44" s="56" t="s">
        <v>215</v>
      </c>
    </row>
    <row r="45" spans="1:12" x14ac:dyDescent="0.3">
      <c r="A45" s="53">
        <v>3</v>
      </c>
      <c r="B45" s="56" t="s">
        <v>150</v>
      </c>
    </row>
    <row r="46" spans="1:12" x14ac:dyDescent="0.3">
      <c r="A46" s="53">
        <v>4</v>
      </c>
      <c r="B46" s="56" t="s">
        <v>214</v>
      </c>
    </row>
    <row r="47" spans="1:12" x14ac:dyDescent="0.3">
      <c r="A47" s="53">
        <v>5</v>
      </c>
      <c r="B47" s="56" t="s">
        <v>213</v>
      </c>
    </row>
    <row r="48" spans="1:12" x14ac:dyDescent="0.3">
      <c r="A48" s="53">
        <v>6</v>
      </c>
      <c r="B48" s="56" t="s">
        <v>148</v>
      </c>
    </row>
    <row r="49" spans="1:97" x14ac:dyDescent="0.3">
      <c r="A49" s="53">
        <v>7</v>
      </c>
      <c r="B49" s="56" t="s">
        <v>145</v>
      </c>
    </row>
    <row r="51" spans="1:97" x14ac:dyDescent="0.3">
      <c r="B51" s="55" t="s">
        <v>144</v>
      </c>
      <c r="C51" s="54"/>
      <c r="D51" s="54"/>
      <c r="E51" s="54"/>
      <c r="F51" s="54"/>
      <c r="G51" s="54"/>
      <c r="H51" s="54"/>
      <c r="I51" s="54"/>
      <c r="J51" s="54"/>
      <c r="K51" s="54"/>
      <c r="L51" s="54"/>
      <c r="M51" s="54"/>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24.75" customHeight="1" x14ac:dyDescent="0.3">
      <c r="A52" s="53" t="s">
        <v>143</v>
      </c>
      <c r="B52" s="188" t="s">
        <v>212</v>
      </c>
      <c r="C52" s="188"/>
      <c r="D52" s="188"/>
      <c r="E52" s="188"/>
      <c r="F52" s="188"/>
      <c r="G52" s="188"/>
      <c r="H52" s="188"/>
      <c r="I52" s="188"/>
      <c r="J52" s="188"/>
      <c r="K52" s="188"/>
      <c r="L52" s="188"/>
      <c r="M52" s="188"/>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24.75" customHeight="1" x14ac:dyDescent="0.3">
      <c r="A53" s="53" t="s">
        <v>141</v>
      </c>
      <c r="B53" s="191" t="s">
        <v>211</v>
      </c>
      <c r="C53" s="191"/>
      <c r="D53" s="191"/>
      <c r="E53" s="191"/>
      <c r="F53" s="191"/>
      <c r="G53" s="191"/>
      <c r="H53" s="191"/>
      <c r="I53" s="191"/>
      <c r="J53" s="191"/>
      <c r="K53" s="191"/>
      <c r="L53" s="191"/>
      <c r="M53" s="191"/>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24.75" customHeight="1" x14ac:dyDescent="0.3">
      <c r="A54" s="53" t="s">
        <v>139</v>
      </c>
      <c r="B54" s="191" t="s">
        <v>210</v>
      </c>
      <c r="C54" s="191"/>
      <c r="D54" s="191"/>
      <c r="E54" s="191"/>
      <c r="F54" s="191"/>
      <c r="G54" s="191"/>
      <c r="H54" s="191"/>
      <c r="I54" s="191"/>
      <c r="J54" s="191"/>
      <c r="K54" s="191"/>
      <c r="L54" s="191"/>
      <c r="M54" s="191"/>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39" customHeight="1" x14ac:dyDescent="0.3">
      <c r="A55" s="53" t="s">
        <v>137</v>
      </c>
      <c r="B55" s="191" t="s">
        <v>257</v>
      </c>
      <c r="C55" s="191"/>
      <c r="D55" s="191"/>
      <c r="E55" s="191"/>
      <c r="F55" s="191"/>
      <c r="G55" s="191"/>
      <c r="H55" s="191"/>
      <c r="I55" s="191"/>
      <c r="J55" s="191"/>
      <c r="K55" s="191"/>
      <c r="L55" s="191"/>
      <c r="M55" s="191"/>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73.5" customHeight="1" x14ac:dyDescent="0.3">
      <c r="A56" s="53" t="s">
        <v>135</v>
      </c>
      <c r="B56" s="191" t="s">
        <v>256</v>
      </c>
      <c r="C56" s="194"/>
      <c r="D56" s="194"/>
      <c r="E56" s="194"/>
      <c r="F56" s="194"/>
      <c r="G56" s="194"/>
      <c r="H56" s="194"/>
      <c r="I56" s="194"/>
      <c r="J56" s="194"/>
      <c r="K56" s="194"/>
      <c r="L56" s="194"/>
      <c r="M56" s="194"/>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38.25" customHeight="1" x14ac:dyDescent="0.3">
      <c r="A57" s="53" t="s">
        <v>133</v>
      </c>
      <c r="B57" s="188" t="s">
        <v>255</v>
      </c>
      <c r="C57" s="188"/>
      <c r="D57" s="188"/>
      <c r="E57" s="188"/>
      <c r="F57" s="188"/>
      <c r="G57" s="188"/>
      <c r="H57" s="188"/>
      <c r="I57" s="188"/>
      <c r="J57" s="188"/>
      <c r="K57" s="188"/>
      <c r="L57" s="188"/>
      <c r="M57" s="188"/>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38.25" customHeight="1" x14ac:dyDescent="0.3">
      <c r="A58" s="53" t="s">
        <v>131</v>
      </c>
      <c r="B58" s="191" t="s">
        <v>207</v>
      </c>
      <c r="C58" s="194"/>
      <c r="D58" s="194"/>
      <c r="E58" s="194"/>
      <c r="F58" s="194"/>
      <c r="G58" s="194"/>
      <c r="H58" s="194"/>
      <c r="I58" s="194"/>
      <c r="J58" s="194"/>
      <c r="K58" s="194"/>
      <c r="L58" s="194"/>
      <c r="M58" s="194"/>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49.5" customHeight="1" x14ac:dyDescent="0.3">
      <c r="A59" s="53" t="s">
        <v>129</v>
      </c>
      <c r="B59" s="195" t="s">
        <v>206</v>
      </c>
      <c r="C59" s="195"/>
      <c r="D59" s="195"/>
      <c r="E59" s="195"/>
      <c r="F59" s="195"/>
      <c r="G59" s="195"/>
      <c r="H59" s="195"/>
      <c r="I59" s="195"/>
      <c r="J59" s="195"/>
      <c r="K59" s="195"/>
      <c r="L59" s="195"/>
      <c r="M59" s="195"/>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38.25" customHeight="1" x14ac:dyDescent="0.3">
      <c r="A60" s="53" t="s">
        <v>127</v>
      </c>
      <c r="B60" s="188" t="s">
        <v>254</v>
      </c>
      <c r="C60" s="188"/>
      <c r="D60" s="188"/>
      <c r="E60" s="188"/>
      <c r="F60" s="188"/>
      <c r="G60" s="188"/>
      <c r="H60" s="188"/>
      <c r="I60" s="188"/>
      <c r="J60" s="188"/>
      <c r="K60" s="188"/>
      <c r="L60" s="188"/>
      <c r="M60" s="188"/>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61.5" customHeight="1" x14ac:dyDescent="0.3">
      <c r="A61" s="53" t="s">
        <v>125</v>
      </c>
      <c r="B61" s="191" t="s">
        <v>253</v>
      </c>
      <c r="C61" s="191"/>
      <c r="D61" s="191"/>
      <c r="E61" s="191"/>
      <c r="F61" s="191"/>
      <c r="G61" s="191"/>
      <c r="H61" s="191"/>
      <c r="I61" s="191"/>
      <c r="J61" s="191"/>
      <c r="K61" s="191"/>
      <c r="L61" s="191"/>
      <c r="M61" s="191"/>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39" customHeight="1" x14ac:dyDescent="0.3">
      <c r="A62" s="53" t="s">
        <v>123</v>
      </c>
      <c r="B62" s="191" t="s">
        <v>252</v>
      </c>
      <c r="C62" s="191"/>
      <c r="D62" s="191"/>
      <c r="E62" s="191"/>
      <c r="F62" s="191"/>
      <c r="G62" s="191"/>
      <c r="H62" s="191"/>
      <c r="I62" s="191"/>
      <c r="J62" s="191"/>
      <c r="K62" s="191"/>
      <c r="L62" s="191"/>
      <c r="M62" s="191"/>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37.5" customHeight="1" x14ac:dyDescent="0.3">
      <c r="A63" s="53" t="s">
        <v>121</v>
      </c>
      <c r="B63" s="188" t="s">
        <v>202</v>
      </c>
      <c r="C63" s="188"/>
      <c r="D63" s="188"/>
      <c r="E63" s="188"/>
      <c r="F63" s="188"/>
      <c r="G63" s="188"/>
      <c r="H63" s="188"/>
      <c r="I63" s="188"/>
      <c r="J63" s="188"/>
      <c r="K63" s="188"/>
      <c r="L63" s="188"/>
      <c r="M63" s="188"/>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x14ac:dyDescent="0.3">
      <c r="A64" s="53" t="s">
        <v>119</v>
      </c>
      <c r="B64" s="188" t="s">
        <v>251</v>
      </c>
      <c r="C64" s="189"/>
      <c r="D64" s="189"/>
      <c r="E64" s="189"/>
      <c r="F64" s="189"/>
      <c r="G64" s="189"/>
      <c r="H64" s="189"/>
      <c r="I64" s="189"/>
      <c r="J64" s="189"/>
      <c r="K64" s="189"/>
      <c r="L64" s="189"/>
      <c r="M64" s="189"/>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x14ac:dyDescent="0.3">
      <c r="A65" s="53" t="s">
        <v>200</v>
      </c>
      <c r="B65" s="188" t="s">
        <v>199</v>
      </c>
      <c r="C65" s="189"/>
      <c r="D65" s="189"/>
      <c r="E65" s="189"/>
      <c r="F65" s="189"/>
      <c r="G65" s="189"/>
      <c r="H65" s="189"/>
      <c r="I65" s="189"/>
      <c r="J65" s="189"/>
      <c r="K65" s="189"/>
      <c r="L65" s="189"/>
      <c r="M65" s="189"/>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x14ac:dyDescent="0.3">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sheetData>
  <mergeCells count="24">
    <mergeCell ref="B64:M64"/>
    <mergeCell ref="B65:M65"/>
    <mergeCell ref="B58:M58"/>
    <mergeCell ref="B59:M59"/>
    <mergeCell ref="B60:M60"/>
    <mergeCell ref="B61:M61"/>
    <mergeCell ref="B62:M62"/>
    <mergeCell ref="B63:M63"/>
    <mergeCell ref="B56:M56"/>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s>
  <hyperlinks>
    <hyperlink ref="C2" location="INDEX" display="Energy Transport Electricity Distribution, Suburban" xr:uid="{58F4360F-9ED3-4C87-8885-78E32D59A8E2}"/>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BDBB3F-F31D-4CA6-AE19-98E62E94AB70}"/>
</file>

<file path=customXml/itemProps2.xml><?xml version="1.0" encoding="utf-8"?>
<ds:datastoreItem xmlns:ds="http://schemas.openxmlformats.org/officeDocument/2006/customXml" ds:itemID="{9CD7F90B-D3D0-4B04-A28B-11766C3A3916}"/>
</file>

<file path=customXml/itemProps3.xml><?xml version="1.0" encoding="utf-8"?>
<ds:datastoreItem xmlns:ds="http://schemas.openxmlformats.org/officeDocument/2006/customXml" ds:itemID="{26FB03EA-9B3C-491A-9ECD-C37F4E05ED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21</vt:i4>
      </vt:variant>
    </vt:vector>
  </HeadingPairs>
  <TitlesOfParts>
    <vt:vector size="54" baseType="lpstr">
      <vt:lpstr>LOG</vt:lpstr>
      <vt:lpstr>Intro</vt:lpstr>
      <vt:lpstr>DH</vt:lpstr>
      <vt:lpstr>Power</vt:lpstr>
      <vt:lpstr>Gas</vt:lpstr>
      <vt:lpstr>Index</vt:lpstr>
      <vt:lpstr>111 1 el Main distri50-60kVcabl</vt:lpstr>
      <vt:lpstr>111 2 el distri Rural</vt:lpstr>
      <vt:lpstr>111 3 el distri suburban</vt:lpstr>
      <vt:lpstr>111 4 el distri  city</vt:lpstr>
      <vt:lpstr>111 5 el distri new area</vt:lpstr>
      <vt:lpstr>112 6 gas Main distri line</vt:lpstr>
      <vt:lpstr>112 7 gas  Rural</vt:lpstr>
      <vt:lpstr>112 8 gas  Suburban</vt:lpstr>
      <vt:lpstr>112 9 gas City</vt:lpstr>
      <vt:lpstr>112 1 gas  New area</vt:lpstr>
      <vt:lpstr>113_11 DH transmission</vt:lpstr>
      <vt:lpstr>113_12 DH_Distribu Rural</vt:lpstr>
      <vt:lpstr>113_13 DH_Distribu Suburb</vt:lpstr>
      <vt:lpstr>113_14 DH_Distribu City</vt:lpstr>
      <vt:lpstr>112_15 DH_Distribu New area</vt:lpstr>
      <vt:lpstr>113_16 DH_Distr New area LTDH</vt:lpstr>
      <vt:lpstr>121 co2 pipeline</vt:lpstr>
      <vt:lpstr>122 co2 road transport</vt:lpstr>
      <vt:lpstr>123 co2 ship transport</vt:lpstr>
      <vt:lpstr>co2 terminals</vt:lpstr>
      <vt:lpstr>H2 140</vt:lpstr>
      <vt:lpstr>H2 70</vt:lpstr>
      <vt:lpstr>NH3</vt:lpstr>
      <vt:lpstr>DME</vt:lpstr>
      <vt:lpstr>TOLU</vt:lpstr>
      <vt:lpstr>Road transport</vt:lpstr>
      <vt:lpstr>Ship Transport</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sheet3</vt:lpstr>
      <vt:lpstr>sheet4</vt:lpstr>
      <vt:lpstr>sheet5</vt:lpstr>
      <vt:lpstr>sheet6</vt:lpstr>
      <vt:lpstr>sheet7</vt:lpstr>
      <vt:lpstr>sheet8</vt:lpstr>
      <vt:lpstr>sheet9</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2005-06-03T09:41:13Z</dcterms:created>
  <dcterms:modified xsi:type="dcterms:W3CDTF">2021-09-06T08:49:25Z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10845363140106</vt:r8>
  </property>
  <property fmtid="{D5CDD505-2E9C-101B-9397-08002B2CF9AE}" pid="3" name="ContentTypeId">
    <vt:lpwstr>0x010100391E4ED4D6B5344984C5B5CBC1A28781</vt:lpwstr>
  </property>
</Properties>
</file>