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comments2.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comments6.xml" ContentType="application/vnd.openxmlformats-officedocument.spreadsheetml.comments+xml"/>
  <Override PartName="/xl/comments1.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20.xml" ContentType="application/vnd.openxmlformats-officedocument.spreadsheetml.externalLink+xml"/>
  <Override PartName="/xl/comments3.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C:\TIMES models\TIMES_AZ\"/>
    </mc:Choice>
  </mc:AlternateContent>
  <xr:revisionPtr revIDLastSave="0" documentId="13_ncr:1_{D38B55FB-2394-4D35-BDC1-F5A4A9AFAD17}" xr6:coauthVersionLast="47" xr6:coauthVersionMax="47" xr10:uidLastSave="{00000000-0000-0000-0000-000000000000}"/>
  <bookViews>
    <workbookView xWindow="-108" yWindow="-108" windowWidth="41496" windowHeight="16896" tabRatio="757" firstSheet="2" activeTab="4" xr2:uid="{00000000-000D-0000-FFFF-FFFF00000000}"/>
  </bookViews>
  <sheets>
    <sheet name="LOG" sheetId="236" r:id="rId1"/>
    <sheet name="Intro" sheetId="243" r:id="rId2"/>
    <sheet name="Commodities" sheetId="216" r:id="rId3"/>
    <sheet name="Processes" sheetId="231" r:id="rId4"/>
    <sheet name="MIN-IMP-EXP" sheetId="245" r:id="rId5"/>
    <sheet name="ETS_NETS_Prices" sheetId="242" r:id="rId6"/>
    <sheet name="Refineries" sheetId="246" r:id="rId7"/>
    <sheet name="Emis" sheetId="244" r:id="rId8"/>
    <sheet name="Trade" sheetId="261" r:id="rId9"/>
    <sheet name="Fuel Tech" sheetId="237" r:id="rId10"/>
    <sheet name="Distribution" sheetId="257" r:id="rId11"/>
    <sheet name="2010" sheetId="259" r:id="rId12"/>
    <sheet name="2015" sheetId="260" r:id="rId13"/>
    <sheet name="2019" sheetId="258" r:id="rId14"/>
    <sheet name="3.10" sheetId="256" r:id="rId15"/>
    <sheet name="Data_by_sector" sheetId="262" r:id="rId16"/>
    <sheet name="BiomassCost" sheetId="241" r:id="rId17"/>
    <sheet name="MIN-IMP-EXP_Data" sheetId="235" r:id="rId18"/>
    <sheet name="Refinery_data" sheetId="238" r:id="rId19"/>
    <sheet name="Oil &amp; Gas Data" sheetId="247" r:id="rId20"/>
    <sheet name="Eurostat_EB-2010" sheetId="248" r:id="rId21"/>
    <sheet name="Eurostat_EB-2011" sheetId="249" r:id="rId22"/>
    <sheet name="Eurostat_EB-2012" sheetId="250" r:id="rId23"/>
    <sheet name="Eurostat_EB-2013" sheetId="251" r:id="rId24"/>
    <sheet name="Eurostat_EB-2014" sheetId="252" r:id="rId25"/>
    <sheet name="NETP 2016 (Balmorel)" sheetId="253" r:id="rId26"/>
    <sheet name="Flex4RES fuel prices" sheetId="254" r:id="rId27"/>
    <sheet name="BiomassCost (2)" sheetId="25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0">#REF!,#REF!,#REF!</definedName>
    <definedName name="All_TP" localSheetId="21">#REF!,#REF!,#REF!</definedName>
    <definedName name="All_TP" localSheetId="22">#REF!,#REF!,#REF!</definedName>
    <definedName name="All_TP" localSheetId="23">#REF!,#REF!,#REF!</definedName>
    <definedName name="All_TP">#REF!,#REF!,#REF!</definedName>
    <definedName name="All_US" localSheetId="20">#REF!,#REF!,#REF!</definedName>
    <definedName name="All_US" localSheetId="21">#REF!,#REF!,#REF!</definedName>
    <definedName name="All_US" localSheetId="22">#REF!,#REF!,#REF!</definedName>
    <definedName name="All_US" localSheetId="23">#REF!,#REF!,#REF!</definedName>
    <definedName name="All_US">#REF!,#REF!,#REF!</definedName>
    <definedName name="AnnualProd_1">[1]Plants1!$N$14:$N$1884</definedName>
    <definedName name="BaseYear">[1]Start!$D$22</definedName>
    <definedName name="BiomassLargeCHP" localSheetId="13">[2]TechnologyData!$A$14:$M$41</definedName>
    <definedName name="BiomassLargeCHP">[3]TechnologyData!$A$14:$M$41</definedName>
    <definedName name="body1ea" localSheetId="20">#REF!</definedName>
    <definedName name="body1ea" localSheetId="21">#REF!</definedName>
    <definedName name="body1ea" localSheetId="22">#REF!</definedName>
    <definedName name="body1ea" localSheetId="23">#REF!</definedName>
    <definedName name="body1ea">#REF!</definedName>
    <definedName name="body1eb" localSheetId="20">#REF!</definedName>
    <definedName name="body1eb" localSheetId="21">#REF!</definedName>
    <definedName name="body1eb" localSheetId="22">#REF!</definedName>
    <definedName name="body1eb" localSheetId="23">#REF!</definedName>
    <definedName name="body1eb">#REF!</definedName>
    <definedName name="body1fa" localSheetId="20">#REF!</definedName>
    <definedName name="body1fa" localSheetId="21">#REF!</definedName>
    <definedName name="body1fa" localSheetId="22">#REF!</definedName>
    <definedName name="body1fa" localSheetId="23">#REF!</definedName>
    <definedName name="body1fa">#REF!</definedName>
    <definedName name="body1fb" localSheetId="20">#REF!</definedName>
    <definedName name="body1fb" localSheetId="21">#REF!</definedName>
    <definedName name="body1fb" localSheetId="22">#REF!</definedName>
    <definedName name="body1fb" localSheetId="23">#REF!</definedName>
    <definedName name="body1fb">#REF!</definedName>
    <definedName name="body1ga" localSheetId="20">#REF!</definedName>
    <definedName name="body1ga" localSheetId="21">#REF!</definedName>
    <definedName name="body1ga" localSheetId="22">#REF!</definedName>
    <definedName name="body1ga" localSheetId="23">#REF!</definedName>
    <definedName name="body1ga">#REF!</definedName>
    <definedName name="body1gb" localSheetId="20">#REF!</definedName>
    <definedName name="body1gb" localSheetId="21">#REF!</definedName>
    <definedName name="body1gb" localSheetId="22">#REF!</definedName>
    <definedName name="body1gb" localSheetId="23">#REF!</definedName>
    <definedName name="body1gb">#REF!</definedName>
    <definedName name="body2ea" localSheetId="20">#REF!</definedName>
    <definedName name="body2ea" localSheetId="21">#REF!</definedName>
    <definedName name="body2ea" localSheetId="22">#REF!</definedName>
    <definedName name="body2ea" localSheetId="23">#REF!</definedName>
    <definedName name="body2ea">#REF!</definedName>
    <definedName name="body2eb" localSheetId="20">#REF!</definedName>
    <definedName name="body2eb" localSheetId="21">#REF!</definedName>
    <definedName name="body2eb" localSheetId="22">#REF!</definedName>
    <definedName name="body2eb" localSheetId="23">#REF!</definedName>
    <definedName name="body2eb">#REF!</definedName>
    <definedName name="body2f" localSheetId="20">#REF!</definedName>
    <definedName name="body2f" localSheetId="21">#REF!</definedName>
    <definedName name="body2f" localSheetId="22">#REF!</definedName>
    <definedName name="body2f" localSheetId="23">#REF!</definedName>
    <definedName name="body2f">#REF!</definedName>
    <definedName name="body2fa" localSheetId="20">#REF!</definedName>
    <definedName name="body2fa" localSheetId="21">#REF!</definedName>
    <definedName name="body2fa" localSheetId="22">#REF!</definedName>
    <definedName name="body2fa" localSheetId="23">#REF!</definedName>
    <definedName name="body2fa">#REF!</definedName>
    <definedName name="body2fb" localSheetId="20">#REF!</definedName>
    <definedName name="body2fb" localSheetId="21">#REF!</definedName>
    <definedName name="body2fb" localSheetId="22">#REF!</definedName>
    <definedName name="body2fb" localSheetId="23">#REF!</definedName>
    <definedName name="body2fb">#REF!</definedName>
    <definedName name="body2ga" localSheetId="20">#REF!</definedName>
    <definedName name="body2ga" localSheetId="21">#REF!</definedName>
    <definedName name="body2ga" localSheetId="22">#REF!</definedName>
    <definedName name="body2ga" localSheetId="23">#REF!</definedName>
    <definedName name="body2ga">#REF!</definedName>
    <definedName name="body2gb" localSheetId="20">#REF!</definedName>
    <definedName name="body2gb" localSheetId="21">#REF!</definedName>
    <definedName name="body2gb" localSheetId="22">#REF!</definedName>
    <definedName name="body2gb" localSheetId="23">#REF!</definedName>
    <definedName name="body2gb">#REF!</definedName>
    <definedName name="body3ea" localSheetId="20">#REF!</definedName>
    <definedName name="body3ea" localSheetId="21">#REF!</definedName>
    <definedName name="body3ea" localSheetId="22">#REF!</definedName>
    <definedName name="body3ea" localSheetId="23">#REF!</definedName>
    <definedName name="body3ea">#REF!</definedName>
    <definedName name="body3eb" localSheetId="20">#REF!</definedName>
    <definedName name="body3eb" localSheetId="21">#REF!</definedName>
    <definedName name="body3eb" localSheetId="22">#REF!</definedName>
    <definedName name="body3eb" localSheetId="23">#REF!</definedName>
    <definedName name="body3eb">#REF!</definedName>
    <definedName name="body3fa" localSheetId="20">#REF!</definedName>
    <definedName name="body3fa" localSheetId="21">#REF!</definedName>
    <definedName name="body3fa" localSheetId="22">#REF!</definedName>
    <definedName name="body3fa" localSheetId="23">#REF!</definedName>
    <definedName name="body3fa">#REF!</definedName>
    <definedName name="body3fb" localSheetId="20">#REF!</definedName>
    <definedName name="body3fb" localSheetId="21">#REF!</definedName>
    <definedName name="body3fb" localSheetId="22">#REF!</definedName>
    <definedName name="body3fb" localSheetId="23">#REF!</definedName>
    <definedName name="body3fb">#REF!</definedName>
    <definedName name="body3ga" localSheetId="20">#REF!</definedName>
    <definedName name="body3ga" localSheetId="21">#REF!</definedName>
    <definedName name="body3ga" localSheetId="22">#REF!</definedName>
    <definedName name="body3ga" localSheetId="23">#REF!</definedName>
    <definedName name="body3ga">#REF!</definedName>
    <definedName name="body3gb" localSheetId="20">#REF!</definedName>
    <definedName name="body3gb" localSheetId="21">#REF!</definedName>
    <definedName name="body3gb" localSheetId="22">#REF!</definedName>
    <definedName name="body3gb" localSheetId="23">#REF!</definedName>
    <definedName name="body3gb">#REF!</definedName>
    <definedName name="body4ea" localSheetId="20">#REF!</definedName>
    <definedName name="body4ea" localSheetId="21">#REF!</definedName>
    <definedName name="body4ea" localSheetId="22">#REF!</definedName>
    <definedName name="body4ea" localSheetId="23">#REF!</definedName>
    <definedName name="body4ea">#REF!</definedName>
    <definedName name="body4eb" localSheetId="20">#REF!</definedName>
    <definedName name="body4eb" localSheetId="21">#REF!</definedName>
    <definedName name="body4eb" localSheetId="22">#REF!</definedName>
    <definedName name="body4eb" localSheetId="23">#REF!</definedName>
    <definedName name="body4eb">#REF!</definedName>
    <definedName name="body4f" localSheetId="20">#REF!</definedName>
    <definedName name="body4f" localSheetId="21">#REF!</definedName>
    <definedName name="body4f" localSheetId="22">#REF!</definedName>
    <definedName name="body4f" localSheetId="23">#REF!</definedName>
    <definedName name="body4f">#REF!</definedName>
    <definedName name="body4fa" localSheetId="20">#REF!</definedName>
    <definedName name="body4fa" localSheetId="21">#REF!</definedName>
    <definedName name="body4fa" localSheetId="22">#REF!</definedName>
    <definedName name="body4fa" localSheetId="23">#REF!</definedName>
    <definedName name="body4fa">#REF!</definedName>
    <definedName name="body4fb" localSheetId="20">#REF!</definedName>
    <definedName name="body4fb" localSheetId="21">#REF!</definedName>
    <definedName name="body4fb" localSheetId="22">#REF!</definedName>
    <definedName name="body4fb" localSheetId="23">#REF!</definedName>
    <definedName name="body4fb">#REF!</definedName>
    <definedName name="body4ga" localSheetId="20">#REF!</definedName>
    <definedName name="body4ga" localSheetId="21">#REF!</definedName>
    <definedName name="body4ga" localSheetId="22">#REF!</definedName>
    <definedName name="body4ga" localSheetId="23">#REF!</definedName>
    <definedName name="body4ga">#REF!</definedName>
    <definedName name="body4gb" localSheetId="20">#REF!</definedName>
    <definedName name="body4gb" localSheetId="21">#REF!</definedName>
    <definedName name="body4gb" localSheetId="22">#REF!</definedName>
    <definedName name="body4gb" localSheetId="23">#REF!</definedName>
    <definedName name="body4gb">#REF!</definedName>
    <definedName name="BPslut" localSheetId="13">[2]Plants!$J$2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0">#REF!</definedName>
    <definedName name="countrye" localSheetId="21">#REF!</definedName>
    <definedName name="countrye" localSheetId="22">#REF!</definedName>
    <definedName name="countrye" localSheetId="23">#REF!</definedName>
    <definedName name="countrye">#REF!</definedName>
    <definedName name="countryf" localSheetId="20">#REF!</definedName>
    <definedName name="countryf" localSheetId="21">#REF!</definedName>
    <definedName name="countryf" localSheetId="22">#REF!</definedName>
    <definedName name="countryf" localSheetId="23">#REF!</definedName>
    <definedName name="countryf">#REF!</definedName>
    <definedName name="countryg" localSheetId="20">#REF!</definedName>
    <definedName name="countryg" localSheetId="21">#REF!</definedName>
    <definedName name="countryg" localSheetId="22">#REF!</definedName>
    <definedName name="countryg" localSheetId="23">#REF!</definedName>
    <definedName name="countryg">#REF!</definedName>
    <definedName name="CRF_CountryName">[5]Sheet1!$C$4</definedName>
    <definedName name="dkkPerEUR">'[6]Centrale data'!$C$34</definedName>
    <definedName name="E_waste">#REF!</definedName>
    <definedName name="EFF_3a">#REF!</definedName>
    <definedName name="EFF_3b">#REF!</definedName>
    <definedName name="Eksportstigning" localSheetId="13">[2]Plants!$J$6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3">[2]TechnologyData!$O$72:$AA$99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6">[3]Subsidy!#REF!</definedName>
    <definedName name="ElPriceMix">[3]Subsidy!#REF!</definedName>
    <definedName name="Euro">#REF!</definedName>
    <definedName name="Fastprisår" localSheetId="13">[7]Forside!$B$5</definedName>
    <definedName name="Fastprisår">[8]Forside!$B$5</definedName>
    <definedName name="FID_1" localSheetId="13">[9]AGR_Fuels!$A$2</definedName>
    <definedName name="FID_1" localSheetId="0">[10]AGR_Fuels!$A$2</definedName>
    <definedName name="FID_1">[10]AGR_Fuels!$A$2</definedName>
    <definedName name="FID_2" localSheetId="5">[11]LOG!#REF!</definedName>
    <definedName name="FID_2" localSheetId="6">[12]LOG!#REF!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 localSheetId="6">#REF!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3">[2]TechnologyData!$O$101:$AA$128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6">[3]General!#REF!</definedName>
    <definedName name="Inflation">[3]General!#REF!</definedName>
    <definedName name="LastPSOYear" localSheetId="13">[2]Plants!$H$2</definedName>
    <definedName name="LastPSOYear">[3]Plants!$H$2</definedName>
    <definedName name="LBL_CAT">Data_by_sector!$A$11:$A$18,Data_by_sector!$A$26,Data_by_sector!$A$27,Data_by_sector!$A$35,Data_by_sector!$A$41,Data_by_sector!$A$46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'[11]Mining NGA&amp;CRD'!$N$13:$O$93</definedName>
    <definedName name="MINCRD" comment="Activity bound for DK crude oil production based on projection from DEA." localSheetId="6">#REF!</definedName>
    <definedName name="MINCRD" comment="Activity bound for DK crude oil production based on projection from DEA.">#REF!</definedName>
    <definedName name="MINNGA" comment="Activity bound for DK natural gas  production based on projection from DEA." localSheetId="5">'[11]Mining NGA&amp;CRD'!$P$13:$Q$93</definedName>
    <definedName name="MINNGA" comment="Activity bound for DK natural gas  production based on projection from DEA." localSheetId="6">#REF!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3">[2]TechnologyData!$F$11</definedName>
    <definedName name="Nettarif">[3]TechnologyData!$F$11</definedName>
    <definedName name="NGCC_SmallBP" localSheetId="13">[2]TechnologyData!$A$72:$M$99</definedName>
    <definedName name="NGCC_SmallBP">[3]TechnologyData!$A$72:$M$99</definedName>
    <definedName name="nhydro" localSheetId="13">[2]General!#REF!</definedName>
    <definedName name="nhydro" localSheetId="6">[3]General!#REF!</definedName>
    <definedName name="nhydro">[3]General!#REF!</definedName>
    <definedName name="NyeNGCC" localSheetId="13">[2]Plants!$J$5</definedName>
    <definedName name="NyeNGCC">[3]Plants!$J$5</definedName>
    <definedName name="OffshoreWindPark" localSheetId="13">[2]TechnologyData!$O$43:$AA$70</definedName>
    <definedName name="OffshoreWindPark">[3]TechnologyData!$O$43:$AA$70</definedName>
    <definedName name="OnshoreWindPark" localSheetId="13">[2]TechnologyData!$O$14:$AA$41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_xlnm.Print_Area" localSheetId="20">'Eurostat_EB-2010'!$A$1:$BT$179</definedName>
    <definedName name="_xlnm.Print_Area" localSheetId="21">'Eurostat_EB-2011'!$A$1:$BT$179</definedName>
    <definedName name="_xlnm.Print_Area" localSheetId="22">'Eurostat_EB-2012'!$A$1:$BT$179</definedName>
    <definedName name="_xlnm.Print_Area" localSheetId="23">'Eurostat_EB-2013'!$A$1:$BT$179</definedName>
    <definedName name="_xlnm.Print_Area" localSheetId="24">'Eurostat_EB-2014'!$A$1:$BT$179</definedName>
    <definedName name="_xlnm.Print_Titles" localSheetId="20">'Eurostat_EB-2010'!$A:$F,'Eurostat_EB-2010'!$1:$3</definedName>
    <definedName name="_xlnm.Print_Titles" localSheetId="21">'Eurostat_EB-2011'!$A:$F,'Eurostat_EB-2011'!$1:$3</definedName>
    <definedName name="_xlnm.Print_Titles" localSheetId="22">'Eurostat_EB-2012'!$A:$F,'Eurostat_EB-2012'!$1:$3</definedName>
    <definedName name="_xlnm.Print_Titles" localSheetId="23">'Eurostat_EB-2013'!$A:$F,'Eurostat_EB-2013'!$1:$3</definedName>
    <definedName name="_xlnm.Print_Titles" localSheetId="24">'Eurostat_EB-2014'!$A:$F,'Eurostat_EB-2014'!$1:$3</definedName>
    <definedName name="Prisår_Til_Ramses" localSheetId="6">#REF!</definedName>
    <definedName name="Prisår_Til_Ramses">#REF!</definedName>
    <definedName name="Raggr1">[17]Rækker!$A$4:$A$4</definedName>
    <definedName name="Raggr2">[17]Rækker!$B$4:$B$4</definedName>
    <definedName name="Raggr3">[17]Rækker!$C$4:$C$4</definedName>
    <definedName name="Raggr4" localSheetId="6">#REF!</definedName>
    <definedName name="Raggr4">'MIN-IMP-EXP_Data'!$D$4:$D$4</definedName>
    <definedName name="Raggr5" localSheetId="6">#REF!</definedName>
    <definedName name="Raggr5">'MIN-IMP-EXP_Data'!$E$4:$E$4</definedName>
    <definedName name="Real_interest_rate" localSheetId="13">[18]TechnologyData!$B$37</definedName>
    <definedName name="Real_interest_rate">[19]TechnologyData!$B$37</definedName>
    <definedName name="RefurbishedCoalBioCHP" localSheetId="13">[2]TechnologyData!$A$43:$M$70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3">[2]Plants!$J$4</definedName>
    <definedName name="RenovCKV">[3]Plants!$J$4</definedName>
    <definedName name="RetBE" localSheetId="20">[20]Macro1!#REF!</definedName>
    <definedName name="RetBE" localSheetId="21">[20]Macro1!#REF!</definedName>
    <definedName name="RetBE" localSheetId="22">[20]Macro1!#REF!</definedName>
    <definedName name="RetBE" localSheetId="23">[20]Macro1!#REF!</definedName>
    <definedName name="RetBE">[20]Macro1!#REF!</definedName>
    <definedName name="rSØK">'[6]Centrale data'!$C$32</definedName>
    <definedName name="Saggr1">[17]Søjler!$A$4:$A$7</definedName>
    <definedName name="Saggr2">[17]Søjler!$B$4:$B$7</definedName>
    <definedName name="Saggr3">[17]Søjler!$C$4:$C$7</definedName>
    <definedName name="Saggr4">[17]Søjler!$D$4:$D$7</definedName>
    <definedName name="Saggr5">[17]Søjler!$E$4:$E$7</definedName>
    <definedName name="Saggr6">[17]Søjler!$F$4:$F$7</definedName>
    <definedName name="Saggr7">[17]Søjler!$G$4:$G$7</definedName>
    <definedName name="Saggr8">[17]Søjler!$H$4:$H$7</definedName>
    <definedName name="SECTOR_AAC" localSheetId="15">POWER(Data_by_sector!A1048531/Data_by_sector!XFD1048531, 1/(Data_by_sector!A$1-Data_by_sector!XFD$1))-1</definedName>
    <definedName name="SECTOR_AAC_TOTAL" localSheetId="15">POWER(Data_by_sector!XFD1048531/Data_by_sector!$B1048531, 1/(Data_by_sector!XFD$1-Data_by_sector!$B$1))-1</definedName>
    <definedName name="SECTOR_CHANGE_TOTAL" localSheetId="15">(Data_by_sector!XFD1-Data_by_sector!$B1)/Data_by_sector!$B1</definedName>
    <definedName name="Set_Pa">#REF!</definedName>
    <definedName name="Set_Pb">#REF!</definedName>
    <definedName name="Share_I_UP_3">[21]Tech!#REF!</definedName>
    <definedName name="Share_I_UP_3a">#REF!</definedName>
    <definedName name="Share_I_UP_3b">#REF!</definedName>
    <definedName name="STOCK_HET_3">[21]Tech!#REF!</definedName>
    <definedName name="STOCK_HET_3a">#REF!</definedName>
    <definedName name="STOCK_HET_3b">#REF!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0">#REF!</definedName>
    <definedName name="TP.Electricity_and_RES" localSheetId="21">#REF!</definedName>
    <definedName name="TP.Electricity_and_RES" localSheetId="22">#REF!</definedName>
    <definedName name="TP.Electricity_and_RES" localSheetId="23">#REF!</definedName>
    <definedName name="TP.Electricity_and_RES">#REF!</definedName>
    <definedName name="TP.Petroleum" localSheetId="20">#REF!</definedName>
    <definedName name="TP.Petroleum" localSheetId="21">#REF!</definedName>
    <definedName name="TP.Petroleum" localSheetId="22">#REF!</definedName>
    <definedName name="TP.Petroleum" localSheetId="23">#REF!</definedName>
    <definedName name="TP.Petroleum">#REF!</definedName>
    <definedName name="TP.Solids_and_Gases" localSheetId="20">#REF!</definedName>
    <definedName name="TP.Solids_and_Gases" localSheetId="21">#REF!</definedName>
    <definedName name="TP.Solids_and_Gases" localSheetId="22">#REF!</definedName>
    <definedName name="TP.Solids_and_Gases" localSheetId="23">#REF!</definedName>
    <definedName name="TP.Solids_and_Gases">#REF!</definedName>
    <definedName name="Translate">'[1]Plants Translate 1'!$E$12:$K$55</definedName>
    <definedName name="US.Electricity_and_RES" localSheetId="20">#REF!</definedName>
    <definedName name="US.Electricity_and_RES" localSheetId="21">#REF!</definedName>
    <definedName name="US.Electricity_and_RES" localSheetId="22">#REF!</definedName>
    <definedName name="US.Electricity_and_RES" localSheetId="23">#REF!</definedName>
    <definedName name="US.Electricity_and_RES">#REF!</definedName>
    <definedName name="US.Petroleum" localSheetId="20">#REF!</definedName>
    <definedName name="US.Petroleum" localSheetId="21">#REF!</definedName>
    <definedName name="US.Petroleum" localSheetId="22">#REF!</definedName>
    <definedName name="US.Petroleum" localSheetId="23">#REF!</definedName>
    <definedName name="US.Petroleum">#REF!</definedName>
    <definedName name="US.Solids_and_Gases" localSheetId="20">#REF!</definedName>
    <definedName name="US.Solids_and_Gases" localSheetId="21">#REF!</definedName>
    <definedName name="US.Solids_and_Gases" localSheetId="22">#REF!</definedName>
    <definedName name="US.Solids_and_Gases" localSheetId="23">#REF!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13">[2]TechnologyData!$A$101:$M$129</definedName>
    <definedName name="WasteCHP">[3]TechnologyData!$A$101:$M$129</definedName>
    <definedName name="Wood_SmallBP" localSheetId="13">[2]TechnologyData!$A$131:$M$158</definedName>
    <definedName name="Wood_SmallBP">[3]TechnologyData!$A$131:$M$158</definedName>
    <definedName name="x" localSheetId="2">[22]AGR_Fuels!$A$2</definedName>
    <definedName name="x">[22]AGR_Fuels!$A$2</definedName>
    <definedName name="yeare" localSheetId="20">#REF!</definedName>
    <definedName name="yeare" localSheetId="21">#REF!</definedName>
    <definedName name="yeare" localSheetId="22">#REF!</definedName>
    <definedName name="yeare" localSheetId="23">#REF!</definedName>
    <definedName name="yeare">#REF!</definedName>
    <definedName name="yearf" localSheetId="20">#REF!</definedName>
    <definedName name="yearf" localSheetId="21">#REF!</definedName>
    <definedName name="yearf" localSheetId="22">#REF!</definedName>
    <definedName name="yearf" localSheetId="23">#REF!</definedName>
    <definedName name="yearf">#REF!</definedName>
    <definedName name="yearg" localSheetId="20">#REF!</definedName>
    <definedName name="yearg" localSheetId="21">#REF!</definedName>
    <definedName name="yearg" localSheetId="22">#REF!</definedName>
    <definedName name="yearg" localSheetId="23">#REF!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68" i="245" l="1"/>
  <c r="T77" i="245"/>
  <c r="G10" i="257"/>
  <c r="W10" i="257"/>
  <c r="G47" i="245" l="1"/>
  <c r="H58" i="245"/>
  <c r="I58" i="245"/>
  <c r="J58" i="245"/>
  <c r="K58" i="245"/>
  <c r="L58" i="245"/>
  <c r="M58" i="245"/>
  <c r="N58" i="245"/>
  <c r="O58" i="245"/>
  <c r="P58" i="245"/>
  <c r="Q58" i="245"/>
  <c r="R58" i="245"/>
  <c r="S58" i="245"/>
  <c r="T58" i="245"/>
  <c r="U58" i="245"/>
  <c r="V58" i="245"/>
  <c r="W58" i="245"/>
  <c r="X58" i="245"/>
  <c r="Y58" i="245"/>
  <c r="Z58" i="245"/>
  <c r="AA58" i="245"/>
  <c r="AB58" i="245"/>
  <c r="AC58" i="245"/>
  <c r="AD58" i="245"/>
  <c r="AE58" i="245"/>
  <c r="AF58" i="245"/>
  <c r="AG58" i="245"/>
  <c r="AH58" i="245"/>
  <c r="AI58" i="245"/>
  <c r="AJ58" i="245"/>
  <c r="AK58" i="245"/>
  <c r="AL58" i="245"/>
  <c r="AM58" i="245"/>
  <c r="AN58" i="245"/>
  <c r="AO58" i="245"/>
  <c r="AP58" i="245"/>
  <c r="AQ58" i="245"/>
  <c r="AR58" i="245"/>
  <c r="AS58" i="245"/>
  <c r="AT58" i="245"/>
  <c r="AU58" i="245"/>
  <c r="H59" i="245"/>
  <c r="I59" i="245"/>
  <c r="J59" i="245"/>
  <c r="K59" i="245"/>
  <c r="L59" i="245"/>
  <c r="M59" i="245"/>
  <c r="N59" i="245"/>
  <c r="O59" i="245"/>
  <c r="P59" i="245"/>
  <c r="Q59" i="245"/>
  <c r="R59" i="245"/>
  <c r="S59" i="245"/>
  <c r="T59" i="245"/>
  <c r="U59" i="245"/>
  <c r="V59" i="245"/>
  <c r="W59" i="245"/>
  <c r="X59" i="245"/>
  <c r="Y59" i="245"/>
  <c r="Z59" i="245"/>
  <c r="AA59" i="245"/>
  <c r="AB59" i="245"/>
  <c r="AC59" i="245"/>
  <c r="AD59" i="245"/>
  <c r="AE59" i="245"/>
  <c r="AF59" i="245"/>
  <c r="AG59" i="245"/>
  <c r="AH59" i="245"/>
  <c r="AI59" i="245"/>
  <c r="AJ59" i="245"/>
  <c r="AK59" i="245"/>
  <c r="AL59" i="245"/>
  <c r="AM59" i="245"/>
  <c r="AN59" i="245"/>
  <c r="AO59" i="245"/>
  <c r="AP59" i="245"/>
  <c r="AQ59" i="245"/>
  <c r="AR59" i="245"/>
  <c r="AS59" i="245"/>
  <c r="AT59" i="245"/>
  <c r="AU59" i="245"/>
  <c r="H60" i="245"/>
  <c r="I60" i="245"/>
  <c r="J60" i="245"/>
  <c r="K60" i="245"/>
  <c r="L60" i="245"/>
  <c r="M60" i="245"/>
  <c r="N60" i="245"/>
  <c r="O60" i="245"/>
  <c r="P60" i="245"/>
  <c r="Q60" i="245"/>
  <c r="R60" i="245"/>
  <c r="S60" i="245"/>
  <c r="T60" i="245"/>
  <c r="U60" i="245"/>
  <c r="V60" i="245"/>
  <c r="W60" i="245"/>
  <c r="X60" i="245"/>
  <c r="Y60" i="245"/>
  <c r="Z60" i="245"/>
  <c r="AA60" i="245"/>
  <c r="AB60" i="245"/>
  <c r="AC60" i="245"/>
  <c r="AD60" i="245"/>
  <c r="AE60" i="245"/>
  <c r="AF60" i="245"/>
  <c r="AG60" i="245"/>
  <c r="AH60" i="245"/>
  <c r="AI60" i="245"/>
  <c r="AJ60" i="245"/>
  <c r="AK60" i="245"/>
  <c r="AL60" i="245"/>
  <c r="AM60" i="245"/>
  <c r="AN60" i="245"/>
  <c r="AO60" i="245"/>
  <c r="AP60" i="245"/>
  <c r="AQ60" i="245"/>
  <c r="AR60" i="245"/>
  <c r="AS60" i="245"/>
  <c r="AT60" i="245"/>
  <c r="AU60" i="245"/>
  <c r="H61" i="245"/>
  <c r="I61" i="245"/>
  <c r="J61" i="245"/>
  <c r="K61" i="245"/>
  <c r="L61" i="245"/>
  <c r="M61" i="245"/>
  <c r="N61" i="245"/>
  <c r="O61" i="245"/>
  <c r="P61" i="245"/>
  <c r="Q61" i="245"/>
  <c r="R61" i="245"/>
  <c r="S61" i="245"/>
  <c r="T61" i="245"/>
  <c r="U61" i="245"/>
  <c r="V61" i="245"/>
  <c r="W61" i="245"/>
  <c r="X61" i="245"/>
  <c r="Y61" i="245"/>
  <c r="Z61" i="245"/>
  <c r="AA61" i="245"/>
  <c r="AB61" i="245"/>
  <c r="AC61" i="245"/>
  <c r="AD61" i="245"/>
  <c r="AE61" i="245"/>
  <c r="AF61" i="245"/>
  <c r="AG61" i="245"/>
  <c r="AH61" i="245"/>
  <c r="AI61" i="245"/>
  <c r="AJ61" i="245"/>
  <c r="AK61" i="245"/>
  <c r="AL61" i="245"/>
  <c r="AM61" i="245"/>
  <c r="AN61" i="245"/>
  <c r="AO61" i="245"/>
  <c r="AP61" i="245"/>
  <c r="AQ61" i="245"/>
  <c r="AR61" i="245"/>
  <c r="AS61" i="245"/>
  <c r="AT61" i="245"/>
  <c r="AU61" i="245"/>
  <c r="H62" i="245"/>
  <c r="I62" i="245"/>
  <c r="J62" i="245"/>
  <c r="K62" i="245"/>
  <c r="L62" i="245"/>
  <c r="M62" i="245"/>
  <c r="N62" i="245"/>
  <c r="O62" i="245"/>
  <c r="P62" i="245"/>
  <c r="Q62" i="245"/>
  <c r="R62" i="245"/>
  <c r="S62" i="245"/>
  <c r="T62" i="245"/>
  <c r="U62" i="245"/>
  <c r="V62" i="245"/>
  <c r="W62" i="245"/>
  <c r="X62" i="245"/>
  <c r="Y62" i="245"/>
  <c r="Z62" i="245"/>
  <c r="AA62" i="245"/>
  <c r="AB62" i="245"/>
  <c r="AC62" i="245"/>
  <c r="AD62" i="245"/>
  <c r="AE62" i="245"/>
  <c r="AF62" i="245"/>
  <c r="AG62" i="245"/>
  <c r="AH62" i="245"/>
  <c r="AI62" i="245"/>
  <c r="AJ62" i="245"/>
  <c r="AK62" i="245"/>
  <c r="AL62" i="245"/>
  <c r="AM62" i="245"/>
  <c r="AN62" i="245"/>
  <c r="AO62" i="245"/>
  <c r="AP62" i="245"/>
  <c r="AQ62" i="245"/>
  <c r="AR62" i="245"/>
  <c r="AS62" i="245"/>
  <c r="AT62" i="245"/>
  <c r="AU62" i="245"/>
  <c r="H66" i="245"/>
  <c r="I66" i="245"/>
  <c r="J66" i="245"/>
  <c r="K66" i="245"/>
  <c r="L66" i="245"/>
  <c r="M66" i="245"/>
  <c r="N66" i="245"/>
  <c r="O66" i="245"/>
  <c r="P66" i="245"/>
  <c r="Q66" i="245"/>
  <c r="R66" i="245"/>
  <c r="S66" i="245"/>
  <c r="T66" i="245"/>
  <c r="U66" i="245"/>
  <c r="V66" i="245"/>
  <c r="W66" i="245"/>
  <c r="X66" i="245"/>
  <c r="Y66" i="245"/>
  <c r="Z66" i="245"/>
  <c r="AA66" i="245"/>
  <c r="AB66" i="245"/>
  <c r="AC66" i="245"/>
  <c r="AD66" i="245"/>
  <c r="AE66" i="245"/>
  <c r="AF66" i="245"/>
  <c r="AG66" i="245"/>
  <c r="AH66" i="245"/>
  <c r="AI66" i="245"/>
  <c r="AJ66" i="245"/>
  <c r="AK66" i="245"/>
  <c r="AL66" i="245"/>
  <c r="AM66" i="245"/>
  <c r="AN66" i="245"/>
  <c r="AO66" i="245"/>
  <c r="AP66" i="245"/>
  <c r="AQ66" i="245"/>
  <c r="AR66" i="245"/>
  <c r="AS66" i="245"/>
  <c r="AT66" i="245"/>
  <c r="AU66" i="245"/>
  <c r="H67" i="245"/>
  <c r="I67" i="245"/>
  <c r="J67" i="245"/>
  <c r="K67" i="245"/>
  <c r="L67" i="245"/>
  <c r="M67" i="245"/>
  <c r="N67" i="245"/>
  <c r="O67" i="245"/>
  <c r="P67" i="245"/>
  <c r="Q67" i="245"/>
  <c r="R67" i="245"/>
  <c r="S67" i="245"/>
  <c r="T67" i="245"/>
  <c r="U67" i="245"/>
  <c r="V67" i="245"/>
  <c r="W67" i="245"/>
  <c r="X67" i="245"/>
  <c r="Y67" i="245"/>
  <c r="Z67" i="245"/>
  <c r="AA67" i="245"/>
  <c r="AB67" i="245"/>
  <c r="AC67" i="245"/>
  <c r="AD67" i="245"/>
  <c r="AE67" i="245"/>
  <c r="AF67" i="245"/>
  <c r="AG67" i="245"/>
  <c r="AH67" i="245"/>
  <c r="AI67" i="245"/>
  <c r="AJ67" i="245"/>
  <c r="AK67" i="245"/>
  <c r="AL67" i="245"/>
  <c r="AM67" i="245"/>
  <c r="AN67" i="245"/>
  <c r="AO67" i="245"/>
  <c r="AP67" i="245"/>
  <c r="AQ67" i="245"/>
  <c r="AR67" i="245"/>
  <c r="AS67" i="245"/>
  <c r="AT67" i="245"/>
  <c r="AU67" i="245"/>
  <c r="G67" i="245"/>
  <c r="G66" i="245"/>
  <c r="G62" i="245"/>
  <c r="G61" i="245"/>
  <c r="G60" i="245"/>
  <c r="G59" i="245"/>
  <c r="G58" i="245"/>
  <c r="D188" i="245"/>
  <c r="AB12" i="257"/>
  <c r="H12" i="257" s="1"/>
  <c r="K12" i="257" s="1"/>
  <c r="V10" i="257"/>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4" i="261"/>
  <c r="I13" i="261"/>
  <c r="I12" i="261"/>
  <c r="I11" i="261"/>
  <c r="I10" i="261"/>
  <c r="I9" i="261"/>
  <c r="I8" i="261"/>
  <c r="I7" i="261"/>
  <c r="F47" i="262"/>
  <c r="J47" i="262"/>
  <c r="U47" i="262"/>
  <c r="I47" i="262"/>
  <c r="Z47" i="262"/>
  <c r="E47" i="262"/>
  <c r="Q47" i="262"/>
  <c r="S47" i="262"/>
  <c r="T47" i="262"/>
  <c r="V47" i="262"/>
  <c r="W47" i="262"/>
  <c r="D47" i="262"/>
  <c r="Z1" i="262"/>
  <c r="G47" i="262"/>
  <c r="K47" i="262"/>
  <c r="X47" i="262"/>
  <c r="R47" i="262"/>
  <c r="Y47" i="262"/>
  <c r="M47" i="262"/>
  <c r="O47" i="262"/>
  <c r="N47" i="262"/>
  <c r="P47" i="262"/>
  <c r="L47" i="262"/>
  <c r="H47" i="262"/>
  <c r="C47" i="262"/>
  <c r="C14" i="261" l="1"/>
  <c r="C13" i="261"/>
  <c r="C12" i="261"/>
  <c r="C11" i="261"/>
  <c r="C10" i="261"/>
  <c r="C9" i="261"/>
  <c r="C8" i="261"/>
  <c r="C7" i="261"/>
  <c r="B14" i="261"/>
  <c r="B13" i="261"/>
  <c r="B12" i="261"/>
  <c r="B11" i="261"/>
  <c r="B10" i="261"/>
  <c r="B9" i="261"/>
  <c r="B8" i="261"/>
  <c r="B7" i="261"/>
  <c r="D170" i="231" l="1"/>
  <c r="E170" i="231"/>
  <c r="D171" i="231"/>
  <c r="E171" i="231"/>
  <c r="D172" i="231"/>
  <c r="E172" i="231"/>
  <c r="G14" i="257"/>
  <c r="G13" i="257"/>
  <c r="H14" i="257"/>
  <c r="K14" i="257" s="1"/>
  <c r="H13" i="257"/>
  <c r="K13" i="257" s="1"/>
  <c r="G12" i="257"/>
  <c r="AB8" i="246" l="1"/>
  <c r="AA8" i="246"/>
  <c r="Z8" i="246"/>
  <c r="G11" i="257" l="1"/>
  <c r="W11" i="257" l="1"/>
  <c r="V11" i="257"/>
  <c r="AB7" i="257"/>
  <c r="AB8" i="257"/>
  <c r="AB9" i="257"/>
  <c r="AB11" i="257"/>
  <c r="AB10" i="257"/>
  <c r="H10" i="257" s="1"/>
  <c r="T10" i="257"/>
  <c r="AA54" i="258"/>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H11" i="257" l="1"/>
  <c r="K11" i="257" s="1"/>
  <c r="I10" i="257"/>
  <c r="K10" i="257"/>
  <c r="J10" i="257"/>
  <c r="W22" i="258"/>
  <c r="W23" i="258"/>
  <c r="Z33" i="258"/>
  <c r="Z37" i="258" s="1"/>
  <c r="Z39" i="258" s="1"/>
  <c r="S9" i="257"/>
  <c r="H9" i="257" s="1"/>
  <c r="K9" i="257" s="1"/>
  <c r="S8" i="257"/>
  <c r="H8" i="257" s="1"/>
  <c r="K8" i="257" s="1"/>
  <c r="S7" i="257"/>
  <c r="AM8" i="257"/>
  <c r="G8" i="257" s="1"/>
  <c r="L8" i="257" l="1"/>
  <c r="M8" i="257" s="1"/>
  <c r="O8" i="257"/>
  <c r="P8" i="257" s="1"/>
  <c r="L9" i="257"/>
  <c r="M9" i="257" s="1"/>
  <c r="O9" i="257"/>
  <c r="P9" i="257" s="1"/>
  <c r="H7" i="257"/>
  <c r="K7" i="257" s="1"/>
  <c r="O10" i="257"/>
  <c r="P10" i="257" s="1"/>
  <c r="L10" i="257"/>
  <c r="M10" i="257" s="1"/>
  <c r="L11" i="257"/>
  <c r="M11" i="257" s="1"/>
  <c r="O11" i="257"/>
  <c r="P11" i="257" s="1"/>
  <c r="I11" i="257"/>
  <c r="J11" i="257" s="1"/>
  <c r="I8" i="257"/>
  <c r="J8" i="257" s="1"/>
  <c r="I9" i="257"/>
  <c r="J9" i="257" s="1"/>
  <c r="G7" i="257"/>
  <c r="G9" i="257"/>
  <c r="E121" i="216"/>
  <c r="E168" i="231"/>
  <c r="D168" i="231"/>
  <c r="E122" i="216"/>
  <c r="E120" i="216"/>
  <c r="E119" i="216"/>
  <c r="E118" i="216"/>
  <c r="E169" i="231"/>
  <c r="E167" i="231"/>
  <c r="E166" i="231"/>
  <c r="E165" i="231"/>
  <c r="D169" i="231"/>
  <c r="D167" i="231"/>
  <c r="D166" i="231"/>
  <c r="D165" i="231"/>
  <c r="L7" i="257" l="1"/>
  <c r="M7" i="257" s="1"/>
  <c r="P7" i="257"/>
  <c r="I7" i="257"/>
  <c r="J7" i="257" s="1"/>
  <c r="E116" i="231"/>
  <c r="C113" i="245" s="1"/>
  <c r="D116"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AT65" i="245" s="1"/>
  <c r="E205" i="245"/>
  <c r="AE156" i="245" s="1"/>
  <c r="AE64" i="245" s="1"/>
  <c r="E204" i="245"/>
  <c r="AR155" i="245" s="1"/>
  <c r="AR63"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Q64" i="245" s="1"/>
  <c r="AS156" i="245"/>
  <c r="AS64" i="245" s="1"/>
  <c r="X157" i="245"/>
  <c r="X65" i="245" s="1"/>
  <c r="Y157" i="245"/>
  <c r="Y65" i="245" s="1"/>
  <c r="AH159" i="245"/>
  <c r="AH160" i="245" s="1"/>
  <c r="AI159" i="245"/>
  <c r="AI160" i="245" s="1"/>
  <c r="V157" i="245"/>
  <c r="V65" i="245" s="1"/>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W65" i="245" s="1"/>
  <c r="Z157" i="245"/>
  <c r="Z65" i="245" s="1"/>
  <c r="AE166" i="245"/>
  <c r="AB157" i="245"/>
  <c r="AB65" i="245" s="1"/>
  <c r="AK166" i="245"/>
  <c r="AC157" i="245"/>
  <c r="AC65" i="245" s="1"/>
  <c r="G167" i="245"/>
  <c r="AD157" i="245"/>
  <c r="AD65" i="245" s="1"/>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O64" i="245" s="1"/>
  <c r="AR156" i="245"/>
  <c r="AR64" i="245" s="1"/>
  <c r="AP156" i="245"/>
  <c r="AP64" i="245" s="1"/>
  <c r="AN159" i="245"/>
  <c r="AN160" i="245" s="1"/>
  <c r="V158" i="245"/>
  <c r="AM158" i="245"/>
  <c r="AT155" i="245"/>
  <c r="AT63" i="245" s="1"/>
  <c r="AN158" i="245"/>
  <c r="G156" i="245"/>
  <c r="G64" i="245" s="1"/>
  <c r="AO158" i="245"/>
  <c r="AP158" i="245"/>
  <c r="H156" i="245"/>
  <c r="H64" i="245" s="1"/>
  <c r="I156" i="245"/>
  <c r="I64" i="245" s="1"/>
  <c r="AQ158" i="245"/>
  <c r="AK156" i="245"/>
  <c r="AK64" i="245" s="1"/>
  <c r="AL156" i="245"/>
  <c r="AL64" i="245" s="1"/>
  <c r="AS158" i="245"/>
  <c r="AM156" i="245"/>
  <c r="AM64" i="245" s="1"/>
  <c r="AT158" i="245"/>
  <c r="AN156" i="245"/>
  <c r="AN64" i="245" s="1"/>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U63" i="245" s="1"/>
  <c r="AA157" i="245"/>
  <c r="AA65" i="245" s="1"/>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J64" i="245" s="1"/>
  <c r="AE157" i="245"/>
  <c r="AE65" i="245" s="1"/>
  <c r="J159" i="245"/>
  <c r="J160" i="245" s="1"/>
  <c r="AK167" i="245"/>
  <c r="P173" i="245"/>
  <c r="K156" i="245"/>
  <c r="K64" i="245" s="1"/>
  <c r="AF157" i="245"/>
  <c r="AF65" i="245" s="1"/>
  <c r="K159" i="245"/>
  <c r="K160" i="245" s="1"/>
  <c r="AT167" i="245"/>
  <c r="R173" i="245"/>
  <c r="AD135" i="245"/>
  <c r="AD136" i="245" s="1"/>
  <c r="AD137" i="245" s="1"/>
  <c r="AH144" i="245"/>
  <c r="AH145" i="245" s="1"/>
  <c r="AH146" i="245" s="1"/>
  <c r="AH147" i="245" s="1"/>
  <c r="AH148" i="245" s="1"/>
  <c r="L156" i="245"/>
  <c r="L64" i="245" s="1"/>
  <c r="AG157" i="245"/>
  <c r="AG65" i="245" s="1"/>
  <c r="S173" i="245"/>
  <c r="AE138" i="245"/>
  <c r="AI144" i="245"/>
  <c r="M156" i="245"/>
  <c r="M64" i="245" s="1"/>
  <c r="J158" i="245"/>
  <c r="AA159" i="245"/>
  <c r="AA160" i="245" s="1"/>
  <c r="G171" i="245"/>
  <c r="Y173" i="245"/>
  <c r="AI135" i="245"/>
  <c r="AI136" i="245" s="1"/>
  <c r="AI137" i="245" s="1"/>
  <c r="AF138" i="245"/>
  <c r="AJ144" i="245"/>
  <c r="N156" i="245"/>
  <c r="N64" i="245" s="1"/>
  <c r="K158" i="245"/>
  <c r="AB159" i="245"/>
  <c r="AB160" i="245" s="1"/>
  <c r="N166" i="245"/>
  <c r="J171" i="245"/>
  <c r="Z173" i="245"/>
  <c r="AJ135" i="245"/>
  <c r="AJ136" i="245" s="1"/>
  <c r="AJ137" i="245" s="1"/>
  <c r="O156" i="245"/>
  <c r="O64" i="245" s="1"/>
  <c r="L158" i="245"/>
  <c r="AC159" i="245"/>
  <c r="AC160" i="245" s="1"/>
  <c r="P166" i="245"/>
  <c r="K171" i="245"/>
  <c r="AD173" i="245"/>
  <c r="AU144" i="245"/>
  <c r="AU145" i="245" s="1"/>
  <c r="AU146" i="245" s="1"/>
  <c r="AU147" i="245" s="1"/>
  <c r="AU148" i="245" s="1"/>
  <c r="P156" i="245"/>
  <c r="P64" i="245" s="1"/>
  <c r="M158" i="245"/>
  <c r="AD159" i="245"/>
  <c r="AD160" i="245" s="1"/>
  <c r="R166" i="245"/>
  <c r="L171" i="245"/>
  <c r="AE173" i="245"/>
  <c r="AM138" i="245"/>
  <c r="AH156" i="245"/>
  <c r="AH64" i="245" s="1"/>
  <c r="N158" i="245"/>
  <c r="AE159" i="245"/>
  <c r="AE160" i="245" s="1"/>
  <c r="S166" i="245"/>
  <c r="X171" i="245"/>
  <c r="AF173" i="245"/>
  <c r="AN138" i="245"/>
  <c r="AI156" i="245"/>
  <c r="AI64" i="245" s="1"/>
  <c r="O158" i="245"/>
  <c r="AF159" i="245"/>
  <c r="AF160" i="245" s="1"/>
  <c r="X166" i="245"/>
  <c r="AB171" i="245"/>
  <c r="AG173" i="245"/>
  <c r="AJ156" i="245"/>
  <c r="AJ64" i="245" s="1"/>
  <c r="P158" i="245"/>
  <c r="AG159" i="245"/>
  <c r="AG160" i="245" s="1"/>
  <c r="AD171" i="245"/>
  <c r="AH173" i="245"/>
  <c r="AI157" i="245"/>
  <c r="AI65" i="245" s="1"/>
  <c r="L155" i="245"/>
  <c r="L63" i="245" s="1"/>
  <c r="AT156" i="245"/>
  <c r="AT64" i="245" s="1"/>
  <c r="M155" i="245"/>
  <c r="M63" i="245" s="1"/>
  <c r="AU156" i="245"/>
  <c r="AU64" i="245" s="1"/>
  <c r="W158" i="245"/>
  <c r="Q155" i="245"/>
  <c r="Q63" i="245" s="1"/>
  <c r="S156" i="245"/>
  <c r="S64" i="245" s="1"/>
  <c r="G157" i="245"/>
  <c r="G65" i="245" s="1"/>
  <c r="AJ157" i="245"/>
  <c r="AJ65" i="245" s="1"/>
  <c r="X158" i="245"/>
  <c r="L159" i="245"/>
  <c r="L160" i="245" s="1"/>
  <c r="AO159" i="245"/>
  <c r="AO160" i="245" s="1"/>
  <c r="Y158" i="245"/>
  <c r="AP159" i="245"/>
  <c r="AP160" i="245" s="1"/>
  <c r="S155" i="245"/>
  <c r="S63" i="245" s="1"/>
  <c r="U156" i="245"/>
  <c r="U64" i="245" s="1"/>
  <c r="I157" i="245"/>
  <c r="I65" i="245" s="1"/>
  <c r="AL157" i="245"/>
  <c r="AL65" i="245" s="1"/>
  <c r="Z158" i="245"/>
  <c r="N159" i="245"/>
  <c r="N160" i="245" s="1"/>
  <c r="AQ159" i="245"/>
  <c r="AQ160" i="245" s="1"/>
  <c r="R156" i="245"/>
  <c r="R64" i="245" s="1"/>
  <c r="V156" i="245"/>
  <c r="V64" i="245" s="1"/>
  <c r="J157" i="245"/>
  <c r="J65" i="245" s="1"/>
  <c r="AM157" i="245"/>
  <c r="AM65" i="245" s="1"/>
  <c r="AA158" i="245"/>
  <c r="O159" i="245"/>
  <c r="O160" i="245" s="1"/>
  <c r="AR159" i="245"/>
  <c r="AR160" i="245" s="1"/>
  <c r="AS159" i="245"/>
  <c r="AS160" i="245" s="1"/>
  <c r="Q159" i="245"/>
  <c r="Q160" i="245" s="1"/>
  <c r="Q156" i="245"/>
  <c r="Q64" i="245" s="1"/>
  <c r="AH157" i="245"/>
  <c r="AH65" i="245" s="1"/>
  <c r="AK157" i="245"/>
  <c r="AK65" i="245" s="1"/>
  <c r="T155" i="245"/>
  <c r="T63" i="245" s="1"/>
  <c r="P159" i="245"/>
  <c r="P160" i="245" s="1"/>
  <c r="V155" i="245"/>
  <c r="V63" i="245" s="1"/>
  <c r="X156" i="245"/>
  <c r="X64" i="245" s="1"/>
  <c r="L157" i="245"/>
  <c r="L65" i="245" s="1"/>
  <c r="AO157" i="245"/>
  <c r="AO65" i="245" s="1"/>
  <c r="AC158" i="245"/>
  <c r="AT159" i="245"/>
  <c r="AT160" i="245" s="1"/>
  <c r="W155" i="245"/>
  <c r="W63" i="245" s="1"/>
  <c r="Y156" i="245"/>
  <c r="Y64" i="245" s="1"/>
  <c r="M157" i="245"/>
  <c r="M65" i="245" s="1"/>
  <c r="AP157" i="245"/>
  <c r="AP65" i="245" s="1"/>
  <c r="AD158" i="245"/>
  <c r="R159" i="245"/>
  <c r="R160" i="245" s="1"/>
  <c r="AU159" i="245"/>
  <c r="AU160" i="245" s="1"/>
  <c r="T156" i="245"/>
  <c r="T64" i="245" s="1"/>
  <c r="W156" i="245"/>
  <c r="W64" i="245" s="1"/>
  <c r="X155" i="245"/>
  <c r="X63" i="245" s="1"/>
  <c r="Z156" i="245"/>
  <c r="Z64" i="245" s="1"/>
  <c r="N157" i="245"/>
  <c r="N65" i="245" s="1"/>
  <c r="AQ157" i="245"/>
  <c r="AQ65" i="245" s="1"/>
  <c r="AE158" i="245"/>
  <c r="S159" i="245"/>
  <c r="S160" i="245" s="1"/>
  <c r="K157" i="245"/>
  <c r="K65" i="245" s="1"/>
  <c r="AA155" i="245"/>
  <c r="AA63" i="245" s="1"/>
  <c r="AA156" i="245"/>
  <c r="AA64" i="245" s="1"/>
  <c r="O157" i="245"/>
  <c r="O65" i="245" s="1"/>
  <c r="AR157" i="245"/>
  <c r="AR65" i="245" s="1"/>
  <c r="AF158" i="245"/>
  <c r="U159" i="245"/>
  <c r="U160" i="245" s="1"/>
  <c r="AG155" i="245"/>
  <c r="AG63" i="245" s="1"/>
  <c r="AB156" i="245"/>
  <c r="AB64" i="245" s="1"/>
  <c r="P157" i="245"/>
  <c r="P65" i="245" s="1"/>
  <c r="AS157" i="245"/>
  <c r="AS65" i="245" s="1"/>
  <c r="AH158" i="245"/>
  <c r="V159" i="245"/>
  <c r="V160" i="245" s="1"/>
  <c r="AH155" i="245"/>
  <c r="AH63" i="245" s="1"/>
  <c r="AC156" i="245"/>
  <c r="AC64" i="245" s="1"/>
  <c r="Q157" i="245"/>
  <c r="Q65" i="245" s="1"/>
  <c r="AU157" i="245"/>
  <c r="AU65" i="245" s="1"/>
  <c r="AI158" i="245"/>
  <c r="W159" i="245"/>
  <c r="W160" i="245" s="1"/>
  <c r="H157" i="245"/>
  <c r="H65" i="245" s="1"/>
  <c r="U155" i="245"/>
  <c r="U63" i="245" s="1"/>
  <c r="AN155" i="245"/>
  <c r="AN63" i="245" s="1"/>
  <c r="AD156" i="245"/>
  <c r="AD64" i="245" s="1"/>
  <c r="G158" i="245"/>
  <c r="X159" i="245"/>
  <c r="X160" i="245" s="1"/>
  <c r="R155" i="245"/>
  <c r="R63" i="245" s="1"/>
  <c r="AN157" i="245"/>
  <c r="AN65" i="245" s="1"/>
  <c r="S157" i="245"/>
  <c r="S65" i="245" s="1"/>
  <c r="AO155" i="245"/>
  <c r="AO63" i="245" s="1"/>
  <c r="AF156" i="245"/>
  <c r="AF64" i="245" s="1"/>
  <c r="T157" i="245"/>
  <c r="T65" i="245" s="1"/>
  <c r="H158" i="245"/>
  <c r="AK158" i="245"/>
  <c r="Y159" i="245"/>
  <c r="Y160" i="245" s="1"/>
  <c r="AB158" i="245"/>
  <c r="AJ158" i="245"/>
  <c r="AS155" i="245"/>
  <c r="AS63" i="245" s="1"/>
  <c r="AG156" i="245"/>
  <c r="AG64" i="245" s="1"/>
  <c r="U157" i="245"/>
  <c r="U65" i="245" s="1"/>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Y63" i="245" s="1"/>
  <c r="V166" i="245"/>
  <c r="U170" i="245"/>
  <c r="H171" i="245"/>
  <c r="AJ171" i="245"/>
  <c r="Z132" i="245"/>
  <c r="O135" i="245"/>
  <c r="O136" i="245" s="1"/>
  <c r="O137" i="245" s="1"/>
  <c r="AQ135" i="245"/>
  <c r="AQ136" i="245" s="1"/>
  <c r="AQ137" i="245" s="1"/>
  <c r="AF140" i="245"/>
  <c r="AF141" i="245" s="1"/>
  <c r="AG144" i="245"/>
  <c r="Z155" i="245"/>
  <c r="Z63" i="245" s="1"/>
  <c r="W166" i="245"/>
  <c r="J167" i="245"/>
  <c r="AL167" i="245"/>
  <c r="V170" i="245"/>
  <c r="I171" i="245"/>
  <c r="AK171" i="245"/>
  <c r="K167" i="245"/>
  <c r="AM167" i="245"/>
  <c r="W170" i="245"/>
  <c r="AG138" i="245"/>
  <c r="F142" i="245"/>
  <c r="AB155" i="245"/>
  <c r="AB63" i="245" s="1"/>
  <c r="Y166" i="245"/>
  <c r="L167" i="245"/>
  <c r="AN167" i="245"/>
  <c r="J150" i="245"/>
  <c r="AL150" i="245"/>
  <c r="AC155" i="245"/>
  <c r="AC63" i="245" s="1"/>
  <c r="Z166" i="245"/>
  <c r="M167" i="245"/>
  <c r="AO167" i="245"/>
  <c r="Y170" i="245"/>
  <c r="N173" i="245"/>
  <c r="AP173" i="245"/>
  <c r="S135" i="245"/>
  <c r="S136" i="245" s="1"/>
  <c r="S137" i="245" s="1"/>
  <c r="AU135" i="245"/>
  <c r="AU136" i="245" s="1"/>
  <c r="AU137" i="245" s="1"/>
  <c r="K150" i="245"/>
  <c r="AM150" i="245"/>
  <c r="AD155" i="245"/>
  <c r="AD63" i="245" s="1"/>
  <c r="AA166" i="245"/>
  <c r="N167" i="245"/>
  <c r="AP167" i="245"/>
  <c r="Z170" i="245"/>
  <c r="O173" i="245"/>
  <c r="AQ173" i="245"/>
  <c r="T135" i="245"/>
  <c r="T136" i="245" s="1"/>
  <c r="T137" i="245" s="1"/>
  <c r="I140" i="245"/>
  <c r="I141" i="245" s="1"/>
  <c r="AK140" i="245"/>
  <c r="AK141" i="245" s="1"/>
  <c r="J144" i="245"/>
  <c r="AL144" i="245"/>
  <c r="L150" i="245"/>
  <c r="AN150" i="245"/>
  <c r="AE155" i="245"/>
  <c r="AE63" i="245" s="1"/>
  <c r="AB166" i="245"/>
  <c r="O167" i="245"/>
  <c r="AQ167" i="245"/>
  <c r="AA170" i="245"/>
  <c r="U135" i="245"/>
  <c r="U136" i="245" s="1"/>
  <c r="U137" i="245" s="1"/>
  <c r="J140" i="245"/>
  <c r="J141" i="245" s="1"/>
  <c r="AL140" i="245"/>
  <c r="AL141" i="245" s="1"/>
  <c r="K144" i="245"/>
  <c r="AM144" i="245"/>
  <c r="M150" i="245"/>
  <c r="AO150" i="245"/>
  <c r="AF155" i="245"/>
  <c r="AF63" i="245" s="1"/>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G63" i="245" s="1"/>
  <c r="AI155" i="245"/>
  <c r="AI63" i="245" s="1"/>
  <c r="S167" i="245"/>
  <c r="AU167" i="245"/>
  <c r="T173" i="245"/>
  <c r="AO144" i="245"/>
  <c r="N140" i="245"/>
  <c r="N141" i="245" s="1"/>
  <c r="AP140" i="245"/>
  <c r="AP141" i="245" s="1"/>
  <c r="O144" i="245"/>
  <c r="AE149" i="245"/>
  <c r="Q150" i="245"/>
  <c r="AS150" i="245"/>
  <c r="H155" i="245"/>
  <c r="H63" i="245" s="1"/>
  <c r="AJ155" i="245"/>
  <c r="AJ63" i="245" s="1"/>
  <c r="T167" i="245"/>
  <c r="U173" i="245"/>
  <c r="O140" i="245"/>
  <c r="O141" i="245" s="1"/>
  <c r="AQ140" i="245"/>
  <c r="AQ141" i="245" s="1"/>
  <c r="R150" i="245"/>
  <c r="AT150" i="245"/>
  <c r="I155" i="245"/>
  <c r="I63" i="245" s="1"/>
  <c r="AK155" i="245"/>
  <c r="AK63" i="245" s="1"/>
  <c r="U167" i="245"/>
  <c r="V173" i="245"/>
  <c r="M144" i="245"/>
  <c r="P140" i="245"/>
  <c r="P141" i="245" s="1"/>
  <c r="AR140" i="245"/>
  <c r="AR141" i="245" s="1"/>
  <c r="J155" i="245"/>
  <c r="J63" i="245" s="1"/>
  <c r="AL155" i="245"/>
  <c r="AL63" i="245" s="1"/>
  <c r="V167" i="245"/>
  <c r="W173" i="245"/>
  <c r="Q140" i="245"/>
  <c r="Q141" i="245" s="1"/>
  <c r="AS140" i="245"/>
  <c r="AS141" i="245" s="1"/>
  <c r="F149" i="245"/>
  <c r="T150" i="245"/>
  <c r="K155" i="245"/>
  <c r="K63" i="245" s="1"/>
  <c r="AM155" i="245"/>
  <c r="AM63" i="245" s="1"/>
  <c r="W167" i="245"/>
  <c r="X173" i="245"/>
  <c r="S142" i="245"/>
  <c r="AU142" i="245"/>
  <c r="T140" i="245"/>
  <c r="T141" i="245" s="1"/>
  <c r="AK149" i="245"/>
  <c r="W150" i="245"/>
  <c r="N155" i="245"/>
  <c r="N63" i="245" s="1"/>
  <c r="AP155" i="245"/>
  <c r="AP63" i="245" s="1"/>
  <c r="AA173" i="245"/>
  <c r="U140" i="245"/>
  <c r="U141" i="245" s="1"/>
  <c r="O155" i="245"/>
  <c r="O63" i="245" s="1"/>
  <c r="AQ155" i="245"/>
  <c r="AQ63" i="245" s="1"/>
  <c r="AB173" i="245"/>
  <c r="V140" i="245"/>
  <c r="V141" i="245" s="1"/>
  <c r="P155" i="245"/>
  <c r="P63" i="245" s="1"/>
  <c r="R157" i="245"/>
  <c r="R65" i="245" s="1"/>
  <c r="E164" i="231"/>
  <c r="C164" i="231"/>
  <c r="D164"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72" i="231" l="1"/>
  <c r="D71"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59" i="231"/>
  <c r="E163" i="231" s="1"/>
  <c r="E158" i="231"/>
  <c r="E162" i="231" s="1"/>
  <c r="F7" i="237"/>
  <c r="F8" i="237"/>
  <c r="F6" i="237"/>
  <c r="E123" i="231"/>
  <c r="D123" i="231"/>
  <c r="B8" i="237" s="1"/>
  <c r="E122" i="231"/>
  <c r="D122" i="231"/>
  <c r="B7" i="237" s="1"/>
  <c r="E121" i="231"/>
  <c r="D121"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61" i="231"/>
  <c r="C58" i="245" s="1"/>
  <c r="E62" i="231"/>
  <c r="C59" i="245" s="1"/>
  <c r="E63" i="231"/>
  <c r="C60" i="245" s="1"/>
  <c r="E64" i="231"/>
  <c r="C61" i="245" s="1"/>
  <c r="E65" i="231"/>
  <c r="C62" i="245" s="1"/>
  <c r="E66" i="231"/>
  <c r="C63" i="245" s="1"/>
  <c r="E67" i="231"/>
  <c r="C64" i="245" s="1"/>
  <c r="E68" i="231"/>
  <c r="C65" i="245" s="1"/>
  <c r="E69" i="231"/>
  <c r="C66" i="245" s="1"/>
  <c r="E70" i="231"/>
  <c r="C67" i="245" s="1"/>
  <c r="E71" i="231"/>
  <c r="C68" i="245" s="1"/>
  <c r="E72" i="231"/>
  <c r="C69" i="245" s="1"/>
  <c r="E73" i="231"/>
  <c r="C70" i="245" s="1"/>
  <c r="E74" i="231"/>
  <c r="C71" i="245" s="1"/>
  <c r="E75" i="231"/>
  <c r="C72" i="245" s="1"/>
  <c r="E76" i="231"/>
  <c r="C73" i="245" s="1"/>
  <c r="E77" i="231"/>
  <c r="C74" i="245" s="1"/>
  <c r="E78" i="231"/>
  <c r="C75" i="245" s="1"/>
  <c r="E60" i="231"/>
  <c r="C57" i="245" s="1"/>
  <c r="D60" i="231"/>
  <c r="B57" i="245" s="1"/>
  <c r="E57" i="245" s="1"/>
  <c r="D112" i="231"/>
  <c r="B109" i="245" s="1"/>
  <c r="D109" i="245" s="1"/>
  <c r="F109" i="245" s="1"/>
  <c r="E112" i="231"/>
  <c r="C109" i="245" s="1"/>
  <c r="D113" i="231"/>
  <c r="B110" i="245" s="1"/>
  <c r="D110" i="245" s="1"/>
  <c r="E113" i="231"/>
  <c r="C110" i="245" s="1"/>
  <c r="D114" i="231"/>
  <c r="B111" i="245" s="1"/>
  <c r="D111" i="245" s="1"/>
  <c r="F111" i="245" s="1"/>
  <c r="E114" i="231"/>
  <c r="C111" i="245" s="1"/>
  <c r="D115" i="231"/>
  <c r="E115" i="231"/>
  <c r="C112" i="245" s="1"/>
  <c r="D88" i="231"/>
  <c r="B85" i="245" s="1"/>
  <c r="E88" i="231"/>
  <c r="C85" i="245" s="1"/>
  <c r="D89" i="231"/>
  <c r="B86" i="245" s="1"/>
  <c r="D86" i="245" s="1"/>
  <c r="F86" i="245" s="1"/>
  <c r="E89" i="231"/>
  <c r="C86" i="245" s="1"/>
  <c r="D90" i="231"/>
  <c r="B87" i="245" s="1"/>
  <c r="D87" i="245" s="1"/>
  <c r="F87" i="245" s="1"/>
  <c r="E90" i="231"/>
  <c r="C87" i="245" s="1"/>
  <c r="D91" i="231"/>
  <c r="B88" i="245" s="1"/>
  <c r="D88" i="245" s="1"/>
  <c r="F88" i="245" s="1"/>
  <c r="E91" i="231"/>
  <c r="C88" i="245" s="1"/>
  <c r="D92" i="231"/>
  <c r="B89" i="245" s="1"/>
  <c r="D89" i="245" s="1"/>
  <c r="E92" i="231"/>
  <c r="C89" i="245" s="1"/>
  <c r="D93" i="231"/>
  <c r="B90" i="245" s="1"/>
  <c r="D90" i="245" s="1"/>
  <c r="F90" i="245" s="1"/>
  <c r="E93" i="231"/>
  <c r="C90" i="245" s="1"/>
  <c r="D94" i="231"/>
  <c r="B91" i="245" s="1"/>
  <c r="D91" i="245" s="1"/>
  <c r="F91" i="245" s="1"/>
  <c r="E94" i="231"/>
  <c r="C91" i="245" s="1"/>
  <c r="D95" i="231"/>
  <c r="B92" i="245" s="1"/>
  <c r="D92" i="245" s="1"/>
  <c r="F92" i="245" s="1"/>
  <c r="E95" i="231"/>
  <c r="C92" i="245" s="1"/>
  <c r="D96" i="231"/>
  <c r="B93" i="245" s="1"/>
  <c r="D93" i="245" s="1"/>
  <c r="F93" i="245" s="1"/>
  <c r="E96" i="231"/>
  <c r="C93" i="245" s="1"/>
  <c r="D97" i="231"/>
  <c r="B94" i="245" s="1"/>
  <c r="D94" i="245" s="1"/>
  <c r="F94" i="245" s="1"/>
  <c r="E97" i="231"/>
  <c r="C94" i="245" s="1"/>
  <c r="D98" i="231"/>
  <c r="B95" i="245" s="1"/>
  <c r="D95" i="245" s="1"/>
  <c r="F95" i="245" s="1"/>
  <c r="E98" i="231"/>
  <c r="C95" i="245" s="1"/>
  <c r="D99" i="231"/>
  <c r="B96" i="245" s="1"/>
  <c r="D96" i="245" s="1"/>
  <c r="F96" i="245" s="1"/>
  <c r="E99" i="231"/>
  <c r="C96" i="245" s="1"/>
  <c r="D100" i="231"/>
  <c r="B97" i="245" s="1"/>
  <c r="D97" i="245" s="1"/>
  <c r="F97" i="245" s="1"/>
  <c r="E100" i="231"/>
  <c r="C97" i="245" s="1"/>
  <c r="D101" i="231"/>
  <c r="B98" i="245" s="1"/>
  <c r="D98" i="245" s="1"/>
  <c r="F98" i="245" s="1"/>
  <c r="E101" i="231"/>
  <c r="C98" i="245" s="1"/>
  <c r="D102" i="231"/>
  <c r="B99" i="245" s="1"/>
  <c r="D99" i="245" s="1"/>
  <c r="F99" i="245" s="1"/>
  <c r="E102" i="231"/>
  <c r="C99" i="245" s="1"/>
  <c r="D103" i="231"/>
  <c r="B100" i="245" s="1"/>
  <c r="D100" i="245" s="1"/>
  <c r="F100" i="245" s="1"/>
  <c r="E103" i="231"/>
  <c r="C100" i="245" s="1"/>
  <c r="D104" i="231"/>
  <c r="B101" i="245" s="1"/>
  <c r="D101" i="245" s="1"/>
  <c r="F101" i="245" s="1"/>
  <c r="E104" i="231"/>
  <c r="C101" i="245" s="1"/>
  <c r="D105" i="231"/>
  <c r="B102" i="245" s="1"/>
  <c r="D102" i="245" s="1"/>
  <c r="F102" i="245" s="1"/>
  <c r="E105" i="231"/>
  <c r="C102" i="245" s="1"/>
  <c r="D106" i="231"/>
  <c r="B103" i="245" s="1"/>
  <c r="D103" i="245" s="1"/>
  <c r="F103" i="245" s="1"/>
  <c r="E106" i="231"/>
  <c r="C103" i="245" s="1"/>
  <c r="D107" i="231"/>
  <c r="B104" i="245" s="1"/>
  <c r="D104" i="245" s="1"/>
  <c r="F104" i="245" s="1"/>
  <c r="E107" i="231"/>
  <c r="C104" i="245" s="1"/>
  <c r="D108" i="231"/>
  <c r="B105" i="245" s="1"/>
  <c r="D105" i="245" s="1"/>
  <c r="F105" i="245" s="1"/>
  <c r="E108" i="231"/>
  <c r="C105" i="245" s="1"/>
  <c r="D109" i="231"/>
  <c r="B106" i="245" s="1"/>
  <c r="D106" i="245" s="1"/>
  <c r="F106" i="245" s="1"/>
  <c r="E109" i="231"/>
  <c r="C106" i="245" s="1"/>
  <c r="D110" i="231"/>
  <c r="B107" i="245" s="1"/>
  <c r="D107" i="245" s="1"/>
  <c r="F107" i="245" s="1"/>
  <c r="E110" i="231"/>
  <c r="C107" i="245" s="1"/>
  <c r="D111" i="231"/>
  <c r="B108" i="245" s="1"/>
  <c r="D108" i="245" s="1"/>
  <c r="F108" i="245" s="1"/>
  <c r="E111" i="231"/>
  <c r="C108" i="245" s="1"/>
  <c r="E80" i="231"/>
  <c r="C77" i="245" s="1"/>
  <c r="E81" i="231"/>
  <c r="C78" i="245" s="1"/>
  <c r="E82" i="231"/>
  <c r="C79" i="245" s="1"/>
  <c r="E83" i="231"/>
  <c r="C80" i="245" s="1"/>
  <c r="E84" i="231"/>
  <c r="C81" i="245" s="1"/>
  <c r="E85" i="231"/>
  <c r="C82" i="245" s="1"/>
  <c r="E86" i="231"/>
  <c r="C83" i="245" s="1"/>
  <c r="E87" i="231"/>
  <c r="C84" i="245" s="1"/>
  <c r="E79" i="231"/>
  <c r="C76" i="245" s="1"/>
  <c r="D79" i="231"/>
  <c r="B76" i="245" s="1"/>
  <c r="D76" i="245" s="1"/>
  <c r="G76" i="245" s="1"/>
  <c r="D80" i="231"/>
  <c r="B77" i="245" s="1"/>
  <c r="D81" i="231"/>
  <c r="B78" i="245" s="1"/>
  <c r="D82" i="231"/>
  <c r="B79" i="245" s="1"/>
  <c r="D79" i="245" s="1"/>
  <c r="D83" i="231"/>
  <c r="B80" i="245" s="1"/>
  <c r="D80" i="245" s="1"/>
  <c r="D84" i="231"/>
  <c r="B81" i="245" s="1"/>
  <c r="D85" i="231"/>
  <c r="B82" i="245" s="1"/>
  <c r="D86" i="231"/>
  <c r="B83" i="245" s="1"/>
  <c r="D87" i="231"/>
  <c r="B84" i="245" s="1"/>
  <c r="D84" i="245" s="1"/>
  <c r="D61" i="231"/>
  <c r="B58" i="245" s="1"/>
  <c r="E58" i="245" s="1"/>
  <c r="F58" i="245" s="1"/>
  <c r="D62" i="231"/>
  <c r="B59" i="245" s="1"/>
  <c r="E59" i="245" s="1"/>
  <c r="F59" i="245" s="1"/>
  <c r="D63" i="231"/>
  <c r="B60" i="245" s="1"/>
  <c r="E60" i="245" s="1"/>
  <c r="F60" i="245" s="1"/>
  <c r="D64" i="231"/>
  <c r="B61" i="245" s="1"/>
  <c r="E61" i="245" s="1"/>
  <c r="D65" i="231"/>
  <c r="B62" i="245" s="1"/>
  <c r="E62" i="245" s="1"/>
  <c r="F62" i="245" s="1"/>
  <c r="D66" i="231"/>
  <c r="B63" i="245" s="1"/>
  <c r="E63" i="245" s="1"/>
  <c r="F63" i="245" s="1"/>
  <c r="D67" i="231"/>
  <c r="B64" i="245" s="1"/>
  <c r="E64" i="245" s="1"/>
  <c r="F64" i="245" s="1"/>
  <c r="D68" i="231"/>
  <c r="B65" i="245" s="1"/>
  <c r="E65" i="245" s="1"/>
  <c r="F65" i="245" s="1"/>
  <c r="D69" i="231"/>
  <c r="B66" i="245" s="1"/>
  <c r="E66" i="245" s="1"/>
  <c r="F66" i="245" s="1"/>
  <c r="D70" i="231"/>
  <c r="B67" i="245" s="1"/>
  <c r="E67" i="245" s="1"/>
  <c r="F67" i="245" s="1"/>
  <c r="B68" i="245"/>
  <c r="B69" i="245"/>
  <c r="D73" i="231"/>
  <c r="B70" i="245" s="1"/>
  <c r="E70" i="245" s="1"/>
  <c r="F70" i="245" s="1"/>
  <c r="D74" i="231"/>
  <c r="B71" i="245" s="1"/>
  <c r="E71" i="245" s="1"/>
  <c r="F71" i="245" s="1"/>
  <c r="D75" i="231"/>
  <c r="B72" i="245" s="1"/>
  <c r="E72" i="245" s="1"/>
  <c r="F72" i="245" s="1"/>
  <c r="D76" i="231"/>
  <c r="B73" i="245" s="1"/>
  <c r="E73" i="245" s="1"/>
  <c r="D77" i="231"/>
  <c r="B74" i="245" s="1"/>
  <c r="E74" i="245" s="1"/>
  <c r="D78"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F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1" i="245" l="1"/>
  <c r="AY68" i="245"/>
  <c r="AX68" i="245"/>
  <c r="AW68" i="245"/>
  <c r="D78" i="245"/>
  <c r="AG78" i="245" s="1"/>
  <c r="AW78" i="245"/>
  <c r="AY78" i="245"/>
  <c r="AX78" i="245"/>
  <c r="D77" i="245"/>
  <c r="Q77" i="245" s="1"/>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Y83" i="245"/>
  <c r="AC83" i="245"/>
  <c r="AD83" i="245"/>
  <c r="AH83" i="245"/>
  <c r="H83" i="245"/>
  <c r="AJ83" i="245"/>
  <c r="AL83" i="245"/>
  <c r="L83" i="245"/>
  <c r="AN83" i="245"/>
  <c r="AP83" i="245"/>
  <c r="P83" i="245"/>
  <c r="AR83" i="245"/>
  <c r="AT83" i="245"/>
  <c r="AU83" i="245"/>
  <c r="T83" i="245"/>
  <c r="J82" i="245"/>
  <c r="AM82" i="245"/>
  <c r="L82" i="245"/>
  <c r="AK82" i="245"/>
  <c r="O82" i="245"/>
  <c r="AQ82" i="245"/>
  <c r="AG82" i="245"/>
  <c r="R82" i="245"/>
  <c r="AT82" i="245"/>
  <c r="Y82" i="245"/>
  <c r="I82"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AE78" i="245"/>
  <c r="AF78" i="245"/>
  <c r="H78" i="245"/>
  <c r="AK78" i="245"/>
  <c r="J78" i="245"/>
  <c r="AA78" i="245"/>
  <c r="M78" i="245"/>
  <c r="AO78" i="245"/>
  <c r="AQ78" i="245"/>
  <c r="Q78" i="245"/>
  <c r="AS78" i="245"/>
  <c r="S78" i="245"/>
  <c r="U78" i="245"/>
  <c r="AC78" i="245"/>
  <c r="X78"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8" i="245"/>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83" i="245"/>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E82" i="245" l="1"/>
  <c r="AE96" i="245" s="1"/>
  <c r="AI82" i="245"/>
  <c r="AI95" i="245" s="1"/>
  <c r="X82" i="245"/>
  <c r="X86" i="245" s="1"/>
  <c r="U82" i="245"/>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Q98" i="245"/>
  <c r="Q99" i="245"/>
  <c r="Q87" i="245"/>
  <c r="Q91" i="245"/>
  <c r="Q97" i="245"/>
  <c r="N112" i="245"/>
  <c r="AQ95" i="245"/>
  <c r="AQ86" i="245"/>
  <c r="AQ96" i="245"/>
  <c r="AQ94" i="245"/>
  <c r="AP92" i="245"/>
  <c r="AP100" i="245"/>
  <c r="AP93" i="245"/>
  <c r="AP101" i="245"/>
  <c r="AP102" i="245"/>
  <c r="AK99" i="245"/>
  <c r="P95" i="245"/>
  <c r="M112" i="245"/>
  <c r="O95" i="245"/>
  <c r="O94" i="245"/>
  <c r="O96" i="245"/>
  <c r="O86" i="245"/>
  <c r="O112" i="245"/>
  <c r="AQ99" i="245"/>
  <c r="AQ97" i="245"/>
  <c r="AQ87" i="245"/>
  <c r="AQ90" i="245"/>
  <c r="AQ91" i="245"/>
  <c r="AO102" i="245"/>
  <c r="V103" i="245"/>
  <c r="V106" i="245" s="1"/>
  <c r="V105" i="245"/>
  <c r="V108" i="245" s="1"/>
  <c r="V104" i="245"/>
  <c r="V107" i="245" s="1"/>
  <c r="AD112" i="245"/>
  <c r="AF90" i="245"/>
  <c r="AK95" i="245"/>
  <c r="AK94" i="245"/>
  <c r="AK86" i="245"/>
  <c r="AK96" i="245"/>
  <c r="AN93" i="245"/>
  <c r="AN102" i="245"/>
  <c r="AN92" i="245"/>
  <c r="AN101" i="245"/>
  <c r="AN100" i="245"/>
  <c r="W112" i="245"/>
  <c r="I95" i="245"/>
  <c r="I94" i="245"/>
  <c r="I96" i="245"/>
  <c r="I86" i="245"/>
  <c r="L93" i="245"/>
  <c r="L102" i="245"/>
  <c r="L92" i="245"/>
  <c r="L101" i="245"/>
  <c r="L100" i="245"/>
  <c r="U112" i="245"/>
  <c r="M94" i="245"/>
  <c r="M96" i="245"/>
  <c r="AQ112" i="245"/>
  <c r="AN86" i="245"/>
  <c r="AN96" i="245"/>
  <c r="AN95" i="245"/>
  <c r="AN94" i="245"/>
  <c r="K92" i="245"/>
  <c r="AE112" i="245"/>
  <c r="AI94" i="245"/>
  <c r="AI86" i="245"/>
  <c r="L95" i="245"/>
  <c r="L94" i="245"/>
  <c r="L86" i="245"/>
  <c r="L96" i="245"/>
  <c r="AL92" i="245"/>
  <c r="AL102" i="245"/>
  <c r="AL101" i="245"/>
  <c r="AL100" i="245"/>
  <c r="AL93" i="245"/>
  <c r="Y112" i="245"/>
  <c r="AM86" i="245"/>
  <c r="AM96" i="245"/>
  <c r="AM95" i="245"/>
  <c r="AM94" i="245"/>
  <c r="T112" i="245"/>
  <c r="AB91" i="245"/>
  <c r="K95" i="245"/>
  <c r="AK102" i="245"/>
  <c r="AU112" i="245"/>
  <c r="Z86" i="245"/>
  <c r="AP112" i="245"/>
  <c r="Y94" i="245"/>
  <c r="Y96" i="245"/>
  <c r="Y95" i="245"/>
  <c r="Y86" i="245"/>
  <c r="J86" i="245"/>
  <c r="J94" i="245"/>
  <c r="J95" i="245"/>
  <c r="J96" i="245"/>
  <c r="AJ100" i="245"/>
  <c r="AJ102" i="245"/>
  <c r="AJ101" i="245"/>
  <c r="AJ92" i="245"/>
  <c r="AJ93" i="245"/>
  <c r="L112" i="245"/>
  <c r="X95" i="245"/>
  <c r="X94" i="245"/>
  <c r="H102" i="245"/>
  <c r="H100" i="245"/>
  <c r="H101" i="245"/>
  <c r="H93" i="245"/>
  <c r="H92" i="245"/>
  <c r="Z112" i="245"/>
  <c r="V102" i="245"/>
  <c r="V93" i="245"/>
  <c r="V100" i="245"/>
  <c r="X93" i="245"/>
  <c r="X102" i="245"/>
  <c r="R112" i="245"/>
  <c r="AI92" i="245"/>
  <c r="AS112" i="245"/>
  <c r="AU104" i="245"/>
  <c r="AU107" i="245" s="1"/>
  <c r="U94" i="245"/>
  <c r="U96" i="245"/>
  <c r="U95" i="245"/>
  <c r="U86" i="245"/>
  <c r="T100" i="245"/>
  <c r="T92" i="245"/>
  <c r="T101" i="245"/>
  <c r="T102" i="245"/>
  <c r="T93" i="245"/>
  <c r="AH102" i="245"/>
  <c r="AH101" i="245"/>
  <c r="AH100" i="245"/>
  <c r="AH92" i="245"/>
  <c r="AH93" i="245"/>
  <c r="AG104" i="245"/>
  <c r="AG107" i="245" s="1"/>
  <c r="AG103" i="245"/>
  <c r="AG106" i="245" s="1"/>
  <c r="T95" i="245"/>
  <c r="AU102" i="245"/>
  <c r="AU92" i="245"/>
  <c r="AU93" i="245"/>
  <c r="AU100" i="245"/>
  <c r="AU101" i="245"/>
  <c r="AR112" i="245"/>
  <c r="AO98" i="245"/>
  <c r="AO97" i="245"/>
  <c r="AF104" i="245"/>
  <c r="AF107" i="245" s="1"/>
  <c r="AU95" i="245"/>
  <c r="AU94" i="245"/>
  <c r="AU86" i="245"/>
  <c r="AE101" i="245"/>
  <c r="AE92" i="245"/>
  <c r="AE93" i="245"/>
  <c r="AE100" i="245"/>
  <c r="AE102" i="245"/>
  <c r="U97" i="245"/>
  <c r="U98" i="245"/>
  <c r="U87" i="245"/>
  <c r="U90" i="245"/>
  <c r="U91" i="245"/>
  <c r="AT94" i="245"/>
  <c r="AT86" i="245"/>
  <c r="AT95" i="245"/>
  <c r="AT96" i="245"/>
  <c r="AT102" i="245"/>
  <c r="AT92" i="245"/>
  <c r="AT93" i="245"/>
  <c r="AT100" i="245"/>
  <c r="AT101" i="245"/>
  <c r="AD93" i="245"/>
  <c r="AD102" i="245"/>
  <c r="AD100" i="245"/>
  <c r="AD92" i="245"/>
  <c r="AD101" i="245"/>
  <c r="R103" i="245"/>
  <c r="R106" i="245" s="1"/>
  <c r="R94" i="245"/>
  <c r="R86" i="245"/>
  <c r="R96" i="245"/>
  <c r="R95" i="245"/>
  <c r="AC101" i="245"/>
  <c r="AC92" i="245"/>
  <c r="AC102" i="245"/>
  <c r="AC100" i="245"/>
  <c r="AC93" i="245"/>
  <c r="H112" i="245"/>
  <c r="AS93" i="245"/>
  <c r="AS92" i="245"/>
  <c r="K112" i="245"/>
  <c r="AJ112" i="245"/>
  <c r="AA101" i="245"/>
  <c r="AA100" i="245"/>
  <c r="AA93" i="245"/>
  <c r="AA102" i="245"/>
  <c r="AA92" i="245"/>
  <c r="AC112" i="245"/>
  <c r="AG112" i="245"/>
  <c r="AG96" i="245"/>
  <c r="AG95" i="245"/>
  <c r="AG94" i="245"/>
  <c r="AG86" i="245"/>
  <c r="AR101" i="245"/>
  <c r="AR93" i="245"/>
  <c r="AR100" i="245"/>
  <c r="AR92" i="245"/>
  <c r="AR102" i="245"/>
  <c r="Y101" i="245"/>
  <c r="Y100" i="245"/>
  <c r="Y93" i="245"/>
  <c r="Y102" i="245"/>
  <c r="Y92" i="245"/>
  <c r="AB112" i="245"/>
  <c r="AF112" i="245"/>
  <c r="AB104" i="245"/>
  <c r="AB107" i="245" s="1"/>
  <c r="P101" i="245"/>
  <c r="P92" i="245"/>
  <c r="P93" i="245"/>
  <c r="P102" i="245"/>
  <c r="P100" i="245"/>
  <c r="G96" i="245"/>
  <c r="G95" i="245"/>
  <c r="G100" i="245"/>
  <c r="G101" i="245"/>
  <c r="G102" i="245"/>
  <c r="G93" i="245"/>
  <c r="G92"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C98" i="245" l="1"/>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38" i="231" s="1"/>
  <c r="E99" i="216"/>
  <c r="F99" i="216"/>
  <c r="E139" i="231" s="1"/>
  <c r="E100" i="216"/>
  <c r="F100" i="216"/>
  <c r="E140" i="231" s="1"/>
  <c r="E101" i="216"/>
  <c r="F101" i="216"/>
  <c r="E141" i="231" s="1"/>
  <c r="E102" i="216"/>
  <c r="F102" i="216"/>
  <c r="E142" i="231" s="1"/>
  <c r="E103" i="216"/>
  <c r="F103" i="216"/>
  <c r="E143" i="231" s="1"/>
  <c r="E104" i="216"/>
  <c r="F104" i="216"/>
  <c r="E144" i="231" s="1"/>
  <c r="E105" i="216"/>
  <c r="F105" i="216"/>
  <c r="E145" i="231" s="1"/>
  <c r="E106" i="216"/>
  <c r="F106" i="216"/>
  <c r="E146" i="231" s="1"/>
  <c r="E107" i="216"/>
  <c r="F107" i="216"/>
  <c r="E147" i="231" s="1"/>
  <c r="E108" i="216"/>
  <c r="F108" i="216"/>
  <c r="E148" i="231" s="1"/>
  <c r="E109" i="216"/>
  <c r="F109" i="216"/>
  <c r="E149" i="231" s="1"/>
  <c r="E110" i="216"/>
  <c r="F110" i="216"/>
  <c r="E150" i="231" s="1"/>
  <c r="E111" i="216"/>
  <c r="F111" i="216"/>
  <c r="E151" i="231" s="1"/>
  <c r="E112" i="216"/>
  <c r="F112" i="216"/>
  <c r="E152" i="231" s="1"/>
  <c r="E153" i="231"/>
  <c r="E154" i="231"/>
  <c r="E155" i="231"/>
  <c r="E156" i="231"/>
  <c r="E160" i="231" s="1"/>
  <c r="E157" i="231"/>
  <c r="E161" i="231" s="1"/>
  <c r="E85" i="216"/>
  <c r="F85" i="216"/>
  <c r="E125" i="231" s="1"/>
  <c r="E86" i="216"/>
  <c r="F86" i="216"/>
  <c r="E126" i="231" s="1"/>
  <c r="E87" i="216"/>
  <c r="F87" i="216"/>
  <c r="E127" i="231" s="1"/>
  <c r="E88" i="216"/>
  <c r="F88" i="216"/>
  <c r="E128" i="231" s="1"/>
  <c r="E89" i="216"/>
  <c r="F89" i="216"/>
  <c r="E129" i="231" s="1"/>
  <c r="E90" i="216"/>
  <c r="F90" i="216"/>
  <c r="E130" i="231" s="1"/>
  <c r="E91" i="216"/>
  <c r="F91" i="216"/>
  <c r="E131" i="231" s="1"/>
  <c r="E92" i="216"/>
  <c r="F92" i="216"/>
  <c r="E132" i="231" s="1"/>
  <c r="E93" i="216"/>
  <c r="F93" i="216"/>
  <c r="E133" i="231" s="1"/>
  <c r="E94" i="216"/>
  <c r="F94" i="216"/>
  <c r="E134" i="231" s="1"/>
  <c r="E95" i="216"/>
  <c r="F95" i="216"/>
  <c r="E135" i="231" s="1"/>
  <c r="E96" i="216"/>
  <c r="F96" i="216"/>
  <c r="E136" i="231" s="1"/>
  <c r="E97" i="216"/>
  <c r="F97" i="216"/>
  <c r="E137" i="231" s="1"/>
  <c r="F84" i="216"/>
  <c r="E124" i="231" s="1"/>
  <c r="E84" i="216"/>
  <c r="D134" i="231" l="1"/>
  <c r="B19" i="237" s="1"/>
  <c r="F19" i="237"/>
  <c r="D19" i="237" s="1"/>
  <c r="D142" i="231"/>
  <c r="B27" i="237" s="1"/>
  <c r="F27" i="237"/>
  <c r="D27" i="237" s="1"/>
  <c r="D141" i="231"/>
  <c r="B26" i="237" s="1"/>
  <c r="F26" i="237"/>
  <c r="D26" i="237" s="1"/>
  <c r="D132" i="231"/>
  <c r="B17" i="237" s="1"/>
  <c r="F17" i="237"/>
  <c r="D17" i="237" s="1"/>
  <c r="D146" i="231"/>
  <c r="B31" i="237" s="1"/>
  <c r="F31" i="237"/>
  <c r="D31" i="237" s="1"/>
  <c r="D127" i="231"/>
  <c r="B12" i="237" s="1"/>
  <c r="F12" i="237"/>
  <c r="D12" i="237" s="1"/>
  <c r="D126" i="231"/>
  <c r="B11" i="237" s="1"/>
  <c r="F11" i="237"/>
  <c r="D11" i="237" s="1"/>
  <c r="D153" i="231"/>
  <c r="B38" i="237" s="1"/>
  <c r="F38" i="237"/>
  <c r="D139" i="231"/>
  <c r="B24" i="237" s="1"/>
  <c r="F24" i="237"/>
  <c r="D24" i="237" s="1"/>
  <c r="D156" i="231"/>
  <c r="B47" i="237" s="1"/>
  <c r="F47" i="237"/>
  <c r="D133" i="231"/>
  <c r="B18" i="237" s="1"/>
  <c r="F18" i="237"/>
  <c r="D18" i="237" s="1"/>
  <c r="D129" i="231"/>
  <c r="B14" i="237" s="1"/>
  <c r="F14" i="237"/>
  <c r="D14" i="237" s="1"/>
  <c r="D147" i="231"/>
  <c r="B32" i="237" s="1"/>
  <c r="F32" i="237"/>
  <c r="D32" i="237" s="1"/>
  <c r="D125" i="231"/>
  <c r="B10" i="237" s="1"/>
  <c r="F10" i="237"/>
  <c r="D152" i="231"/>
  <c r="B37" i="237" s="1"/>
  <c r="F37" i="237"/>
  <c r="D37" i="237" s="1"/>
  <c r="D138" i="231"/>
  <c r="B23" i="237" s="1"/>
  <c r="F23" i="237"/>
  <c r="D23" i="237" s="1"/>
  <c r="D135" i="231"/>
  <c r="B20" i="237" s="1"/>
  <c r="F20" i="237"/>
  <c r="D20" i="237" s="1"/>
  <c r="D143" i="231"/>
  <c r="B28" i="237" s="1"/>
  <c r="F28" i="237"/>
  <c r="D28" i="237" s="1"/>
  <c r="D131" i="231"/>
  <c r="B16" i="237" s="1"/>
  <c r="F16" i="237"/>
  <c r="D16" i="237" s="1"/>
  <c r="D130" i="231"/>
  <c r="B15" i="237" s="1"/>
  <c r="F15" i="237"/>
  <c r="D15" i="237" s="1"/>
  <c r="D124" i="231"/>
  <c r="B9" i="237" s="1"/>
  <c r="F9" i="237"/>
  <c r="D9" i="237" s="1"/>
  <c r="D151" i="231"/>
  <c r="B36" i="237" s="1"/>
  <c r="F36" i="237"/>
  <c r="D36" i="237" s="1"/>
  <c r="D140" i="231"/>
  <c r="B25" i="237" s="1"/>
  <c r="F25" i="237"/>
  <c r="D25" i="237" s="1"/>
  <c r="D157" i="231"/>
  <c r="B50" i="237" s="1"/>
  <c r="F50" i="237"/>
  <c r="D148" i="231"/>
  <c r="B33" i="237" s="1"/>
  <c r="F33" i="237"/>
  <c r="D33" i="237" s="1"/>
  <c r="D155" i="231"/>
  <c r="B44" i="237" s="1"/>
  <c r="F44" i="237"/>
  <c r="D154" i="231"/>
  <c r="B41" i="237" s="1"/>
  <c r="F41" i="237"/>
  <c r="D137" i="231"/>
  <c r="B22" i="237" s="1"/>
  <c r="F22" i="237"/>
  <c r="D22" i="237" s="1"/>
  <c r="D150" i="231"/>
  <c r="B35" i="237" s="1"/>
  <c r="F35" i="237"/>
  <c r="D35" i="237" s="1"/>
  <c r="D145" i="231"/>
  <c r="B30" i="237" s="1"/>
  <c r="F30" i="237"/>
  <c r="D30" i="237" s="1"/>
  <c r="D144" i="231"/>
  <c r="B29" i="237" s="1"/>
  <c r="F29" i="237"/>
  <c r="D29" i="237" s="1"/>
  <c r="D136" i="231"/>
  <c r="B21" i="237" s="1"/>
  <c r="F21" i="237"/>
  <c r="D21" i="237" s="1"/>
  <c r="D149" i="231"/>
  <c r="B34" i="237" s="1"/>
  <c r="F34" i="237"/>
  <c r="D128"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Z33" i="238" s="1"/>
  <c r="AZ35"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AZ32"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CV22" i="238"/>
  <c r="DB27" i="238"/>
  <c r="BG35" i="238"/>
  <c r="CW30" i="238"/>
  <c r="CW24" i="238"/>
  <c r="CT35" i="238"/>
  <c r="CW22" i="238"/>
  <c r="DB25" i="238"/>
  <c r="DA25" i="238"/>
  <c r="DC25" i="238"/>
  <c r="CF32" i="238"/>
  <c r="DA28" i="238"/>
  <c r="DB28" i="238"/>
  <c r="DC28" i="238"/>
  <c r="BW35" i="238"/>
  <c r="BO35" i="238"/>
  <c r="CQ35" i="238"/>
  <c r="DA23" i="238"/>
  <c r="DC23" i="238"/>
  <c r="DB23" i="238"/>
  <c r="DA30" i="238"/>
  <c r="CF35" i="238"/>
  <c r="DB30" i="238"/>
  <c r="CW27" i="238"/>
  <c r="BF35" i="238"/>
  <c r="CI32" i="238"/>
  <c r="DA27" i="238"/>
  <c r="DC27" i="238"/>
  <c r="CX24" i="238"/>
  <c r="CV26" i="238"/>
  <c r="CW26" i="238"/>
  <c r="CX26" i="238"/>
  <c r="DC22" i="238"/>
  <c r="DB22" i="238"/>
  <c r="DA22" i="238"/>
  <c r="DC26" i="238"/>
  <c r="DB26" i="238"/>
  <c r="DA26" i="238"/>
  <c r="CP35" i="238"/>
  <c r="BA32" i="238"/>
  <c r="BB35" i="238"/>
  <c r="CV30" i="238"/>
  <c r="CC35" i="238"/>
  <c r="CE35" i="238"/>
  <c r="CV25" i="238"/>
  <c r="CW25" i="238"/>
  <c r="CX25" i="238"/>
  <c r="CX22" i="238"/>
  <c r="CV24" i="238"/>
  <c r="CW28" i="238"/>
  <c r="CV28" i="238"/>
  <c r="CX28" i="238"/>
  <c r="M7" i="242"/>
  <c r="CV23" i="238"/>
  <c r="CW23" i="238"/>
  <c r="CX23" i="238"/>
  <c r="CV21" i="238"/>
  <c r="CW21" i="238"/>
  <c r="CX21" i="238"/>
  <c r="DA24" i="238"/>
  <c r="DB24" i="238"/>
  <c r="DC24" i="238"/>
  <c r="DC21" i="238"/>
  <c r="DA21" i="238"/>
  <c r="DB21" i="238"/>
  <c r="BV32" i="238"/>
  <c r="BV35" i="238"/>
  <c r="CV27" i="238"/>
  <c r="CX27" i="238"/>
  <c r="BK35" i="238"/>
  <c r="CW33" i="238" l="1"/>
  <c r="CV33" i="238"/>
  <c r="N7" i="242"/>
  <c r="DC33" i="238"/>
  <c r="DB33" i="238"/>
  <c r="DA33" i="238"/>
  <c r="CX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<sst xmlns="http://schemas.openxmlformats.org/spreadsheetml/2006/main" count="8635" uniqueCount="1931">
  <si>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</si>
  <si>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</si>
  <si>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</si>
  <si>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</si>
  <si>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</si>
  <si>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</si>
  <si>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</si>
  <si>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</si>
  <si>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</si>
  <si>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</si>
  <si>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</si>
  <si>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</si>
  <si>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</si>
  <si>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</si>
  <si>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</si>
  <si>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</si>
  <si>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</si>
  <si>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</si>
  <si>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</si>
  <si>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</si>
  <si>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</si>
  <si>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</si>
  <si>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</si>
  <si>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</si>
  <si>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</si>
  <si>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</si>
  <si>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</si>
  <si>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</si>
  <si>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</si>
  <si>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</si>
  <si>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</si>
  <si>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</si>
  <si>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</si>
  <si>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</si>
  <si>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</si>
  <si>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</si>
  <si>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</si>
  <si>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</si>
  <si>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</si>
  <si>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</si>
  <si>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</si>
  <si>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</si>
  <si>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</si>
  <si>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</si>
  <si>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</si>
  <si>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</si>
  <si>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</si>
  <si>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</si>
  <si>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</si>
  <si>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</si>
  <si>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</si>
  <si>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</si>
  <si>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</si>
  <si>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</si>
  <si>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</si>
  <si>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</si>
  <si>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</si>
  <si>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</si>
  <si>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</si>
  <si>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</si>
  <si>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</si>
  <si>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</si>
  <si>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</si>
  <si>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</si>
  <si>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</si>
  <si>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</si>
  <si>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</si>
  <si>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</si>
  <si>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</si>
  <si>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</si>
  <si>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</si>
  <si>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</si>
  <si>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</si>
  <si>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</si>
  <si>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</si>
  <si>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</si>
  <si>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</si>
  <si>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</si>
  <si>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</si>
  <si>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</si>
  <si>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</si>
  <si>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</si>
  <si>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</si>
  <si>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</si>
  <si>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</si>
  <si>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</si>
  <si>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</si>
  <si>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</si>
  <si>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</si>
  <si>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</si>
  <si>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</si>
  <si>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</si>
  <si>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</si>
  <si>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</si>
  <si>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</si>
  <si>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</si>
  <si>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</si>
  <si>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</si>
  <si>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</si>
  <si>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</si>
  <si>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</si>
  <si>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</si>
  <si>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</si>
  <si>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</si>
  <si>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</si>
  <si>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</si>
  <si>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</si>
  <si>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</si>
  <si>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</si>
  <si>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</si>
  <si>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</si>
  <si>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</si>
  <si>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</si>
  <si>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</si>
  <si>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</si>
  <si>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</si>
  <si>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</si>
  <si>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</si>
  <si>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</si>
  <si>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</si>
  <si>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</si>
  <si>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</si>
  <si>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</si>
  <si>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</si>
  <si>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</si>
  <si>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</si>
  <si>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</si>
  <si>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</si>
  <si>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</si>
  <si>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</si>
  <si>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</si>
  <si>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</si>
  <si>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</si>
  <si>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</si>
  <si>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</si>
  <si>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</si>
  <si>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</si>
  <si>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</si>
  <si>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</si>
  <si>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</si>
  <si>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</si>
  <si>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</si>
  <si>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</si>
  <si>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</si>
  <si>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</si>
  <si>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</si>
  <si>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</si>
  <si>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</si>
  <si>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</si>
  <si>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</si>
  <si>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</si>
  <si>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</si>
  <si>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</si>
  <si>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</si>
  <si>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</si>
  <si>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</si>
  <si>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</si>
  <si>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</si>
  <si>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</si>
  <si>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</si>
  <si>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</si>
  <si>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</si>
  <si>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</si>
  <si>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</si>
  <si>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</si>
  <si>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</si>
  <si>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</si>
  <si>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</si>
  <si>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</si>
  <si>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</si>
  <si>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</si>
  <si>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</si>
  <si>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</si>
  <si>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</si>
  <si>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</si>
  <si>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</si>
  <si>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</si>
  <si>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</si>
  <si>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</si>
  <si>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</si>
  <si>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</si>
  <si>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</si>
  <si>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</si>
  <si>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</si>
  <si>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</si>
  <si>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</si>
  <si>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</si>
  <si>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</si>
  <si>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</si>
  <si>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</si>
  <si>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</si>
  <si>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</si>
  <si>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</si>
  <si>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</si>
  <si>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</si>
  <si>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</si>
  <si>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</si>
  <si>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</si>
  <si>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</si>
  <si>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</si>
  <si>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</si>
  <si>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</si>
  <si>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</si>
  <si>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</si>
  <si>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</si>
  <si>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</si>
  <si>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</si>
  <si>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</si>
  <si>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</si>
  <si>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</si>
  <si>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</si>
  <si>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</si>
  <si>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</si>
  <si>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</si>
  <si>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</si>
  <si>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</si>
  <si>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</si>
  <si>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</si>
  <si>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</si>
  <si>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</si>
  <si>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</si>
  <si>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</si>
  <si>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</si>
  <si>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</si>
  <si>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</si>
  <si>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</si>
  <si>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</si>
  <si>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</si>
  <si>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</si>
  <si>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</si>
  <si>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</si>
  <si>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</si>
  <si>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</si>
  <si>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</si>
  <si>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</si>
  <si>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</si>
  <si>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</si>
  <si>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</si>
  <si>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</si>
  <si>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</si>
  <si>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</si>
  <si>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</si>
  <si>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</si>
  <si>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</si>
  <si>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</si>
  <si>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</si>
  <si>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</si>
  <si>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</si>
  <si>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</si>
  <si>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</si>
  <si>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</si>
  <si>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</si>
  <si>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</si>
  <si>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</si>
  <si>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</si>
  <si>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</si>
  <si>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</si>
  <si>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</si>
  <si>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</si>
  <si>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</si>
  <si>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</si>
  <si>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</si>
  <si>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</si>
  <si>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</si>
  <si>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</si>
  <si>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</si>
  <si>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</si>
  <si>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</si>
  <si>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</si>
  <si>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</si>
  <si>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</si>
  <si>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</si>
  <si>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</si>
  <si>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</si>
  <si>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</si>
  <si>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</si>
  <si>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</si>
  <si>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</si>
  <si>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</si>
  <si>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</si>
  <si>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</si>
  <si>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</si>
  <si>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</si>
  <si>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</si>
  <si>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</si>
  <si>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</si>
  <si>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</si>
  <si>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</si>
  <si>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</si>
  <si>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</si>
  <si>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</si>
  <si>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</si>
  <si>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</si>
  <si>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</si>
  <si>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</si>
  <si>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</si>
  <si>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</si>
  <si>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</si>
  <si>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</si>
  <si>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</si>
  <si>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</si>
  <si>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</si>
  <si>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</si>
  <si>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</si>
  <si>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</si>
  <si>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</si>
  <si>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</si>
  <si>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</si>
  <si>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</si>
  <si>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</si>
  <si>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</si>
  <si>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</si>
  <si>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</si>
  <si>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</si>
  <si>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</si>
  <si>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</si>
  <si>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</si>
  <si>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</si>
  <si>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</si>
  <si>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</si>
  <si>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</si>
  <si>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</si>
  <si>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</si>
  <si>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</si>
  <si>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</si>
  <si>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</si>
  <si>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</si>
  <si>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</si>
  <si>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</si>
  <si>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</si>
  <si>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</si>
  <si>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</si>
  <si>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</si>
  <si>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</si>
  <si>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</si>
  <si>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</si>
  <si>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</si>
  <si>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</si>
  <si>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</si>
  <si>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</si>
  <si>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</si>
  <si>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</si>
  <si>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</si>
  <si>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</si>
  <si>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</si>
  <si>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</si>
  <si>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</si>
  <si>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</si>
  <si>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</si>
  <si>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</si>
  <si>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</si>
  <si>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</si>
  <si>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</si>
  <si>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</si>
  <si>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</si>
  <si>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</si>
  <si>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</si>
  <si>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</si>
  <si>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</si>
  <si>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</si>
  <si>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</si>
  <si>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</si>
  <si>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</si>
  <si>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</si>
  <si>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</si>
  <si>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</si>
  <si>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</si>
  <si>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</si>
  <si>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</si>
  <si>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</si>
  <si>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</si>
  <si>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</si>
  <si>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</si>
  <si>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</si>
  <si>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</si>
  <si>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</si>
  <si>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</si>
  <si>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</si>
  <si>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</si>
  <si>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</si>
  <si>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</si>
  <si>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</si>
  <si>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</si>
  <si>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</si>
  <si>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</si>
  <si>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</si>
  <si>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</si>
  <si>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</si>
  <si>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</si>
  <si>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</si>
  <si>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</si>
  <si>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</si>
  <si>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</si>
  <si>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</si>
  <si>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</si>
  <si>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</si>
  <si>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</si>
  <si>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</si>
  <si>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</si>
  <si>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</si>
  <si>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</si>
  <si>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</si>
  <si>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</si>
  <si>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</si>
  <si>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</si>
  <si>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</si>
  <si>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</si>
  <si>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</si>
  <si>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</si>
  <si>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</si>
  <si>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</si>
  <si>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</si>
  <si>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</si>
  <si>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</si>
  <si>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</si>
  <si>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</si>
  <si>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</si>
  <si>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</si>
  <si>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</si>
  <si>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</si>
  <si>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</si>
  <si>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</si>
  <si>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</si>
  <si>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</si>
  <si>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</si>
  <si>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</si>
  <si>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</si>
  <si>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</si>
  <si>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</si>
  <si>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</si>
  <si>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</si>
  <si>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</si>
  <si>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</si>
  <si>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</si>
  <si>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</si>
  <si>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</si>
  <si>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</si>
  <si>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</si>
  <si>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</si>
  <si>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</si>
  <si>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</si>
  <si>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</si>
  <si>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</si>
  <si>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</si>
  <si>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</si>
  <si>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</si>
  <si>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</si>
  <si>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</si>
  <si>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</si>
  <si>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</si>
  <si>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</si>
  <si>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</si>
  <si>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</si>
  <si>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</si>
  <si>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</si>
  <si>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</si>
  <si>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</si>
  <si>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</si>
  <si>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</si>
  <si>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</si>
  <si>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</si>
  <si>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</si>
  <si>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</si>
  <si>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</si>
  <si>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</si>
  <si>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</si>
  <si>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</si>
  <si>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</si>
  <si>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</si>
  <si>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</si>
  <si>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</si>
  <si>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</si>
  <si>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</si>
  <si>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</si>
  <si>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</si>
  <si>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</si>
  <si>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</si>
  <si>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</si>
  <si>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</si>
  <si>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</si>
  <si>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</si>
  <si>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</si>
  <si>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</si>
  <si>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</si>
  <si>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</si>
  <si>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</si>
  <si>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</si>
  <si>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</si>
  <si>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</si>
  <si>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</si>
  <si>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</si>
  <si>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</si>
  <si>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</si>
  <si>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</si>
  <si>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</si>
  <si>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</si>
  <si>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</si>
  <si>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</si>
  <si>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</si>
  <si>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</si>
  <si>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</si>
  <si>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</si>
  <si>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</si>
  <si>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</si>
  <si>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</si>
  <si>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</si>
  <si>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</si>
  <si>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</si>
  <si>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</si>
  <si>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</si>
  <si>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</si>
  <si>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</si>
  <si>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</si>
  <si>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</si>
  <si>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</si>
  <si>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</si>
  <si>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</si>
  <si>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</si>
  <si>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</si>
  <si>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</si>
  <si>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</si>
  <si>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</si>
  <si>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</si>
  <si>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</si>
  <si>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</si>
  <si>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</si>
  <si>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</si>
  <si>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</si>
  <si>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</si>
  <si>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</si>
  <si>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</si>
  <si>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</si>
  <si>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</si>
  <si>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</si>
  <si>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</si>
  <si>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</si>
  <si>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</si>
  <si>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</si>
  <si>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</si>
  <si>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</si>
  <si>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</si>
  <si>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</si>
  <si>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</si>
  <si>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</si>
  <si>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</si>
  <si>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</si>
  <si>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</si>
  <si>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</si>
  <si>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</si>
  <si>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</si>
  <si>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</si>
  <si>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</si>
  <si>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</si>
  <si>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</si>
  <si>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</si>
  <si>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</si>
  <si>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</si>
  <si>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</si>
  <si>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</si>
  <si>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</si>
  <si>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</si>
  <si>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</si>
  <si>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</si>
  <si>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</si>
  <si>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</si>
  <si>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</si>
  <si>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</si>
  <si>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</si>
  <si>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</si>
  <si>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</si>
  <si>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</si>
  <si>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</si>
  <si>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</si>
  <si>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</si>
  <si>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</si>
  <si>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</si>
  <si>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</si>
  <si>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</si>
  <si>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</si>
  <si>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</si>
  <si>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</si>
  <si>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</si>
  <si>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</si>
  <si>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</si>
  <si>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</si>
  <si>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</si>
  <si>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</si>
  <si>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</si>
  <si>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</si>
  <si>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</si>
  <si>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</si>
  <si>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</si>
  <si>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</si>
  <si>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</si>
  <si>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</si>
  <si>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</si>
  <si>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</si>
  <si>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</si>
  <si>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</si>
  <si>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</si>
  <si>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</si>
  <si>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</si>
  <si>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</si>
  <si>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</si>
  <si>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</si>
  <si>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</si>
  <si>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</si>
  <si>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</si>
  <si>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</si>
  <si>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</si>
  <si>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</si>
  <si>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</si>
  <si>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</si>
  <si>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</si>
  <si>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</si>
  <si>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</si>
  <si>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</si>
  <si>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</si>
  <si>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</si>
  <si>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</si>
  <si>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</si>
  <si>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</si>
  <si>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</si>
  <si>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</si>
  <si>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</si>
  <si>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</si>
  <si>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</si>
  <si>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</si>
  <si>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</si>
  <si>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</si>
  <si>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</si>
  <si>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</si>
  <si>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</si>
  <si>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</si>
  <si>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</si>
  <si>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</si>
  <si>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</si>
  <si>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</si>
  <si>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</si>
  <si>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</si>
  <si>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</si>
  <si>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</si>
  <si>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</si>
  <si>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</si>
  <si>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</si>
  <si>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</si>
  <si>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</si>
  <si>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</si>
  <si>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</si>
  <si>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</si>
  <si>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</si>
  <si>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</si>
  <si>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</si>
  <si>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</si>
  <si>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</si>
  <si>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</si>
  <si>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</si>
  <si>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</si>
  <si>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</si>
  <si>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</si>
  <si>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</si>
  <si>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</si>
  <si>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</si>
  <si>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</si>
  <si>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</si>
  <si>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</si>
  <si>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</si>
  <si>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</si>
  <si>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</si>
  <si>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</si>
  <si>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</si>
  <si>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</si>
  <si>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</si>
  <si>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</si>
  <si>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</si>
  <si>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</si>
  <si>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</si>
  <si>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</si>
  <si>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</si>
  <si>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</si>
  <si>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</si>
  <si>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</si>
  <si>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</si>
  <si>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</si>
  <si>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</si>
  <si>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</si>
  <si>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</si>
  <si>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</si>
  <si>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</si>
  <si>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</si>
  <si>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</si>
  <si>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</si>
  <si>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</si>
  <si>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</si>
  <si>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</si>
  <si>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</si>
  <si>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</si>
  <si>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</si>
  <si>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</si>
  <si>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</si>
  <si>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</si>
  <si>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</si>
  <si>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</si>
  <si>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</si>
  <si>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</si>
  <si>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</si>
  <si>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</si>
  <si>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</si>
  <si>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</si>
  <si>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</si>
  <si>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</si>
  <si>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</si>
  <si>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</si>
  <si>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</si>
  <si>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</si>
  <si>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</si>
  <si>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</si>
  <si>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</si>
  <si>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</si>
  <si>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</si>
  <si>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</si>
  <si>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</si>
  <si>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</si>
  <si>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</si>
  <si>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</si>
  <si>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</si>
  <si>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</si>
  <si>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</si>
  <si>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</si>
  <si>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</si>
  <si>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</si>
  <si>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</si>
  <si>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</si>
  <si>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</si>
  <si>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</si>
  <si>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</si>
  <si>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</si>
  <si>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</si>
  <si>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</si>
  <si>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</si>
  <si>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</si>
  <si>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</si>
  <si>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</si>
  <si>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</si>
  <si>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</si>
  <si>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</si>
  <si>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</si>
  <si>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</si>
  <si>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</si>
  <si>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</si>
  <si>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</si>
  <si>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</si>
  <si>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</si>
  <si>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</si>
  <si>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</si>
  <si>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</si>
  <si>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</si>
  <si>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</si>
  <si>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</si>
  <si>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</si>
  <si>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</si>
  <si>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</si>
  <si>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</si>
  <si>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</si>
  <si>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</si>
  <si>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</si>
  <si>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</si>
  <si>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</si>
  <si>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</si>
  <si>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</si>
  <si>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</si>
  <si>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</si>
  <si>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</si>
  <si>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</si>
  <si>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</si>
  <si>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</si>
  <si>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</si>
  <si>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</si>
  <si>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</si>
  <si>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</si>
  <si>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</si>
  <si>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</si>
  <si>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</si>
  <si>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</si>
  <si>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</si>
  <si>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</si>
  <si>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</si>
  <si>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</si>
  <si>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</si>
  <si>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</si>
  <si>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</si>
  <si>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</si>
  <si>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</si>
  <si>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</si>
  <si>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</si>
  <si>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</si>
  <si>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</si>
  <si>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</si>
  <si>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</si>
  <si>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</si>
  <si>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</si>
  <si>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</si>
  <si>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</si>
  <si>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</si>
  <si>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</si>
  <si>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</si>
  <si>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</si>
  <si>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</si>
  <si>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</si>
  <si>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</si>
  <si>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</si>
  <si>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</si>
  <si>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</si>
  <si>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</si>
  <si>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</si>
  <si>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</si>
  <si>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</si>
  <si>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</si>
  <si>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</si>
  <si>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</si>
  <si>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</si>
  <si>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</si>
  <si>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</si>
  <si>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</si>
  <si>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</si>
  <si>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</si>
  <si>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</si>
  <si>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</si>
  <si>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</si>
  <si>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</si>
  <si>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</si>
  <si>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</si>
  <si>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</si>
  <si>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</si>
  <si>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</si>
  <si>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</si>
  <si>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</si>
  <si>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</si>
  <si>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</si>
  <si>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</si>
  <si>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</si>
  <si>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</si>
  <si>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</si>
  <si>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</si>
  <si>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</si>
  <si>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</si>
  <si>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</si>
  <si>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</si>
  <si>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</si>
  <si>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</si>
  <si>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</si>
  <si>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</si>
  <si>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</si>
  <si>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</si>
  <si>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</si>
  <si>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</si>
  <si>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</si>
  <si>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</si>
  <si>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</si>
  <si>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</si>
  <si>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</si>
  <si>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</si>
  <si>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</si>
  <si>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</si>
  <si>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</si>
  <si>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</si>
  <si>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</si>
  <si>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</si>
  <si>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</si>
  <si>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</si>
  <si>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</si>
  <si>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</si>
  <si>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</si>
  <si>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</si>
  <si>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</si>
  <si>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</si>
  <si>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</si>
  <si>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</si>
  <si>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</si>
  <si>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</si>
  <si>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</si>
  <si>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</si>
  <si>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</si>
  <si>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</si>
  <si>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</si>
  <si>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</si>
  <si>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</si>
  <si>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</si>
  <si>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</si>
  <si>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</si>
  <si>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</si>
  <si>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</si>
  <si>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</si>
  <si>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</si>
  <si>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</si>
  <si>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</si>
  <si>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</si>
  <si>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</si>
  <si>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</si>
  <si>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</si>
  <si>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</si>
  <si>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</si>
  <si>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</si>
  <si>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</si>
  <si>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</si>
  <si>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</si>
  <si>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</si>
  <si>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</si>
  <si>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</si>
  <si>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</si>
  <si>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</si>
  <si>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</si>
  <si>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</si>
  <si>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</si>
  <si>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</si>
  <si>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</si>
  <si>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</si>
  <si>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</si>
  <si>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</si>
  <si>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</si>
  <si>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</si>
  <si>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</si>
  <si>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</si>
  <si>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</si>
  <si>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</si>
  <si>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</si>
  <si>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</si>
  <si>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</si>
  <si>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</si>
  <si>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</si>
  <si>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</si>
  <si>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</si>
  <si>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</si>
  <si>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</si>
  <si>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</si>
  <si>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</si>
  <si>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</si>
  <si>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</si>
  <si>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</si>
  <si>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</si>
  <si>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</si>
  <si>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</si>
  <si>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</si>
  <si>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</si>
  <si>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</si>
  <si>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</si>
  <si>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</si>
  <si>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</si>
  <si>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</si>
  <si>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</si>
  <si>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</si>
  <si>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</si>
  <si>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</si>
  <si>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</si>
  <si>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</si>
  <si>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</si>
  <si>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</si>
  <si>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</si>
  <si>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</si>
  <si>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</si>
  <si>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</si>
  <si>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</si>
  <si>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</si>
  <si>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</si>
  <si>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</si>
  <si>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</si>
  <si>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</si>
  <si>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</si>
  <si>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</si>
  <si>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</si>
  <si>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</si>
  <si>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</si>
  <si>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</si>
  <si>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</si>
  <si>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</si>
  <si>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</si>
  <si>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</si>
  <si>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</si>
  <si>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</si>
  <si>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</si>
  <si>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</si>
  <si>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</si>
  <si>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</si>
  <si>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</si>
  <si>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</si>
  <si>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</si>
  <si>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</si>
  <si>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</si>
  <si>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</si>
  <si>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</si>
  <si>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</si>
  <si>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</si>
  <si>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</si>
  <si>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</si>
  <si>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</si>
  <si>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</si>
  <si>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</si>
  <si>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</si>
  <si>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</si>
  <si>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</si>
  <si>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</si>
  <si>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</si>
  <si>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</si>
  <si>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</si>
  <si>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</si>
  <si>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</si>
  <si>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</si>
  <si>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</si>
  <si>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</si>
  <si>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</si>
  <si>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</si>
  <si>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</si>
  <si>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</si>
  <si>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</si>
  <si>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</si>
  <si>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</si>
  <si>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</si>
  <si>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</si>
  <si>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</si>
  <si>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</si>
  <si>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</si>
  <si>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</si>
  <si>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</si>
  <si>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</si>
  <si>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</si>
  <si>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</si>
  <si>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</si>
  <si>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</si>
  <si>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</si>
  <si>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</si>
  <si>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</si>
  <si>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</si>
  <si>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</si>
  <si>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</si>
  <si>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</si>
  <si>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</si>
  <si>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</si>
  <si>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</si>
  <si>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</si>
  <si>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</si>
  <si>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</si>
  <si>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</si>
  <si>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</si>
  <si>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</si>
  <si>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</si>
  <si>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</si>
  <si>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</si>
  <si>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</si>
  <si>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</si>
  <si>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</si>
  <si>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</si>
  <si>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</si>
  <si>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</si>
  <si>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</si>
  <si>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</si>
  <si>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</si>
  <si>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</si>
  <si>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</si>
  <si>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</si>
  <si>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</si>
  <si>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</si>
  <si>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</si>
  <si>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</si>
  <si>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</si>
  <si>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</si>
  <si>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</si>
  <si>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</si>
  <si>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</si>
  <si>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</si>
  <si>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</si>
  <si>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</si>
  <si>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</si>
  <si>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</si>
  <si>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</si>
  <si>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</si>
  <si>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</si>
  <si>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</si>
  <si>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</si>
  <si>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</si>
  <si>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</si>
  <si>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</si>
  <si>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</si>
  <si>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</si>
  <si>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</si>
  <si>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</si>
  <si>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</si>
  <si>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</si>
  <si>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</si>
  <si>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</si>
  <si>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</si>
  <si>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</si>
  <si>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</si>
  <si>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</si>
  <si>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</si>
  <si>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</si>
  <si>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</si>
  <si>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</si>
  <si>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</si>
  <si>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</si>
  <si>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</si>
  <si>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</si>
  <si>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</si>
  <si>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</si>
  <si>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</si>
  <si>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</si>
  <si>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</si>
  <si>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</si>
  <si>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</si>
  <si>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</si>
  <si>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</si>
  <si>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</si>
  <si>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</si>
  <si>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</si>
  <si>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</si>
  <si>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</si>
  <si>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</si>
  <si>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</si>
  <si>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</si>
  <si>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</si>
  <si>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</si>
  <si>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</si>
  <si>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</si>
  <si>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</si>
  <si>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</si>
  <si>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</si>
  <si>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</si>
  <si>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</si>
  <si>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</si>
  <si>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</si>
  <si>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</si>
  <si>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</si>
  <si>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</si>
  <si>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</si>
  <si>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</si>
  <si>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</si>
  <si>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</si>
  <si>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</si>
  <si>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</si>
  <si>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</si>
  <si>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</si>
  <si>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</si>
  <si>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</si>
  <si>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</si>
  <si>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</si>
  <si>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</si>
  <si>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</si>
  <si>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</si>
  <si>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</si>
  <si>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</si>
  <si>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</si>
  <si>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</si>
  <si>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</si>
  <si>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</si>
  <si>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</si>
  <si>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</si>
  <si>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</si>
  <si>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</si>
  <si>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</si>
  <si>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</si>
  <si>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</si>
  <si>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</si>
  <si>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</si>
  <si>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</si>
  <si>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</si>
  <si>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</si>
  <si>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</si>
  <si>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</si>
  <si>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</si>
  <si>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</si>
  <si>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</si>
  <si>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</si>
  <si>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</si>
  <si>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</si>
  <si>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</si>
  <si>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</si>
  <si>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</si>
  <si>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</si>
  <si>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</si>
  <si>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</si>
  <si>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</si>
  <si>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</si>
  <si>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</si>
  <si>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</si>
  <si>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</si>
  <si>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</si>
  <si>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</si>
  <si>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</si>
  <si>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</si>
  <si>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</si>
  <si>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</si>
  <si>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</si>
  <si>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</si>
  <si>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</si>
  <si>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</si>
  <si>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</si>
  <si>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</si>
  <si>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</si>
  <si>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</si>
  <si>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</si>
  <si>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</si>
  <si>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</si>
  <si>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</si>
  <si>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</si>
  <si>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</si>
  <si>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</si>
  <si>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</si>
  <si>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</si>
  <si>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</si>
  <si>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</si>
  <si>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</si>
  <si>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</si>
  <si>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</si>
  <si>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</si>
  <si>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</si>
  <si>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</si>
  <si>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</si>
  <si>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</si>
  <si>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</si>
  <si>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</si>
  <si>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</si>
  <si>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</si>
  <si>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</si>
  <si>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</si>
  <si>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</si>
  <si>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</si>
  <si>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</si>
  <si>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</si>
  <si>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</si>
  <si>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</si>
  <si>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</si>
  <si>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</si>
  <si>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</si>
  <si>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</si>
  <si>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</si>
  <si>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</si>
  <si>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</si>
  <si>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</si>
  <si>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</si>
  <si>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</si>
  <si>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</si>
  <si>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</si>
  <si>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</si>
  <si>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</si>
  <si>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</si>
  <si>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</si>
  <si>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</si>
  <si>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</si>
  <si>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</si>
  <si>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</si>
  <si>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</si>
  <si>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</si>
  <si>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</si>
  <si>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</si>
  <si>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</si>
  <si>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</si>
  <si>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</si>
  <si>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</si>
  <si>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</si>
  <si>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</si>
  <si>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</si>
  <si>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</si>
  <si>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</si>
  <si>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</si>
  <si>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</si>
  <si>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</si>
  <si>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</si>
  <si>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</si>
  <si>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</si>
  <si>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</si>
  <si>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</si>
  <si>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</si>
  <si>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</si>
  <si>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</si>
  <si>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</si>
  <si>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</si>
  <si>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</si>
  <si>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</si>
  <si>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</si>
  <si>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</si>
  <si>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</si>
  <si>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</si>
  <si>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</si>
  <si>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</si>
  <si>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</si>
  <si>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</si>
  <si>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</si>
  <si>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</si>
  <si>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</si>
  <si>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</si>
  <si>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</si>
  <si>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</si>
  <si>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</si>
  <si>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</si>
  <si>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</si>
  <si>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</si>
  <si>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</si>
  <si>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</si>
  <si>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</si>
  <si>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</si>
  <si>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</si>
  <si>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</si>
  <si>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</si>
  <si>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</si>
  <si>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</si>
  <si>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</si>
  <si>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</si>
  <si>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</si>
  <si>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</si>
  <si>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</si>
  <si>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</si>
  <si>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</si>
  <si>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</si>
  <si>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</si>
  <si>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</si>
  <si>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</si>
  <si>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</si>
  <si>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</si>
  <si>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</si>
  <si>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</si>
  <si>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</si>
  <si>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</si>
  <si>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</si>
  <si>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</si>
  <si>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</si>
  <si>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</si>
  <si>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</si>
  <si>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</si>
  <si>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</si>
  <si>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</si>
  <si>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</si>
  <si>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</si>
  <si>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</si>
  <si>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</si>
  <si>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</si>
  <si>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</si>
  <si>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</si>
  <si>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</si>
  <si>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</si>
  <si>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</si>
  <si>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</si>
  <si>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</si>
  <si>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</si>
  <si>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</si>
  <si>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</si>
  <si>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</si>
  <si>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</si>
  <si>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</si>
  <si>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</si>
  <si>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</si>
  <si>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</si>
  <si>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</si>
  <si>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</si>
  <si>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</si>
  <si>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</si>
  <si>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</si>
  <si>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</si>
  <si>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</si>
  <si>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</si>
  <si>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</si>
  <si>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</si>
  <si>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</si>
  <si>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</si>
  <si>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</si>
  <si>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</si>
  <si>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</si>
  <si>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</si>
  <si>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</si>
  <si>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</si>
  <si>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</si>
  <si>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</si>
  <si>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</si>
  <si>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</si>
  <si>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</si>
  <si>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</si>
  <si>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</si>
  <si>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</si>
  <si>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</si>
  <si>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</si>
  <si>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</si>
  <si>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</si>
  <si>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</si>
  <si>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</si>
  <si>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</si>
  <si>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</si>
  <si>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</si>
  <si>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</si>
  <si>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</si>
  <si>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</si>
  <si>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</si>
  <si>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</si>
  <si>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</si>
  <si>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</si>
  <si>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</si>
  <si>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</si>
  <si>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</si>
  <si>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</si>
  <si>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</si>
  <si>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</si>
  <si>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</si>
  <si>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</si>
  <si>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</si>
  <si>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</si>
  <si>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</si>
  <si>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</si>
  <si>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</si>
  <si>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</si>
  <si>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</si>
  <si>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</si>
  <si>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</si>
  <si>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</si>
  <si>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</si>
  <si>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</si>
  <si>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</si>
  <si>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</si>
  <si>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</si>
  <si>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</si>
  <si>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</si>
  <si>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</si>
  <si>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</si>
  <si>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</si>
  <si>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</si>
  <si>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</si>
  <si>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</si>
  <si>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</si>
  <si>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</si>
  <si>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</si>
  <si>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</si>
  <si>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</si>
  <si>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</si>
  <si>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</si>
  <si>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</si>
  <si>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</si>
  <si>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</si>
  <si>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</si>
  <si>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</si>
  <si>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</si>
  <si>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</si>
  <si>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</si>
  <si>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</si>
  <si>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</si>
  <si>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</si>
  <si>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</si>
  <si>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</si>
  <si>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</si>
  <si>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</si>
  <si>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</si>
  <si>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</si>
  <si>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</si>
  <si>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</si>
  <si>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</si>
  <si>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</si>
  <si>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</si>
  <si>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</si>
  <si>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</si>
  <si>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</si>
  <si>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</si>
  <si>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</si>
  <si>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</si>
  <si>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</si>
  <si>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</si>
  <si>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</si>
  <si>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</si>
  <si>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</si>
  <si>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</si>
  <si>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</si>
  <si>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</si>
  <si>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</si>
  <si>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</si>
  <si>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</si>
  <si>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</si>
  <si>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</si>
  <si>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</si>
  <si>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</si>
  <si>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</si>
  <si>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</si>
  <si>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</si>
  <si>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</si>
  <si>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</si>
  <si>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</si>
  <si>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</si>
  <si>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</si>
  <si>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</si>
  <si>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</si>
  <si>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</si>
  <si>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</si>
  <si>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</si>
  <si>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</si>
  <si>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</si>
  <si>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</si>
  <si>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</si>
  <si>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</si>
  <si>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</si>
  <si>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</si>
  <si>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</si>
  <si>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</si>
  <si>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</si>
  <si>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</si>
  <si>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</si>
  <si>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</si>
  <si>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</si>
  <si>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</si>
  <si>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</si>
  <si>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</si>
  <si>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</si>
  <si>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</si>
  <si>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</si>
  <si>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</si>
  <si>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</si>
  <si>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</si>
  <si>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</si>
  <si>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</si>
  <si>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</si>
  <si>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</si>
  <si>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</si>
  <si>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</si>
  <si>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</si>
  <si>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</si>
  <si>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</si>
  <si>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</si>
  <si>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</si>
  <si>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</si>
  <si>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</si>
  <si>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</si>
  <si>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</si>
  <si>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</si>
  <si>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</si>
  <si>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</si>
  <si>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</si>
  <si>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</si>
  <si>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</si>
  <si>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</si>
  <si>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</si>
  <si>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</si>
  <si>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</si>
  <si>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</si>
  <si>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</si>
  <si>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</si>
  <si>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</si>
  <si>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</si>
  <si>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</si>
  <si>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</si>
  <si>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</si>
  <si>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</si>
  <si>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</si>
  <si>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</si>
  <si>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</si>
  <si>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</si>
  <si>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</si>
  <si>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</si>
  <si>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</si>
  <si>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</si>
  <si>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</si>
  <si>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</si>
  <si>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</si>
  <si>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</si>
  <si>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</si>
  <si>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</si>
  <si>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</si>
  <si>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</si>
  <si>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</si>
  <si>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</si>
  <si>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</si>
  <si>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</si>
  <si>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</si>
  <si>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</si>
  <si>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</si>
  <si>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</si>
  <si>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</si>
  <si>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</si>
  <si>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</si>
  <si>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</si>
  <si>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</si>
  <si>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</si>
  <si>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</si>
  <si>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</si>
  <si>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</si>
  <si>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</si>
  <si>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</si>
  <si>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</si>
  <si>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</si>
  <si>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</si>
  <si>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</si>
  <si>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</si>
  <si>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</si>
  <si>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</si>
  <si>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</si>
  <si>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</si>
  <si>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</si>
  <si>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</si>
  <si>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</si>
  <si>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</si>
  <si>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</si>
  <si>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</si>
  <si>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</si>
  <si>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</si>
  <si>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</si>
  <si>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</si>
  <si>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</si>
  <si>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</si>
  <si>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</si>
  <si>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</si>
  <si>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</si>
  <si>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</si>
  <si>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</si>
  <si>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</si>
  <si>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</si>
  <si>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</si>
  <si>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</si>
  <si>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</si>
  <si>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</si>
  <si>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</si>
  <si>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</si>
  <si>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</si>
  <si>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</si>
  <si>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</si>
  <si>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</si>
  <si>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</si>
  <si>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</si>
  <si>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</si>
  <si>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</si>
  <si>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</si>
  <si>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</si>
  <si>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</si>
  <si>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</si>
  <si>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</si>
  <si>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</si>
  <si>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</si>
  <si>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</si>
  <si>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</si>
  <si>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</si>
  <si>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</si>
  <si>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</si>
  <si>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</si>
  <si>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</si>
  <si>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</si>
  <si>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</si>
  <si>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</si>
  <si>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</si>
  <si>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</si>
  <si>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</si>
  <si>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</si>
  <si>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</si>
  <si>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</si>
  <si>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</si>
  <si>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</si>
  <si>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</si>
  <si>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ACTBND~UP~AZ1</t>
  </si>
  <si>
    <t>ACTBND~UP~2015~AZ1</t>
  </si>
  <si>
    <t>BNDACT~FX~AZ1</t>
  </si>
  <si>
    <t>BNDACT~FX~2015~AZ1</t>
  </si>
  <si>
    <t>BNDACT~FX~2020~AZ1</t>
  </si>
  <si>
    <t>BNDACT~LO~2025~AZ1</t>
  </si>
  <si>
    <t>BNDACT~LO~2030~AZ1</t>
  </si>
  <si>
    <t>BNDACT~LO~2035~AZ1</t>
  </si>
  <si>
    <t>SREFAZ1</t>
  </si>
  <si>
    <t>AZ1</t>
  </si>
  <si>
    <t>Share between AZ1 and NO2</t>
  </si>
  <si>
    <t>BNDACT~UP~AZ1</t>
  </si>
  <si>
    <t>BNDACT~UP~2011~AZ1</t>
  </si>
  <si>
    <t>BNDACT~UP~2012~AZ1</t>
  </si>
  <si>
    <t>BNDACT~UP~2013~AZ1</t>
  </si>
  <si>
    <t>BNDACT~UP~2014~AZ1</t>
  </si>
  <si>
    <t>BNDACT~UP~2015~AZ1</t>
  </si>
  <si>
    <t>Crude level 2010 (PJ) AZ1</t>
  </si>
  <si>
    <t>2012.AZ1</t>
  </si>
  <si>
    <t>Other non energy related commodities</t>
  </si>
  <si>
    <t>Refinery Azerbaijan 1</t>
  </si>
  <si>
    <t>ACTBND~UP~AZ2</t>
  </si>
  <si>
    <t>ACTBND~UP~2015~AZ2</t>
  </si>
  <si>
    <t>ACTBND~UP~AZ3</t>
  </si>
  <si>
    <t>ACTBND~UP~2015~AZ3</t>
  </si>
  <si>
    <t>SYN</t>
  </si>
  <si>
    <t>RE syn gas</t>
  </si>
  <si>
    <t>HETCP</t>
  </si>
  <si>
    <t>HETDP</t>
  </si>
  <si>
    <t>FIXOM</t>
  </si>
  <si>
    <t>CAP2ACT</t>
  </si>
  <si>
    <t>AFA</t>
  </si>
  <si>
    <t>LIFE</t>
  </si>
  <si>
    <t>ELCHIG</t>
  </si>
  <si>
    <t>Power transmission line high voltage</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</si>
  <si>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</si>
  <si>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</si>
  <si>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</si>
  <si>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</si>
  <si>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</si>
  <si>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</si>
  <si>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</si>
  <si>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</si>
  <si>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</si>
  <si>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</si>
  <si>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</si>
  <si>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</si>
  <si>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</si>
  <si>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</si>
  <si>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</si>
  <si>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</si>
  <si>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</si>
  <si>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</si>
  <si>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</si>
  <si>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</si>
  <si>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</si>
  <si>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</si>
  <si>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</si>
  <si>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</si>
  <si>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</si>
  <si>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</si>
  <si>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</si>
  <si>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</si>
  <si>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</si>
  <si>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</si>
  <si>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</si>
  <si>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</si>
  <si>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</si>
  <si>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</si>
  <si>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</si>
  <si>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</si>
  <si>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</si>
  <si>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</si>
  <si>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</si>
  <si>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</si>
  <si>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</si>
  <si>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</si>
  <si>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</si>
  <si>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</si>
  <si>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</si>
  <si>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</si>
  <si>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</si>
  <si>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</si>
  <si>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</si>
  <si>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</si>
  <si>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</si>
  <si>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</si>
  <si>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</si>
  <si>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</si>
  <si>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</si>
  <si>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</si>
  <si>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</si>
  <si>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</si>
  <si>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</si>
  <si>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</si>
  <si>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</si>
  <si>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</si>
  <si>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</si>
  <si>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</si>
  <si>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</si>
  <si>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</si>
  <si>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</si>
  <si>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</si>
  <si>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</si>
  <si>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</si>
  <si>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</si>
  <si>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</si>
  <si>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</si>
  <si>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</si>
  <si>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</si>
  <si>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</si>
  <si>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</si>
  <si>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</si>
  <si>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</si>
  <si>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</si>
  <si>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</si>
  <si>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</si>
  <si>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</si>
  <si>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</si>
  <si>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</si>
  <si>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</si>
  <si>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</si>
  <si>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</si>
  <si>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</si>
  <si>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</si>
  <si>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</si>
  <si>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</si>
  <si>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</si>
  <si>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</si>
  <si>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</si>
  <si>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</si>
  <si>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</si>
  <si>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</si>
  <si>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</si>
  <si>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</si>
  <si>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</si>
  <si>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</si>
  <si>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</si>
  <si>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</si>
  <si>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</si>
  <si>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</si>
  <si>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</si>
  <si>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</si>
  <si>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</si>
  <si>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</si>
  <si>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</si>
  <si>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</si>
  <si>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</si>
  <si>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</si>
  <si>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</si>
  <si>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ACTBND~UP~2020~AZ1</t>
  </si>
  <si>
    <t>ACTBND~UP~2020~AZ2</t>
  </si>
  <si>
    <t>ACTBND~UP~2020~AZ3</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</si>
  <si>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</si>
  <si>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</si>
  <si>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</si>
  <si>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</si>
  <si>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</si>
  <si>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</si>
  <si>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</si>
  <si>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</si>
  <si>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~FI_T: AZ1</t>
  </si>
  <si>
    <t>BNDACT~FX~2019~AZ1</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</si>
  <si>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</si>
  <si>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</si>
  <si>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</si>
  <si>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</si>
  <si>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</si>
  <si>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</si>
  <si>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</si>
  <si>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Export technology - Electricity to Russia</t>
  </si>
  <si>
    <t>Export technology - Electricity to Iran</t>
  </si>
  <si>
    <t>Export technology - Electricity to Turkey</t>
  </si>
  <si>
    <t>Export technology - Electricity to Georgia</t>
  </si>
  <si>
    <t>Import technology - Electricity to Russia</t>
  </si>
  <si>
    <t>Import technology - Electricity to Iran</t>
  </si>
  <si>
    <t>Import technology - Electricity to Turkey</t>
  </si>
  <si>
    <t>Import technology - Electricity to Georgia</t>
  </si>
  <si>
    <t>IMPELC-AZRU</t>
  </si>
  <si>
    <t>IMPELC-AZIR</t>
  </si>
  <si>
    <t>IMPELC-AZTU</t>
  </si>
  <si>
    <t>IMPELC-AZGE</t>
  </si>
  <si>
    <t>EXPELC-AZRU</t>
  </si>
  <si>
    <t>EXPELC-AZIR</t>
  </si>
  <si>
    <t>EXPELC-AZTU</t>
  </si>
  <si>
    <t>EXPELC-AZGE</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</si>
  <si>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</si>
  <si>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</si>
  <si>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</si>
  <si>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</si>
  <si>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</si>
  <si>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</si>
  <si>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</si>
  <si>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</si>
  <si>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</si>
  <si>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</si>
  <si>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</si>
  <si>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</si>
  <si>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</si>
  <si>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</si>
  <si>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</si>
  <si>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</si>
  <si>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</si>
  <si>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</si>
  <si>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</si>
  <si>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</si>
  <si>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</si>
  <si>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</si>
  <si>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</si>
  <si>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</si>
  <si>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</si>
  <si>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</si>
  <si>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</si>
  <si>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</si>
  <si>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</si>
  <si>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</si>
  <si>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</si>
  <si>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</si>
  <si>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</si>
  <si>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</si>
  <si>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</si>
  <si>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</si>
  <si>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</si>
  <si>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</si>
  <si>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</si>
  <si>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</si>
  <si>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</si>
  <si>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</si>
  <si>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</si>
  <si>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</si>
  <si>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</si>
  <si>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</si>
  <si>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</si>
  <si>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</si>
  <si>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</si>
  <si>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</si>
  <si>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</si>
  <si>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</si>
  <si>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</si>
  <si>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</si>
  <si>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</si>
  <si>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</si>
  <si>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</si>
  <si>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</si>
  <si>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</si>
  <si>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</si>
  <si>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</si>
  <si>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</si>
  <si>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</si>
  <si>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</si>
  <si>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</si>
  <si>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</si>
  <si>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</si>
  <si>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</si>
  <si>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</si>
  <si>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</si>
  <si>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</si>
  <si>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</si>
  <si>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</si>
  <si>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</si>
  <si>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FT-GRDELCHIGH</t>
  </si>
  <si>
    <t>FT-GRDELCMID</t>
  </si>
  <si>
    <t>FT-GRDELCLOW</t>
  </si>
  <si>
    <t>FT-GRDHETSPE</t>
  </si>
  <si>
    <t>FT-GRDHETRPE</t>
  </si>
  <si>
    <t>FT-GRDNGAD</t>
  </si>
  <si>
    <t>FT-GRDHETUPE</t>
  </si>
  <si>
    <t>FT-GRDNGAT</t>
  </si>
  <si>
    <t>STOCK~AZ1</t>
  </si>
  <si>
    <t>STOCK~AZ2</t>
  </si>
  <si>
    <t>STOCK~AZ3</t>
  </si>
  <si>
    <t>NCAP_BND</t>
  </si>
  <si>
    <t>NCAP_BND~0</t>
  </si>
  <si>
    <t>HETSP</t>
  </si>
  <si>
    <t>Heat from district heating system Suburban</t>
  </si>
  <si>
    <t>STOCK~AZ1~2020</t>
  </si>
  <si>
    <t>STOCK~AZ2~2020</t>
  </si>
  <si>
    <t>STOCK~AZ3~2020</t>
  </si>
  <si>
    <t>Mining technology - Biomass</t>
  </si>
  <si>
    <t>STOCK~AZ1~2070</t>
  </si>
  <si>
    <t>STOCK~AZ2~2070</t>
  </si>
  <si>
    <t>STOCK~AZ3~2070</t>
  </si>
  <si>
    <t>ACTBND~UP~0~AZ1</t>
  </si>
  <si>
    <t>ACTBND~UP~0~AZ2</t>
  </si>
  <si>
    <t>ACTBND~UP~0~AZ3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</si>
</sst>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s>
  <fills count="102">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4">
    <xf numFmtId="0" fontId="0" fillId="0" borderId="0"/>
    <xf numFmtId="177" fontId="12" fillId="0" borderId="0"/>
    <xf numFmtId="3" fontId="12" fillId="37" borderId="77" applyFont="0" applyFill="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2" fillId="0" borderId="0" applyNumberFormat="0" applyFont="0" applyFill="0" applyBorder="0" applyProtection="0">
      <alignment horizontal="left" vertical="center" indent="5"/>
    </xf>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4" fontId="42" fillId="21" borderId="2">
      <alignment horizontal="right" vertical="center"/>
    </xf>
    <xf numFmtId="4" fontId="42" fillId="21" borderId="2">
      <alignment horizontal="right" vertical="center"/>
    </xf>
    <xf numFmtId="0" fontId="66" fillId="38" borderId="0" applyNumberFormat="0" applyBorder="0" applyAlignment="0" applyProtection="0"/>
    <xf numFmtId="3" fontId="67" fillId="39" borderId="77" applyNumberFormat="0" applyBorder="0" applyAlignment="0" applyProtection="0"/>
    <xf numFmtId="0" fontId="16" fillId="23" borderId="1" applyNumberFormat="0" applyAlignment="0" applyProtection="0"/>
    <xf numFmtId="0" fontId="68" fillId="40" borderId="77" applyNumberFormat="0" applyAlignment="0" applyProtection="0"/>
    <xf numFmtId="0" fontId="33" fillId="37" borderId="77" applyNumberFormat="0" applyBorder="0" applyAlignment="0" applyProtection="0"/>
    <xf numFmtId="0" fontId="17" fillId="0" borderId="3" applyNumberFormat="0" applyFill="0" applyAlignment="0" applyProtection="0"/>
    <xf numFmtId="0" fontId="18" fillId="24" borderId="4" applyNumberForma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59"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12"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7" fillId="0" borderId="0"/>
    <xf numFmtId="0" fontId="43" fillId="0" borderId="5">
      <alignment horizontal="left" vertical="center" wrapText="1" indent="2"/>
    </xf>
    <xf numFmtId="168"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77"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0" fontId="37" fillId="0" borderId="0"/>
    <xf numFmtId="0" fontId="69" fillId="41" borderId="0" applyNumberFormat="0" applyBorder="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0" applyNumberFormat="0" applyFill="0" applyBorder="0" applyAlignment="0" applyProtection="0"/>
    <xf numFmtId="177" fontId="63" fillId="0" borderId="0" applyNumberFormat="0" applyFill="0" applyBorder="0" applyAlignment="0" applyProtection="0">
      <alignment vertical="top"/>
      <protection locked="0"/>
    </xf>
    <xf numFmtId="0" fontId="19" fillId="8" borderId="1" applyNumberFormat="0" applyAlignment="0" applyProtection="0"/>
    <xf numFmtId="0" fontId="19" fillId="8" borderId="1" applyNumberFormat="0" applyAlignment="0" applyProtection="0"/>
    <xf numFmtId="0" fontId="73" fillId="42" borderId="77" applyNumberFormat="0" applyAlignment="0" applyProtection="0"/>
    <xf numFmtId="4" fontId="43" fillId="0" borderId="0" applyBorder="0">
      <alignment horizontal="right" vertical="center"/>
    </xf>
    <xf numFmtId="165" fontId="48" fillId="0" borderId="0" applyFont="0" applyFill="0" applyBorder="0" applyAlignment="0" applyProtection="0"/>
    <xf numFmtId="165" fontId="14"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0" fontId="74" fillId="0" borderId="0" applyNumberFormat="0" applyFill="0" applyBorder="0" applyAlignment="0" applyProtection="0"/>
    <xf numFmtId="178" fontId="75" fillId="43" borderId="0" applyNumberFormat="0" applyBorder="0" applyAlignment="0" applyProtection="0">
      <alignment horizontal="center" vertical="top" wrapText="1"/>
    </xf>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165"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0" fontId="21" fillId="26" borderId="0" applyNumberFormat="0" applyBorder="0" applyAlignment="0" applyProtection="0"/>
    <xf numFmtId="0" fontId="12" fillId="0" borderId="0"/>
    <xf numFmtId="0" fontId="12" fillId="0" borderId="0"/>
    <xf numFmtId="0" fontId="37" fillId="0" borderId="0"/>
    <xf numFmtId="0" fontId="12" fillId="0" borderId="0"/>
    <xf numFmtId="0" fontId="37" fillId="0" borderId="0"/>
    <xf numFmtId="0" fontId="32" fillId="0" borderId="0" applyFill="0" applyBorder="0"/>
    <xf numFmtId="0" fontId="60" fillId="0" borderId="0"/>
    <xf numFmtId="0" fontId="37" fillId="0" borderId="0"/>
    <xf numFmtId="0" fontId="65" fillId="0" borderId="0"/>
    <xf numFmtId="0" fontId="12" fillId="0" borderId="0"/>
    <xf numFmtId="0" fontId="65" fillId="0" borderId="0"/>
    <xf numFmtId="0" fontId="76" fillId="0" borderId="0"/>
    <xf numFmtId="0" fontId="12" fillId="0" borderId="0"/>
    <xf numFmtId="0" fontId="77" fillId="0" borderId="0"/>
    <xf numFmtId="0" fontId="65" fillId="0" borderId="0"/>
    <xf numFmtId="0" fontId="12" fillId="0" borderId="0"/>
    <xf numFmtId="0" fontId="77" fillId="0" borderId="0"/>
    <xf numFmtId="0" fontId="40" fillId="0" borderId="0"/>
    <xf numFmtId="0" fontId="40" fillId="0" borderId="0"/>
    <xf numFmtId="0" fontId="65" fillId="0" borderId="0"/>
    <xf numFmtId="178" fontId="33" fillId="37" borderId="0" applyNumberFormat="0" applyBorder="0" applyAlignment="0"/>
    <xf numFmtId="4" fontId="43" fillId="0" borderId="2" applyFill="0" applyBorder="0" applyProtection="0">
      <alignment horizontal="right" vertical="center"/>
    </xf>
    <xf numFmtId="0" fontId="44" fillId="0" borderId="0" applyNumberFormat="0" applyFill="0" applyBorder="0" applyProtection="0">
      <alignment horizontal="left" vertical="center"/>
    </xf>
    <xf numFmtId="0" fontId="12" fillId="27" borderId="0" applyNumberFormat="0" applyFont="0" applyBorder="0" applyAlignment="0" applyProtection="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4" fillId="0" borderId="0"/>
    <xf numFmtId="0" fontId="14"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41" fillId="0" borderId="0"/>
    <xf numFmtId="0" fontId="11"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40"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12" fillId="28" borderId="9" applyNumberFormat="0" applyFont="0" applyAlignment="0" applyProtection="0"/>
    <xf numFmtId="0" fontId="40"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0" fontId="22" fillId="23" borderId="10" applyNumberFormat="0" applyAlignment="0" applyProtection="0"/>
    <xf numFmtId="0" fontId="22" fillId="23" borderId="10" applyNumberFormat="0" applyAlignment="0" applyProtection="0"/>
    <xf numFmtId="0" fontId="78" fillId="40" borderId="80" applyNumberFormat="0" applyAlignment="0" applyProtection="0"/>
    <xf numFmtId="0" fontId="79" fillId="44" borderId="0" applyNumberFormat="0" applyAlignment="0" applyProtection="0"/>
    <xf numFmtId="0" fontId="80" fillId="45" borderId="0" applyNumberFormat="0" applyAlignment="0" applyProtection="0"/>
    <xf numFmtId="0" fontId="81" fillId="46" borderId="0" applyNumberFormat="0" applyAlignment="0" applyProtection="0"/>
    <xf numFmtId="178" fontId="62" fillId="2" borderId="0" applyNumberFormat="0" applyFill="0" applyBorder="0" applyAlignment="0">
      <alignment horizontal="center"/>
    </xf>
    <xf numFmtId="0" fontId="37" fillId="0" borderId="0"/>
    <xf numFmtId="9" fontId="11"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8" fillId="0" borderId="0" applyFont="0" applyFill="0" applyBorder="0" applyAlignment="0" applyProtection="0"/>
    <xf numFmtId="9" fontId="14" fillId="0" borderId="0" applyFont="0" applyFill="0" applyBorder="0" applyAlignment="0" applyProtection="0"/>
    <xf numFmtId="9" fontId="65" fillId="0" borderId="0" applyFont="0" applyFill="0" applyBorder="0" applyAlignment="0" applyProtection="0"/>
    <xf numFmtId="0" fontId="12" fillId="0" borderId="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9" fillId="0" borderId="11" applyNumberFormat="0" applyFill="0" applyAlignment="0" applyProtection="0"/>
    <xf numFmtId="0" fontId="83" fillId="40" borderId="77" applyNumberFormat="0" applyFill="0" applyBorder="0" applyAlignment="0" applyProtection="0"/>
    <xf numFmtId="0" fontId="30" fillId="4" borderId="0" applyNumberFormat="0" applyBorder="0" applyAlignment="0" applyProtection="0"/>
    <xf numFmtId="0" fontId="31" fillId="5" borderId="0" applyNumberFormat="0" applyBorder="0" applyAlignment="0" applyProtection="0"/>
    <xf numFmtId="0" fontId="61" fillId="40" borderId="77" applyFill="0" applyBorder="0" applyAlignment="0" applyProtection="0"/>
    <xf numFmtId="4" fontId="43" fillId="0" borderId="0"/>
    <xf numFmtId="0" fontId="10" fillId="0" borderId="0"/>
    <xf numFmtId="165" fontId="10" fillId="0" borderId="0" applyFont="0" applyFill="0" applyBorder="0" applyAlignment="0" applyProtection="0"/>
    <xf numFmtId="0" fontId="11" fillId="0" borderId="0"/>
    <xf numFmtId="0" fontId="66" fillId="38" borderId="0" applyNumberFormat="0" applyBorder="0" applyAlignment="0" applyProtection="0"/>
    <xf numFmtId="0" fontId="68" fillId="40" borderId="77" applyNumberForma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7" fillId="0" borderId="0"/>
    <xf numFmtId="0" fontId="77" fillId="0" borderId="0"/>
    <xf numFmtId="0" fontId="77" fillId="0" borderId="0"/>
    <xf numFmtId="177" fontId="11" fillId="0" borderId="0"/>
    <xf numFmtId="3" fontId="11" fillId="37" borderId="77" applyFont="0" applyFill="0" applyBorder="0" applyAlignment="0" applyProtection="0"/>
    <xf numFmtId="0" fontId="11" fillId="0" borderId="0" applyNumberFormat="0" applyFont="0" applyFill="0" applyBorder="0" applyProtection="0">
      <alignment horizontal="left" vertical="center" indent="5"/>
    </xf>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7"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27"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95"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7" fillId="0" borderId="0"/>
    <xf numFmtId="0" fontId="66" fillId="38" borderId="0" applyNumberFormat="0" applyBorder="0" applyAlignment="0" applyProtection="0"/>
    <xf numFmtId="0" fontId="8" fillId="0" borderId="0"/>
    <xf numFmtId="0" fontId="8" fillId="0" borderId="0"/>
    <xf numFmtId="0" fontId="8" fillId="0" borderId="0"/>
    <xf numFmtId="0" fontId="8" fillId="0" borderId="0"/>
    <xf numFmtId="0" fontId="77" fillId="0" borderId="0"/>
    <xf numFmtId="0" fontId="11" fillId="0" borderId="0"/>
    <xf numFmtId="0" fontId="77" fillId="0" borderId="0"/>
    <xf numFmtId="0" fontId="8" fillId="0" borderId="0"/>
    <xf numFmtId="0" fontId="8" fillId="0" borderId="0"/>
    <xf numFmtId="0" fontId="8" fillId="0" borderId="0"/>
    <xf numFmtId="0" fontId="8" fillId="0" borderId="0"/>
    <xf numFmtId="0" fontId="97" fillId="0" borderId="0" applyNumberFormat="0" applyFill="0" applyBorder="0" applyAlignment="0" applyProtection="0"/>
    <xf numFmtId="0" fontId="98" fillId="38" borderId="0" applyNumberFormat="0" applyBorder="0" applyAlignment="0" applyProtection="0"/>
    <xf numFmtId="0" fontId="99" fillId="56" borderId="0" applyNumberFormat="0" applyBorder="0" applyAlignment="0" applyProtection="0"/>
    <xf numFmtId="0" fontId="100" fillId="0" borderId="84" applyNumberFormat="0" applyFill="0" applyAlignment="0" applyProtection="0"/>
    <xf numFmtId="0" fontId="101" fillId="57" borderId="85" applyNumberFormat="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82" fillId="0" borderId="87" applyNumberFormat="0" applyFill="0" applyAlignment="0" applyProtection="0"/>
    <xf numFmtId="0" fontId="104" fillId="59"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104" fillId="70" borderId="0" applyNumberFormat="0" applyBorder="0" applyAlignment="0" applyProtection="0"/>
    <xf numFmtId="0" fontId="104" fillId="71"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104" fillId="74" borderId="0" applyNumberFormat="0" applyBorder="0" applyAlignment="0" applyProtection="0"/>
    <xf numFmtId="0" fontId="104" fillId="75"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104" fillId="78" borderId="0" applyNumberFormat="0" applyBorder="0" applyAlignment="0" applyProtection="0"/>
    <xf numFmtId="0" fontId="104" fillId="79"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104" fillId="82" borderId="0" applyNumberFormat="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8" fontId="33" fillId="37" borderId="0" applyNumberFormat="0" applyBorder="0" applyAlignment="0"/>
    <xf numFmtId="178" fontId="11" fillId="0" borderId="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7" fontId="11" fillId="0" borderId="0"/>
    <xf numFmtId="177" fontId="11" fillId="0" borderId="0"/>
    <xf numFmtId="177" fontId="11" fillId="0" borderId="0"/>
    <xf numFmtId="177" fontId="107" fillId="0" borderId="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11" fillId="0" borderId="0" applyFont="0" applyFill="0" applyBorder="0" applyAlignment="0" applyProtection="0"/>
    <xf numFmtId="0" fontId="11" fillId="0" borderId="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30" fillId="4" borderId="0" applyNumberFormat="0" applyBorder="0" applyAlignment="0" applyProtection="0"/>
    <xf numFmtId="0" fontId="108" fillId="0" borderId="0"/>
    <xf numFmtId="0" fontId="109" fillId="0" borderId="0">
      <alignment horizontal="right"/>
    </xf>
    <xf numFmtId="0" fontId="110" fillId="0" borderId="0"/>
    <xf numFmtId="0" fontId="106" fillId="0" borderId="0"/>
    <xf numFmtId="0" fontId="111" fillId="0" borderId="0"/>
    <xf numFmtId="0" fontId="112" fillId="0" borderId="88" applyNumberFormat="0" applyAlignment="0"/>
    <xf numFmtId="0" fontId="113" fillId="0" borderId="0" applyAlignment="0">
      <alignment horizontal="left"/>
    </xf>
    <xf numFmtId="0" fontId="113" fillId="0" borderId="0">
      <alignment horizontal="right"/>
    </xf>
    <xf numFmtId="176" fontId="113" fillId="0" borderId="0">
      <alignment horizontal="right"/>
    </xf>
    <xf numFmtId="170" fontId="114" fillId="0" borderId="0">
      <alignment horizontal="right"/>
    </xf>
    <xf numFmtId="0" fontId="115" fillId="0" borderId="0"/>
    <xf numFmtId="0" fontId="16" fillId="23" borderId="1" applyNumberFormat="0" applyAlignment="0" applyProtection="0"/>
    <xf numFmtId="0" fontId="18" fillId="24" borderId="4" applyNumberFormat="0" applyAlignment="0" applyProtection="0"/>
    <xf numFmtId="165" fontId="11"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1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0" fontId="24" fillId="0" borderId="0" applyNumberFormat="0" applyFill="0" applyBorder="0" applyAlignment="0" applyProtection="0"/>
    <xf numFmtId="0" fontId="31" fillId="5"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63"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17" fillId="0" borderId="3" applyNumberFormat="0" applyFill="0" applyAlignment="0" applyProtection="0"/>
    <xf numFmtId="0" fontId="21" fillId="26" borderId="0" applyNumberFormat="0" applyBorder="0" applyAlignment="0" applyProtection="0"/>
    <xf numFmtId="0" fontId="7" fillId="0" borderId="0"/>
    <xf numFmtId="0" fontId="32" fillId="0" borderId="0" applyFill="0" applyBorder="0"/>
    <xf numFmtId="0" fontId="11" fillId="0" borderId="0"/>
    <xf numFmtId="0" fontId="11" fillId="28" borderId="9" applyNumberFormat="0" applyFont="0" applyAlignment="0" applyProtection="0"/>
    <xf numFmtId="176" fontId="95" fillId="0" borderId="0" applyFont="0" applyFill="0" applyBorder="0" applyAlignment="0" applyProtection="0"/>
    <xf numFmtId="9" fontId="7" fillId="0" borderId="0" applyFont="0" applyFill="0" applyBorder="0" applyAlignment="0" applyProtection="0"/>
    <xf numFmtId="0" fontId="117" fillId="0" borderId="0" applyNumberFormat="0" applyFill="0" applyBorder="0" applyAlignment="0" applyProtection="0"/>
    <xf numFmtId="0" fontId="25" fillId="0" borderId="0" applyNumberFormat="0" applyFill="0" applyBorder="0" applyAlignment="0" applyProtection="0"/>
    <xf numFmtId="0" fontId="29" fillId="0" borderId="11" applyNumberFormat="0" applyFill="0" applyAlignment="0" applyProtection="0"/>
    <xf numFmtId="0" fontId="23" fillId="0" borderId="0" applyNumberFormat="0" applyFill="0" applyBorder="0" applyAlignment="0" applyProtection="0"/>
    <xf numFmtId="0" fontId="118" fillId="0" borderId="89" applyNumberFormat="0">
      <alignment vertical="center"/>
    </xf>
    <xf numFmtId="185" fontId="119" fillId="0" borderId="89">
      <alignment horizontal="right" vertical="center"/>
    </xf>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37" fillId="0" borderId="0"/>
    <xf numFmtId="165" fontId="7" fillId="0" borderId="0" applyFont="0" applyFill="0" applyBorder="0" applyAlignment="0" applyProtection="0"/>
    <xf numFmtId="178" fontId="33" fillId="37" borderId="0" applyNumberFormat="0" applyBorder="0" applyAlignment="0"/>
    <xf numFmtId="0" fontId="63" fillId="0" borderId="0" applyNumberFormat="0" applyFill="0" applyBorder="0" applyAlignment="0" applyProtection="0">
      <alignment vertical="top"/>
      <protection locked="0"/>
    </xf>
    <xf numFmtId="165" fontId="11" fillId="0" borderId="0" applyFont="0" applyFill="0" applyBorder="0" applyAlignment="0" applyProtection="0"/>
    <xf numFmtId="177" fontId="107" fillId="0" borderId="0"/>
    <xf numFmtId="178" fontId="11" fillId="0" borderId="0"/>
    <xf numFmtId="165" fontId="11"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11"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32" fillId="0" borderId="0" applyFill="0" applyBorder="0"/>
    <xf numFmtId="0" fontId="11" fillId="0" borderId="0"/>
    <xf numFmtId="0" fontId="16" fillId="23" borderId="1" applyNumberFormat="0" applyAlignment="0" applyProtection="0"/>
    <xf numFmtId="0" fontId="19" fillId="8" borderId="1" applyNumberFormat="0" applyAlignment="0" applyProtection="0"/>
    <xf numFmtId="0" fontId="11" fillId="28" borderId="9" applyNumberFormat="0" applyFont="0" applyAlignment="0" applyProtection="0"/>
    <xf numFmtId="0" fontId="22" fillId="23" borderId="10" applyNumberFormat="0" applyAlignment="0" applyProtection="0"/>
    <xf numFmtId="0" fontId="29" fillId="0" borderId="11" applyNumberFormat="0" applyFill="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83" applyNumberFormat="0" applyFill="0" applyAlignment="0" applyProtection="0"/>
    <xf numFmtId="0" fontId="72" fillId="0" borderId="0" applyNumberFormat="0" applyFill="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5" fillId="0" borderId="0"/>
    <xf numFmtId="0" fontId="120" fillId="0" borderId="0" applyNumberFormat="0" applyFill="0" applyBorder="0" applyAlignment="0" applyProtection="0">
      <alignment vertical="top"/>
      <protection locked="0"/>
    </xf>
    <xf numFmtId="9"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3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xf numFmtId="165" fontId="40" fillId="0" borderId="0" applyFont="0" applyFill="0" applyBorder="0" applyAlignment="0" applyProtection="0"/>
    <xf numFmtId="165" fontId="1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2" fontId="11"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37" fillId="0" borderId="0"/>
    <xf numFmtId="0" fontId="5" fillId="0" borderId="0"/>
    <xf numFmtId="0" fontId="5" fillId="0" borderId="0"/>
    <xf numFmtId="0" fontId="76" fillId="0" borderId="0"/>
    <xf numFmtId="0" fontId="5" fillId="0" borderId="0"/>
    <xf numFmtId="0" fontId="5" fillId="0" borderId="0"/>
    <xf numFmtId="9" fontId="40" fillId="0" borderId="0" applyFont="0" applyFill="0" applyBorder="0" applyAlignment="0" applyProtection="0"/>
    <xf numFmtId="9" fontId="40"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0" fontId="4" fillId="0" borderId="0"/>
    <xf numFmtId="176" fontId="59"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43" fillId="0" borderId="100">
      <alignment horizontal="left" vertical="center" wrapText="1" indent="2"/>
    </xf>
    <xf numFmtId="0" fontId="11" fillId="28" borderId="121" applyNumberFormat="0" applyFont="0" applyAlignment="0" applyProtection="0"/>
    <xf numFmtId="0" fontId="11" fillId="28" borderId="126" applyNumberFormat="0" applyFont="0" applyAlignment="0" applyProtection="0"/>
    <xf numFmtId="0" fontId="11" fillId="28" borderId="115" applyNumberFormat="0" applyFont="0" applyAlignment="0" applyProtection="0"/>
    <xf numFmtId="0" fontId="11" fillId="28" borderId="126" applyNumberFormat="0" applyFont="0" applyAlignment="0" applyProtection="0"/>
    <xf numFmtId="0" fontId="22" fillId="23" borderId="122" applyNumberFormat="0" applyAlignment="0" applyProtection="0"/>
    <xf numFmtId="0" fontId="19" fillId="8" borderId="99" applyNumberFormat="0" applyAlignment="0" applyProtection="0"/>
    <xf numFmtId="0" fontId="19" fillId="8" borderId="99" applyNumberFormat="0" applyAlignment="0" applyProtection="0"/>
    <xf numFmtId="165" fontId="3" fillId="0" borderId="0" applyFont="0" applyFill="0" applyBorder="0" applyAlignment="0" applyProtection="0"/>
    <xf numFmtId="0" fontId="16" fillId="23" borderId="113" applyNumberFormat="0" applyAlignment="0" applyProtection="0"/>
    <xf numFmtId="0" fontId="19" fillId="8" borderId="113" applyNumberFormat="0" applyAlignment="0" applyProtection="0"/>
    <xf numFmtId="0" fontId="11" fillId="28" borderId="126" applyNumberFormat="0" applyFont="0" applyAlignment="0" applyProtection="0"/>
    <xf numFmtId="0" fontId="11" fillId="28" borderId="109" applyNumberFormat="0" applyFont="0" applyAlignment="0" applyProtection="0"/>
    <xf numFmtId="0" fontId="16" fillId="23" borderId="107" applyNumberFormat="0" applyAlignment="0" applyProtection="0"/>
    <xf numFmtId="0" fontId="29" fillId="0" borderId="128" applyNumberFormat="0" applyFill="0" applyAlignment="0" applyProtection="0"/>
    <xf numFmtId="0" fontId="19" fillId="8" borderId="125" applyNumberFormat="0" applyAlignment="0" applyProtection="0"/>
    <xf numFmtId="0" fontId="3" fillId="0" borderId="0"/>
    <xf numFmtId="0" fontId="3" fillId="0" borderId="0"/>
    <xf numFmtId="0" fontId="3" fillId="0" borderId="0"/>
    <xf numFmtId="0" fontId="3" fillId="0" borderId="0"/>
    <xf numFmtId="4" fontId="43" fillId="0" borderId="98" applyFill="0" applyBorder="0" applyProtection="0">
      <alignment horizontal="right" vertical="center"/>
    </xf>
    <xf numFmtId="0" fontId="29" fillId="0" borderId="123" applyNumberFormat="0" applyFill="0" applyAlignment="0" applyProtection="0"/>
    <xf numFmtId="0" fontId="11" fillId="28" borderId="115" applyNumberFormat="0" applyFont="0" applyAlignment="0" applyProtection="0"/>
    <xf numFmtId="0" fontId="40" fillId="28" borderId="115" applyNumberFormat="0" applyFont="0" applyAlignment="0" applyProtection="0"/>
    <xf numFmtId="0" fontId="11" fillId="28" borderId="126" applyNumberFormat="0" applyFont="0" applyAlignment="0" applyProtection="0"/>
    <xf numFmtId="0" fontId="40" fillId="28" borderId="126"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40" fillId="28" borderId="121" applyNumberFormat="0" applyFont="0" applyAlignment="0" applyProtection="0"/>
    <xf numFmtId="0" fontId="29" fillId="0" borderId="128" applyNumberFormat="0" applyFill="0" applyAlignment="0" applyProtection="0"/>
    <xf numFmtId="0" fontId="11" fillId="28" borderId="109"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1" fillId="28" borderId="109" applyNumberFormat="0" applyFont="0" applyAlignment="0" applyProtection="0"/>
    <xf numFmtId="0" fontId="29" fillId="0" borderId="117" applyNumberFormat="0" applyFill="0" applyAlignment="0" applyProtection="0"/>
    <xf numFmtId="4" fontId="43" fillId="0" borderId="106" applyFill="0" applyBorder="0" applyProtection="0">
      <alignment horizontal="right" vertical="center"/>
    </xf>
    <xf numFmtId="0" fontId="22" fillId="23" borderId="103" applyNumberFormat="0" applyAlignment="0" applyProtection="0"/>
    <xf numFmtId="0" fontId="22" fillId="23" borderId="103" applyNumberFormat="0" applyAlignment="0" applyProtection="0"/>
    <xf numFmtId="0" fontId="11" fillId="28" borderId="121" applyNumberFormat="0" applyFont="0" applyAlignment="0" applyProtection="0"/>
    <xf numFmtId="0" fontId="19" fillId="8" borderId="119" applyNumberFormat="0" applyAlignment="0" applyProtection="0"/>
    <xf numFmtId="0" fontId="19" fillId="8" borderId="107" applyNumberFormat="0" applyAlignment="0" applyProtection="0"/>
    <xf numFmtId="0" fontId="19" fillId="8" borderId="107" applyNumberFormat="0" applyAlignment="0" applyProtection="0"/>
    <xf numFmtId="0" fontId="11" fillId="28" borderId="126" applyNumberFormat="0" applyFont="0" applyAlignment="0" applyProtection="0"/>
    <xf numFmtId="0" fontId="11" fillId="28" borderId="121" applyNumberFormat="0" applyFont="0" applyAlignment="0" applyProtection="0"/>
    <xf numFmtId="0" fontId="43" fillId="0" borderId="108">
      <alignment horizontal="left" vertical="center" wrapText="1" indent="2"/>
    </xf>
    <xf numFmtId="9" fontId="3" fillId="0" borderId="0" applyFont="0" applyFill="0" applyBorder="0" applyAlignment="0" applyProtection="0"/>
    <xf numFmtId="0" fontId="28" fillId="0" borderId="101" applyNumberFormat="0" applyFill="0" applyAlignment="0" applyProtection="0"/>
    <xf numFmtId="0" fontId="29" fillId="0" borderId="104" applyNumberFormat="0" applyFill="0" applyAlignment="0" applyProtection="0"/>
    <xf numFmtId="0" fontId="3" fillId="0" borderId="0"/>
    <xf numFmtId="165" fontId="3" fillId="0" borderId="0" applyFont="0" applyFill="0" applyBorder="0" applyAlignment="0" applyProtection="0"/>
    <xf numFmtId="0" fontId="29" fillId="0" borderId="123"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25" applyNumberFormat="0" applyAlignment="0" applyProtection="0"/>
    <xf numFmtId="0" fontId="11" fillId="28" borderId="126" applyNumberFormat="0" applyFont="0" applyAlignment="0" applyProtection="0"/>
    <xf numFmtId="0" fontId="19" fillId="8" borderId="113" applyNumberFormat="0" applyAlignment="0" applyProtection="0"/>
    <xf numFmtId="165" fontId="3" fillId="0" borderId="0" applyFont="0" applyFill="0" applyBorder="0" applyAlignment="0" applyProtection="0"/>
    <xf numFmtId="0" fontId="11" fillId="28" borderId="115" applyNumberFormat="0" applyFont="0" applyAlignment="0" applyProtection="0"/>
    <xf numFmtId="0" fontId="11" fillId="28" borderId="109" applyNumberFormat="0" applyFont="0" applyAlignment="0" applyProtection="0"/>
    <xf numFmtId="0" fontId="11" fillId="28" borderId="121" applyNumberFormat="0" applyFont="0" applyAlignment="0" applyProtection="0"/>
    <xf numFmtId="0" fontId="11" fillId="28" borderId="115" applyNumberFormat="0" applyFont="0" applyAlignment="0" applyProtection="0"/>
    <xf numFmtId="0" fontId="11" fillId="28" borderId="121"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0" fontId="11" fillId="28" borderId="115" applyNumberFormat="0" applyFont="0" applyAlignment="0" applyProtection="0"/>
    <xf numFmtId="0" fontId="40" fillId="28" borderId="115" applyNumberFormat="0" applyFont="0" applyAlignment="0" applyProtection="0"/>
    <xf numFmtId="0" fontId="40" fillId="28" borderId="126" applyNumberFormat="0" applyFont="0" applyAlignment="0" applyProtection="0"/>
    <xf numFmtId="0" fontId="22" fillId="23" borderId="110" applyNumberFormat="0" applyAlignment="0" applyProtection="0"/>
    <xf numFmtId="0" fontId="22" fillId="23" borderId="110" applyNumberForma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21" applyNumberFormat="0" applyFont="0" applyAlignment="0" applyProtection="0"/>
    <xf numFmtId="0" fontId="40" fillId="28" borderId="121"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9" fillId="8" borderId="119" applyNumberFormat="0" applyAlignment="0" applyProtection="0"/>
    <xf numFmtId="0" fontId="11" fillId="28" borderId="121" applyNumberFormat="0" applyFont="0" applyAlignment="0" applyProtection="0"/>
    <xf numFmtId="0" fontId="16" fillId="23" borderId="107" applyNumberFormat="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0" fontId="28" fillId="0" borderId="101" applyNumberFormat="0" applyFill="0" applyAlignment="0" applyProtection="0"/>
    <xf numFmtId="0" fontId="3" fillId="0" borderId="0"/>
    <xf numFmtId="0" fontId="11" fillId="28" borderId="102" applyNumberFormat="0" applyFont="0" applyAlignment="0" applyProtection="0"/>
    <xf numFmtId="9" fontId="3" fillId="0" borderId="0" applyFont="0" applyFill="0" applyBorder="0" applyAlignment="0" applyProtection="0"/>
    <xf numFmtId="0" fontId="29" fillId="0" borderId="104" applyNumberFormat="0" applyFill="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16" fillId="23" borderId="99" applyNumberFormat="0" applyAlignment="0" applyProtection="0"/>
    <xf numFmtId="0" fontId="19" fillId="8" borderId="99" applyNumberFormat="0" applyAlignment="0" applyProtection="0"/>
    <xf numFmtId="0" fontId="11" fillId="28" borderId="102" applyNumberFormat="0" applyFont="0" applyAlignment="0" applyProtection="0"/>
    <xf numFmtId="0" fontId="22" fillId="23" borderId="103" applyNumberFormat="0" applyAlignment="0" applyProtection="0"/>
    <xf numFmtId="0" fontId="29" fillId="0" borderId="104"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43" fillId="0" borderId="112" applyFill="0" applyBorder="0" applyProtection="0">
      <alignment horizontal="right" vertical="center"/>
    </xf>
    <xf numFmtId="0" fontId="3" fillId="0" borderId="0"/>
    <xf numFmtId="0" fontId="22" fillId="23" borderId="122" applyNumberFormat="0" applyAlignment="0" applyProtection="0"/>
    <xf numFmtId="0" fontId="16" fillId="23" borderId="113" applyNumberFormat="0" applyAlignment="0" applyProtection="0"/>
    <xf numFmtId="9"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1" fillId="28" borderId="121" applyNumberFormat="0" applyFont="0" applyAlignment="0" applyProtection="0"/>
    <xf numFmtId="165" fontId="3" fillId="0" borderId="0" applyFont="0" applyFill="0" applyBorder="0" applyAlignment="0" applyProtection="0"/>
    <xf numFmtId="0" fontId="29" fillId="0" borderId="111" applyNumberFormat="0" applyFill="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9" fillId="8" borderId="119" applyNumberFormat="0" applyAlignment="0" applyProtection="0"/>
    <xf numFmtId="0" fontId="11" fillId="28" borderId="126"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07" applyNumberFormat="0" applyAlignment="0" applyProtection="0"/>
    <xf numFmtId="0" fontId="29" fillId="0" borderId="111" applyNumberFormat="0" applyFill="0" applyAlignment="0" applyProtection="0"/>
    <xf numFmtId="0" fontId="11" fillId="28" borderId="115"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13" applyNumberFormat="0" applyAlignment="0" applyProtection="0"/>
    <xf numFmtId="0" fontId="11" fillId="28" borderId="115" applyNumberFormat="0" applyFont="0" applyAlignment="0" applyProtection="0"/>
    <xf numFmtId="0" fontId="16" fillId="23" borderId="119" applyNumberFormat="0" applyAlignment="0" applyProtection="0"/>
    <xf numFmtId="0" fontId="22" fillId="23" borderId="110" applyNumberFormat="0" applyAlignment="0" applyProtection="0"/>
    <xf numFmtId="0" fontId="19" fillId="8" borderId="125" applyNumberFormat="0" applyAlignment="0" applyProtection="0"/>
    <xf numFmtId="4" fontId="43" fillId="0" borderId="118" applyFill="0" applyBorder="0" applyProtection="0">
      <alignment horizontal="right" vertical="center"/>
    </xf>
    <xf numFmtId="0" fontId="11" fillId="28" borderId="109" applyNumberFormat="0" applyFont="0" applyAlignment="0" applyProtection="0"/>
    <xf numFmtId="0" fontId="11" fillId="28" borderId="126" applyNumberFormat="0" applyFont="0" applyAlignment="0" applyProtection="0"/>
    <xf numFmtId="0" fontId="11" fillId="28" borderId="121"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29" fillId="0" borderId="117"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07" applyNumberFormat="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1" fillId="28" borderId="126" applyNumberFormat="0" applyFont="0" applyAlignment="0" applyProtection="0"/>
    <xf numFmtId="0" fontId="29" fillId="0" borderId="111" applyNumberFormat="0" applyFill="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11" fillId="28" borderId="12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40" fillId="0" borderId="0"/>
    <xf numFmtId="9" fontId="14" fillId="0" borderId="0" applyFont="0" applyFill="0" applyBorder="0" applyAlignment="0" applyProtection="0"/>
    <xf numFmtId="0" fontId="3" fillId="0" borderId="0"/>
    <xf numFmtId="164" fontId="11" fillId="0" borderId="0" applyFont="0" applyFill="0" applyBorder="0" applyAlignment="0" applyProtection="0"/>
    <xf numFmtId="3" fontId="141" fillId="0" borderId="0"/>
    <xf numFmtId="0" fontId="142" fillId="0" borderId="0" applyNumberFormat="0" applyBorder="0" applyAlignment="0"/>
    <xf numFmtId="0" fontId="11" fillId="28" borderId="121" applyNumberFormat="0" applyFont="0" applyAlignment="0" applyProtection="0"/>
    <xf numFmtId="0" fontId="11" fillId="28" borderId="126" applyNumberFormat="0" applyFont="0" applyAlignment="0" applyProtection="0"/>
    <xf numFmtId="0" fontId="29" fillId="0" borderId="128" applyNumberFormat="0" applyFill="0" applyAlignment="0" applyProtection="0"/>
    <xf numFmtId="0" fontId="22" fillId="23" borderId="127" applyNumberFormat="0" applyAlignment="0" applyProtection="0"/>
    <xf numFmtId="0" fontId="16" fillId="23" borderId="119" applyNumberFormat="0" applyAlignment="0" applyProtection="0"/>
    <xf numFmtId="0" fontId="22" fillId="23" borderId="127" applyNumberFormat="0" applyAlignment="0" applyProtection="0"/>
    <xf numFmtId="0" fontId="16" fillId="23" borderId="119" applyNumberFormat="0" applyAlignment="0" applyProtection="0"/>
    <xf numFmtId="0" fontId="16" fillId="23" borderId="125" applyNumberFormat="0" applyAlignment="0" applyProtection="0"/>
    <xf numFmtId="0" fontId="43" fillId="0" borderId="120">
      <alignment horizontal="left" vertical="center" wrapText="1" indent="2"/>
    </xf>
    <xf numFmtId="0" fontId="11" fillId="28" borderId="121" applyNumberFormat="0" applyFont="0" applyAlignment="0" applyProtection="0"/>
    <xf numFmtId="0" fontId="11" fillId="28" borderId="121" applyNumberFormat="0" applyFont="0" applyAlignment="0" applyProtection="0"/>
    <xf numFmtId="0" fontId="11" fillId="28" borderId="126" applyNumberFormat="0" applyFont="0" applyAlignment="0" applyProtection="0"/>
    <xf numFmtId="0" fontId="22" fillId="23" borderId="127" applyNumberFormat="0" applyAlignment="0" applyProtection="0"/>
    <xf numFmtId="0" fontId="16" fillId="23" borderId="125" applyNumberFormat="0" applyAlignment="0" applyProtection="0"/>
    <xf numFmtId="0" fontId="11" fillId="28" borderId="115" applyNumberFormat="0" applyFont="0" applyAlignment="0" applyProtection="0"/>
    <xf numFmtId="0" fontId="11" fillId="28" borderId="115" applyNumberFormat="0" applyFont="0" applyAlignment="0" applyProtection="0"/>
    <xf numFmtId="0" fontId="11" fillId="28" borderId="115" applyNumberFormat="0" applyFont="0" applyAlignment="0" applyProtection="0"/>
    <xf numFmtId="0" fontId="19" fillId="8" borderId="125" applyNumberFormat="0" applyAlignment="0" applyProtection="0"/>
    <xf numFmtId="0" fontId="43" fillId="0" borderId="114">
      <alignment horizontal="left" vertical="center" wrapText="1" indent="2"/>
    </xf>
    <xf numFmtId="0" fontId="29" fillId="0" borderId="123" applyNumberFormat="0" applyFill="0" applyAlignment="0" applyProtection="0"/>
    <xf numFmtId="0" fontId="16" fillId="23" borderId="113" applyNumberFormat="0" applyAlignment="0" applyProtection="0"/>
    <xf numFmtId="0" fontId="22" fillId="23" borderId="116" applyNumberFormat="0" applyAlignment="0" applyProtection="0"/>
    <xf numFmtId="0" fontId="29" fillId="0" borderId="117" applyNumberFormat="0" applyFill="0" applyAlignment="0" applyProtection="0"/>
    <xf numFmtId="0" fontId="11" fillId="28" borderId="121" applyNumberFormat="0" applyFont="0" applyAlignment="0" applyProtection="0"/>
    <xf numFmtId="0" fontId="22" fillId="23" borderId="122" applyNumberFormat="0" applyAlignment="0" applyProtection="0"/>
    <xf numFmtId="4" fontId="43" fillId="0" borderId="124" applyFill="0" applyBorder="0" applyProtection="0">
      <alignment horizontal="right" vertical="center"/>
    </xf>
    <xf numFmtId="0" fontId="11" fillId="28" borderId="115" applyNumberFormat="0" applyFont="0" applyAlignment="0" applyProtection="0"/>
    <xf numFmtId="0" fontId="11" fillId="28" borderId="126" applyNumberFormat="0" applyFont="0" applyAlignment="0" applyProtection="0"/>
    <xf numFmtId="0" fontId="2" fillId="76" borderId="0" applyNumberFormat="0" applyBorder="0" applyAlignment="0" applyProtection="0"/>
    <xf numFmtId="0" fontId="2" fillId="0" borderId="0"/>
    <xf numFmtId="0" fontId="2" fillId="0" borderId="0"/>
    <xf numFmtId="0" fontId="140" fillId="0" borderId="0"/>
    <xf numFmtId="0" fontId="11" fillId="0" borderId="0"/>
    <xf numFmtId="0" fontId="40" fillId="0" borderId="0"/>
    <xf numFmtId="0" fontId="184" fillId="0" borderId="0"/>
    <xf numFmtId="197" fontId="184" fillId="0" borderId="0" applyBorder="0" applyProtection="0"/>
  </cellStyleXfs>
  <cellXfs count="1316">
    <xf numFmtId="0" fontId="0" fillId="0" borderId="0" xfId="0"/>
    <xf numFmtId="0" fontId="0" fillId="0" borderId="0" xfId="0" applyBorder="1"/>
    <xf numFmtId="0" fontId="13" fillId="0" borderId="0" xfId="0" applyFont="1"/>
    <xf numFmtId="0" fontId="0" fillId="0" borderId="0" xfId="0" applyFill="1" applyBorder="1"/>
    <xf numFmtId="0" fontId="0" fillId="0" borderId="0" xfId="0" applyBorder="1" applyAlignment="1">
      <alignment horizontal="center"/>
    </xf>
    <xf numFmtId="0" fontId="13" fillId="0" borderId="0" xfId="0" applyFont="1" applyAlignment="1">
      <alignment horizontal="left"/>
    </xf>
    <xf numFmtId="0" fontId="0" fillId="0" borderId="0" xfId="0" applyBorder="1" applyAlignment="1">
      <alignment horizontal="left"/>
    </xf>
    <xf numFmtId="0" fontId="0" fillId="0" borderId="0" xfId="0" applyFill="1"/>
    <xf numFmtId="0" fontId="12" fillId="0" borderId="0" xfId="0" applyFont="1" applyFill="1" applyBorder="1" applyAlignment="1">
      <alignment horizontal="left"/>
    </xf>
    <xf numFmtId="0" fontId="0" fillId="0" borderId="0" xfId="0" applyFont="1"/>
    <xf numFmtId="0" fontId="0" fillId="30" borderId="0" xfId="0" applyFill="1"/>
    <xf numFmtId="0" fontId="33" fillId="31" borderId="12" xfId="0" applyFont="1" applyFill="1" applyBorder="1" applyAlignment="1">
      <alignment horizontal="left" vertical="center" wrapText="1"/>
    </xf>
    <xf numFmtId="0" fontId="34" fillId="29" borderId="13" xfId="0" applyFont="1" applyFill="1" applyBorder="1" applyAlignment="1">
      <alignment horizontal="left" vertical="center" wrapText="1"/>
    </xf>
    <xf numFmtId="171" fontId="0" fillId="30" borderId="0" xfId="0" applyNumberFormat="1" applyFill="1"/>
    <xf numFmtId="171" fontId="13" fillId="0" borderId="0" xfId="0" applyNumberFormat="1" applyFont="1"/>
    <xf numFmtId="171" fontId="0" fillId="0" borderId="0" xfId="0" applyNumberFormat="1"/>
    <xf numFmtId="171" fontId="33" fillId="31" borderId="12" xfId="0" applyNumberFormat="1" applyFont="1" applyFill="1" applyBorder="1" applyAlignment="1">
      <alignment horizontal="left" vertical="center" wrapText="1"/>
    </xf>
    <xf numFmtId="171" fontId="34" fillId="29" borderId="13" xfId="0" quotePrefix="1" applyNumberFormat="1" applyFont="1" applyFill="1" applyBorder="1" applyAlignment="1">
      <alignment horizontal="left" vertical="center" wrapText="1"/>
    </xf>
    <xf numFmtId="171" fontId="12"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2" fillId="0" borderId="0" xfId="0" applyFont="1"/>
    <xf numFmtId="0" fontId="50" fillId="32" borderId="15" xfId="0" applyFont="1" applyFill="1" applyBorder="1"/>
    <xf numFmtId="0" fontId="51" fillId="32" borderId="16" xfId="0" applyFont="1" applyFill="1" applyBorder="1" applyAlignment="1" applyProtection="1">
      <alignment horizontal="center" vertical="center"/>
    </xf>
    <xf numFmtId="0" fontId="51" fillId="32" borderId="14" xfId="0" applyFont="1" applyFill="1" applyBorder="1" applyAlignment="1" applyProtection="1">
      <alignment horizontal="center" vertical="center"/>
    </xf>
    <xf numFmtId="0" fontId="52" fillId="32" borderId="0" xfId="0" applyFont="1" applyFill="1" applyAlignment="1" applyProtection="1">
      <alignment horizontal="right"/>
    </xf>
    <xf numFmtId="0" fontId="51" fillId="32" borderId="17" xfId="0" applyFont="1" applyFill="1" applyBorder="1" applyAlignment="1" applyProtection="1">
      <alignment horizontal="center" vertical="center"/>
    </xf>
    <xf numFmtId="0" fontId="51" fillId="32" borderId="18" xfId="0" applyFont="1" applyFill="1" applyBorder="1" applyAlignment="1" applyProtection="1">
      <alignment horizontal="center" vertical="center"/>
    </xf>
    <xf numFmtId="0" fontId="51" fillId="32" borderId="0" xfId="0" applyFont="1" applyFill="1" applyBorder="1" applyAlignment="1" applyProtection="1">
      <alignment horizontal="center" vertical="center"/>
    </xf>
    <xf numFmtId="0" fontId="51" fillId="32" borderId="19" xfId="0" applyFont="1" applyFill="1" applyBorder="1" applyAlignment="1" applyProtection="1">
      <alignment horizontal="center" vertical="center"/>
    </xf>
    <xf numFmtId="0" fontId="51" fillId="32" borderId="20" xfId="0" applyFont="1" applyFill="1" applyBorder="1" applyAlignment="1" applyProtection="1">
      <alignment horizontal="center" vertical="center"/>
    </xf>
    <xf numFmtId="0" fontId="51" fillId="32" borderId="21"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1" fillId="32" borderId="22" xfId="0" applyFont="1" applyFill="1" applyBorder="1" applyAlignment="1" applyProtection="1">
      <alignment horizontal="center" vertical="center"/>
    </xf>
    <xf numFmtId="0" fontId="51" fillId="32" borderId="23" xfId="0" applyFont="1" applyFill="1" applyBorder="1" applyAlignment="1" applyProtection="1">
      <alignment vertical="center" wrapText="1"/>
    </xf>
    <xf numFmtId="0" fontId="51" fillId="32" borderId="13" xfId="0" applyFont="1" applyFill="1" applyBorder="1" applyAlignment="1" applyProtection="1">
      <alignment horizontal="center" vertical="center"/>
    </xf>
    <xf numFmtId="0" fontId="51" fillId="32" borderId="24" xfId="0" applyFont="1" applyFill="1" applyBorder="1" applyAlignment="1" applyProtection="1">
      <alignment horizontal="center" vertical="center"/>
    </xf>
    <xf numFmtId="0" fontId="51" fillId="32" borderId="25" xfId="0" applyFont="1" applyFill="1" applyBorder="1" applyAlignment="1" applyProtection="1">
      <alignment horizontal="center" vertical="center"/>
    </xf>
    <xf numFmtId="0" fontId="51" fillId="32" borderId="26" xfId="0" applyFont="1" applyFill="1" applyBorder="1" applyAlignment="1" applyProtection="1">
      <alignment horizontal="center" vertical="center"/>
    </xf>
    <xf numFmtId="0" fontId="54" fillId="32" borderId="27" xfId="0" applyFont="1" applyFill="1" applyBorder="1" applyAlignment="1">
      <alignment vertical="center" wrapText="1"/>
    </xf>
    <xf numFmtId="0" fontId="54" fillId="32" borderId="28" xfId="0" applyFont="1" applyFill="1" applyBorder="1" applyAlignment="1">
      <alignment vertical="center" wrapText="1"/>
    </xf>
    <xf numFmtId="0" fontId="54" fillId="32" borderId="29" xfId="0" applyFont="1" applyFill="1" applyBorder="1" applyAlignment="1">
      <alignment horizontal="center" vertical="center"/>
    </xf>
    <xf numFmtId="0" fontId="54" fillId="32" borderId="30" xfId="0" applyFont="1" applyFill="1" applyBorder="1" applyAlignment="1">
      <alignment horizontal="center" vertical="center"/>
    </xf>
    <xf numFmtId="0" fontId="54" fillId="32" borderId="31" xfId="0" applyFont="1" applyFill="1" applyBorder="1" applyAlignment="1">
      <alignment horizontal="center" vertical="center"/>
    </xf>
    <xf numFmtId="0" fontId="50" fillId="32" borderId="32" xfId="0" applyFont="1" applyFill="1" applyBorder="1"/>
    <xf numFmtId="3" fontId="50" fillId="32" borderId="20" xfId="0" applyNumberFormat="1" applyFont="1" applyFill="1" applyBorder="1"/>
    <xf numFmtId="3" fontId="50" fillId="32" borderId="18" xfId="0" applyNumberFormat="1" applyFont="1" applyFill="1" applyBorder="1"/>
    <xf numFmtId="3" fontId="50" fillId="32" borderId="33" xfId="0" applyNumberFormat="1" applyFont="1" applyFill="1" applyBorder="1"/>
    <xf numFmtId="3" fontId="0" fillId="0" borderId="0" xfId="0" applyNumberFormat="1"/>
    <xf numFmtId="0" fontId="69" fillId="41" borderId="0" xfId="417"/>
    <xf numFmtId="171" fontId="12" fillId="0" borderId="0" xfId="0" applyNumberFormat="1" applyFont="1"/>
    <xf numFmtId="0" fontId="14" fillId="6" borderId="30" xfId="6" applyBorder="1" applyAlignment="1">
      <alignment horizontal="center" vertical="center"/>
    </xf>
    <xf numFmtId="0" fontId="33" fillId="31" borderId="12" xfId="0" applyFont="1" applyFill="1" applyBorder="1" applyAlignment="1">
      <alignment horizontal="center" vertical="center" wrapText="1"/>
    </xf>
    <xf numFmtId="0" fontId="55" fillId="33" borderId="0" xfId="0" applyFont="1" applyFill="1"/>
    <xf numFmtId="0" fontId="51" fillId="32" borderId="34" xfId="0" applyFont="1" applyFill="1" applyBorder="1" applyAlignment="1" applyProtection="1">
      <alignment horizontal="center" vertical="center"/>
    </xf>
    <xf numFmtId="0" fontId="51" fillId="32" borderId="0" xfId="0" applyFont="1" applyFill="1" applyAlignment="1" applyProtection="1">
      <alignment horizontal="right" vertical="center"/>
    </xf>
    <xf numFmtId="0" fontId="50" fillId="32" borderId="35" xfId="0" applyFont="1" applyFill="1" applyBorder="1"/>
    <xf numFmtId="0" fontId="50" fillId="32" borderId="36" xfId="0" applyFont="1" applyFill="1" applyBorder="1"/>
    <xf numFmtId="3" fontId="50" fillId="32" borderId="37" xfId="0" applyNumberFormat="1" applyFont="1" applyFill="1" applyBorder="1"/>
    <xf numFmtId="3" fontId="50" fillId="32" borderId="38" xfId="0" applyNumberFormat="1" applyFont="1" applyFill="1" applyBorder="1"/>
    <xf numFmtId="3" fontId="50" fillId="32" borderId="39" xfId="0" applyNumberFormat="1" applyFont="1" applyFill="1" applyBorder="1"/>
    <xf numFmtId="0" fontId="50" fillId="32" borderId="40" xfId="0" applyFont="1" applyFill="1" applyBorder="1"/>
    <xf numFmtId="0" fontId="50" fillId="32" borderId="41" xfId="0" applyFont="1" applyFill="1" applyBorder="1"/>
    <xf numFmtId="3" fontId="50" fillId="32" borderId="16" xfId="0" applyNumberFormat="1" applyFont="1" applyFill="1" applyBorder="1"/>
    <xf numFmtId="3" fontId="50" fillId="32" borderId="42" xfId="0" applyNumberFormat="1" applyFont="1" applyFill="1" applyBorder="1"/>
    <xf numFmtId="3" fontId="50" fillId="32" borderId="43" xfId="0" applyNumberFormat="1" applyFont="1" applyFill="1" applyBorder="1"/>
    <xf numFmtId="0" fontId="56" fillId="0" borderId="2" xfId="0" applyFont="1" applyBorder="1" applyAlignment="1">
      <alignment vertical="center"/>
    </xf>
    <xf numFmtId="0" fontId="50" fillId="0" borderId="2" xfId="0" applyFont="1" applyBorder="1" applyAlignment="1" applyProtection="1">
      <alignment vertical="center"/>
    </xf>
    <xf numFmtId="0" fontId="50" fillId="0" borderId="2" xfId="0" applyFont="1" applyBorder="1" applyProtection="1"/>
    <xf numFmtId="0" fontId="50" fillId="0" borderId="2" xfId="0" applyFont="1" applyFill="1" applyBorder="1" applyProtection="1"/>
    <xf numFmtId="0" fontId="57" fillId="22" borderId="2" xfId="0" applyFont="1" applyFill="1" applyBorder="1" applyProtection="1"/>
    <xf numFmtId="0" fontId="50" fillId="32" borderId="2" xfId="0" applyFont="1" applyFill="1" applyBorder="1" applyProtection="1"/>
    <xf numFmtId="0" fontId="50" fillId="32" borderId="44" xfId="0" applyFont="1" applyFill="1" applyBorder="1"/>
    <xf numFmtId="0" fontId="50" fillId="32" borderId="45" xfId="0" applyFont="1" applyFill="1" applyBorder="1"/>
    <xf numFmtId="3" fontId="50" fillId="32" borderId="46" xfId="0" applyNumberFormat="1" applyFont="1" applyFill="1" applyBorder="1"/>
    <xf numFmtId="3" fontId="50" fillId="32" borderId="47" xfId="0" applyNumberFormat="1" applyFont="1" applyFill="1" applyBorder="1"/>
    <xf numFmtId="3" fontId="50" fillId="32" borderId="48" xfId="0" applyNumberFormat="1" applyFont="1" applyFill="1" applyBorder="1"/>
    <xf numFmtId="0" fontId="33" fillId="34" borderId="12" xfId="0" applyFont="1" applyFill="1" applyBorder="1" applyAlignment="1">
      <alignment horizontal="left" vertical="center" wrapText="1"/>
    </xf>
    <xf numFmtId="0" fontId="50" fillId="29" borderId="15" xfId="0" applyFont="1" applyFill="1" applyBorder="1"/>
    <xf numFmtId="0" fontId="50" fillId="34" borderId="15" xfId="0" applyFont="1" applyFill="1" applyBorder="1"/>
    <xf numFmtId="0" fontId="50" fillId="25" borderId="15" xfId="0" applyFont="1" applyFill="1" applyBorder="1"/>
    <xf numFmtId="3" fontId="50" fillId="25" borderId="20" xfId="0" applyNumberFormat="1" applyFont="1" applyFill="1" applyBorder="1"/>
    <xf numFmtId="3" fontId="50" fillId="25" borderId="18" xfId="0" applyNumberFormat="1" applyFont="1" applyFill="1" applyBorder="1"/>
    <xf numFmtId="3" fontId="50" fillId="25" borderId="33" xfId="0" applyNumberFormat="1" applyFont="1" applyFill="1" applyBorder="1"/>
    <xf numFmtId="3" fontId="50" fillId="34" borderId="20" xfId="0" applyNumberFormat="1" applyFont="1" applyFill="1" applyBorder="1"/>
    <xf numFmtId="3" fontId="50" fillId="34" borderId="18" xfId="0" applyNumberFormat="1" applyFont="1" applyFill="1" applyBorder="1"/>
    <xf numFmtId="3" fontId="50" fillId="34" borderId="33" xfId="0" applyNumberFormat="1" applyFont="1" applyFill="1" applyBorder="1"/>
    <xf numFmtId="0" fontId="45" fillId="0" borderId="0" xfId="993" applyFont="1"/>
    <xf numFmtId="171" fontId="45" fillId="0" borderId="0" xfId="993" applyNumberFormat="1" applyFont="1" applyFill="1" applyBorder="1"/>
    <xf numFmtId="0" fontId="40" fillId="0" borderId="0" xfId="993"/>
    <xf numFmtId="14" fontId="40" fillId="0" borderId="0" xfId="993" applyNumberFormat="1" applyFont="1" applyAlignment="1">
      <alignment horizontal="left"/>
    </xf>
    <xf numFmtId="171" fontId="40" fillId="0" borderId="0" xfId="993" applyNumberFormat="1" applyFont="1" applyFill="1" applyBorder="1" applyAlignment="1">
      <alignment horizontal="left"/>
    </xf>
    <xf numFmtId="0" fontId="40" fillId="0" borderId="0" xfId="993" applyFont="1" applyAlignment="1">
      <alignment horizontal="left"/>
    </xf>
    <xf numFmtId="171" fontId="40" fillId="0" borderId="0" xfId="993" applyNumberFormat="1" applyFill="1" applyBorder="1" applyAlignment="1">
      <alignment horizontal="left"/>
    </xf>
    <xf numFmtId="0" fontId="12" fillId="0" borderId="0" xfId="993" applyFont="1" applyFill="1" applyBorder="1" applyAlignment="1">
      <alignment horizontal="left"/>
    </xf>
    <xf numFmtId="14" fontId="40" fillId="0" borderId="0" xfId="993" applyNumberFormat="1" applyFill="1" applyAlignment="1">
      <alignment horizontal="left"/>
    </xf>
    <xf numFmtId="0" fontId="12" fillId="0" borderId="0" xfId="993" applyFont="1"/>
    <xf numFmtId="0" fontId="55" fillId="0" borderId="0" xfId="0" applyFont="1" applyFill="1"/>
    <xf numFmtId="0" fontId="12" fillId="0" borderId="0" xfId="0" applyFont="1" applyFill="1" applyBorder="1" applyAlignment="1"/>
    <xf numFmtId="0" fontId="12" fillId="30" borderId="0" xfId="0" applyFont="1" applyFill="1"/>
    <xf numFmtId="0" fontId="33" fillId="0" borderId="0" xfId="0" applyFont="1" applyFill="1"/>
    <xf numFmtId="0" fontId="33" fillId="31" borderId="49" xfId="0" applyFont="1" applyFill="1" applyBorder="1" applyAlignment="1">
      <alignment horizontal="left" vertical="center" wrapText="1"/>
    </xf>
    <xf numFmtId="0" fontId="46" fillId="29" borderId="13" xfId="0" applyFont="1" applyFill="1" applyBorder="1" applyAlignment="1">
      <alignment horizontal="left" vertical="center" wrapText="1"/>
    </xf>
    <xf numFmtId="0" fontId="46" fillId="29" borderId="13" xfId="0" applyFont="1" applyFill="1" applyBorder="1" applyAlignment="1">
      <alignment horizontal="right" vertical="center" wrapText="1"/>
    </xf>
    <xf numFmtId="0" fontId="46" fillId="29" borderId="25" xfId="0" applyFont="1" applyFill="1" applyBorder="1" applyAlignment="1">
      <alignment horizontal="right" vertical="center" wrapText="1"/>
    </xf>
    <xf numFmtId="0" fontId="46" fillId="29" borderId="13" xfId="0" applyFont="1" applyFill="1" applyBorder="1" applyAlignment="1">
      <alignment horizontal="center" vertical="center" wrapText="1"/>
    </xf>
    <xf numFmtId="0" fontId="46" fillId="32" borderId="13" xfId="0" applyFont="1" applyFill="1" applyBorder="1" applyAlignment="1">
      <alignment horizontal="left"/>
    </xf>
    <xf numFmtId="0" fontId="46" fillId="32" borderId="13" xfId="0" applyFont="1" applyFill="1" applyBorder="1" applyAlignment="1">
      <alignment horizontal="right"/>
    </xf>
    <xf numFmtId="0" fontId="46" fillId="32" borderId="50" xfId="0" applyFont="1" applyFill="1" applyBorder="1" applyAlignment="1">
      <alignment horizontal="right"/>
    </xf>
    <xf numFmtId="0" fontId="0" fillId="0" borderId="51" xfId="0" applyBorder="1"/>
    <xf numFmtId="0" fontId="0" fillId="0" borderId="19" xfId="0" applyBorder="1"/>
    <xf numFmtId="0" fontId="12" fillId="0" borderId="0" xfId="975" applyFill="1" applyBorder="1"/>
    <xf numFmtId="0" fontId="56" fillId="0" borderId="0" xfId="975" applyFont="1" applyFill="1" applyBorder="1" applyAlignment="1">
      <alignment vertical="center"/>
    </xf>
    <xf numFmtId="0" fontId="50" fillId="0" borderId="0" xfId="975" applyFont="1" applyFill="1" applyBorder="1" applyAlignment="1" applyProtection="1">
      <alignment vertical="center"/>
    </xf>
    <xf numFmtId="0" fontId="12" fillId="0" borderId="0" xfId="975"/>
    <xf numFmtId="0" fontId="51" fillId="0" borderId="0" xfId="975" applyFont="1" applyFill="1" applyBorder="1" applyAlignment="1" applyProtection="1">
      <alignment horizontal="center" vertical="center"/>
    </xf>
    <xf numFmtId="0" fontId="50" fillId="0" borderId="0" xfId="975" applyFont="1" applyFill="1" applyBorder="1" applyProtection="1"/>
    <xf numFmtId="0" fontId="12" fillId="0" borderId="0" xfId="975" applyFont="1"/>
    <xf numFmtId="0" fontId="49" fillId="0" borderId="0" xfId="975" applyFont="1"/>
    <xf numFmtId="0" fontId="57" fillId="22" borderId="52" xfId="975" applyFont="1" applyFill="1" applyBorder="1" applyProtection="1"/>
    <xf numFmtId="0" fontId="57" fillId="22" borderId="30" xfId="975" applyFont="1" applyFill="1" applyBorder="1" applyProtection="1"/>
    <xf numFmtId="0" fontId="57" fillId="22" borderId="31" xfId="975" applyFont="1" applyFill="1" applyBorder="1" applyProtection="1"/>
    <xf numFmtId="0" fontId="50" fillId="32" borderId="53" xfId="975" applyFont="1" applyFill="1" applyBorder="1" applyProtection="1"/>
    <xf numFmtId="0" fontId="50" fillId="32" borderId="18" xfId="975" applyFont="1" applyFill="1" applyBorder="1" applyProtection="1"/>
    <xf numFmtId="0" fontId="50" fillId="32" borderId="33" xfId="975" applyFont="1" applyFill="1" applyBorder="1" applyProtection="1"/>
    <xf numFmtId="0" fontId="50" fillId="32" borderId="54" xfId="975" applyFont="1" applyFill="1" applyBorder="1" applyProtection="1"/>
    <xf numFmtId="0" fontId="50" fillId="32" borderId="47" xfId="975" applyFont="1" applyFill="1" applyBorder="1" applyProtection="1"/>
    <xf numFmtId="0" fontId="50" fillId="32" borderId="48" xfId="975" applyFont="1" applyFill="1" applyBorder="1" applyProtection="1"/>
    <xf numFmtId="9" fontId="0" fillId="0" borderId="0" xfId="1474" applyFont="1"/>
    <xf numFmtId="0" fontId="12" fillId="33" borderId="0" xfId="975" applyFill="1"/>
    <xf numFmtId="9" fontId="12" fillId="33" borderId="0" xfId="1474" applyFont="1" applyFill="1"/>
    <xf numFmtId="0" fontId="54" fillId="32" borderId="27" xfId="975" applyFont="1" applyFill="1" applyBorder="1" applyAlignment="1">
      <alignment vertical="center" wrapText="1"/>
    </xf>
    <xf numFmtId="0" fontId="54" fillId="32" borderId="28" xfId="975" applyFont="1" applyFill="1" applyBorder="1" applyAlignment="1">
      <alignment vertical="center" wrapText="1"/>
    </xf>
    <xf numFmtId="0" fontId="54" fillId="32" borderId="29" xfId="975" applyFont="1" applyFill="1" applyBorder="1" applyAlignment="1">
      <alignment horizontal="center" vertical="center"/>
    </xf>
    <xf numFmtId="0" fontId="54" fillId="32" borderId="30" xfId="975" applyFont="1" applyFill="1" applyBorder="1" applyAlignment="1">
      <alignment horizontal="center" vertical="center"/>
    </xf>
    <xf numFmtId="0" fontId="54" fillId="32" borderId="31" xfId="975" applyFont="1" applyFill="1" applyBorder="1" applyAlignment="1">
      <alignment horizontal="center" vertical="center"/>
    </xf>
    <xf numFmtId="0" fontId="50" fillId="32" borderId="32" xfId="975" applyFont="1" applyFill="1" applyBorder="1"/>
    <xf numFmtId="0" fontId="50" fillId="32" borderId="15" xfId="975" applyFont="1" applyFill="1" applyBorder="1"/>
    <xf numFmtId="3" fontId="50" fillId="32" borderId="20" xfId="975" applyNumberFormat="1" applyFont="1" applyFill="1" applyBorder="1"/>
    <xf numFmtId="3" fontId="50" fillId="32" borderId="18" xfId="975" applyNumberFormat="1" applyFont="1" applyFill="1" applyBorder="1"/>
    <xf numFmtId="3" fontId="50" fillId="32" borderId="33" xfId="975" applyNumberFormat="1" applyFont="1" applyFill="1" applyBorder="1"/>
    <xf numFmtId="0" fontId="12" fillId="0" borderId="0" xfId="975" applyAlignment="1">
      <alignment vertical="center"/>
    </xf>
    <xf numFmtId="0" fontId="12" fillId="0" borderId="14" xfId="975" applyBorder="1" applyAlignment="1">
      <alignment vertical="center"/>
    </xf>
    <xf numFmtId="0" fontId="50" fillId="35" borderId="21" xfId="975" applyFont="1" applyFill="1" applyBorder="1"/>
    <xf numFmtId="0" fontId="50" fillId="35" borderId="15" xfId="975" applyFont="1" applyFill="1" applyBorder="1"/>
    <xf numFmtId="10" fontId="58" fillId="0" borderId="0" xfId="1474" applyNumberFormat="1" applyFont="1"/>
    <xf numFmtId="10" fontId="12" fillId="0" borderId="0" xfId="975" applyNumberFormat="1"/>
    <xf numFmtId="0" fontId="50" fillId="33" borderId="15" xfId="975" applyFont="1" applyFill="1" applyBorder="1"/>
    <xf numFmtId="3" fontId="58" fillId="33" borderId="0" xfId="1474" applyNumberFormat="1" applyFont="1" applyFill="1"/>
    <xf numFmtId="3" fontId="12" fillId="29" borderId="0" xfId="975" applyNumberFormat="1" applyFill="1"/>
    <xf numFmtId="0" fontId="12" fillId="29" borderId="0" xfId="975" applyFill="1"/>
    <xf numFmtId="0" fontId="50" fillId="33" borderId="41" xfId="975" applyFont="1" applyFill="1" applyBorder="1"/>
    <xf numFmtId="3" fontId="58" fillId="33" borderId="0" xfId="975" applyNumberFormat="1" applyFont="1" applyFill="1"/>
    <xf numFmtId="175" fontId="12" fillId="33" borderId="0" xfId="47" applyNumberFormat="1" applyFont="1" applyFill="1"/>
    <xf numFmtId="1" fontId="12" fillId="0" borderId="0" xfId="975" applyNumberFormat="1"/>
    <xf numFmtId="3" fontId="12" fillId="0" borderId="0" xfId="975" applyNumberFormat="1"/>
    <xf numFmtId="0" fontId="50" fillId="32" borderId="44" xfId="975" applyFont="1" applyFill="1" applyBorder="1"/>
    <xf numFmtId="0" fontId="50" fillId="32" borderId="45" xfId="975" applyFont="1" applyFill="1" applyBorder="1"/>
    <xf numFmtId="3" fontId="50" fillId="32" borderId="46" xfId="975" applyNumberFormat="1" applyFont="1" applyFill="1" applyBorder="1"/>
    <xf numFmtId="3" fontId="50" fillId="32" borderId="47" xfId="975" applyNumberFormat="1" applyFont="1" applyFill="1" applyBorder="1"/>
    <xf numFmtId="3" fontId="50" fillId="32" borderId="48" xfId="975" applyNumberFormat="1" applyFont="1" applyFill="1" applyBorder="1"/>
    <xf numFmtId="0" fontId="50" fillId="32" borderId="0" xfId="975" applyFont="1" applyFill="1" applyBorder="1"/>
    <xf numFmtId="1" fontId="58" fillId="0" borderId="0" xfId="1474" applyNumberFormat="1" applyFont="1"/>
    <xf numFmtId="9" fontId="12" fillId="0" borderId="0" xfId="975" applyNumberFormat="1"/>
    <xf numFmtId="0" fontId="58" fillId="0" borderId="0" xfId="975" applyFont="1"/>
    <xf numFmtId="9" fontId="58" fillId="0" borderId="0" xfId="1474" applyFont="1"/>
    <xf numFmtId="0" fontId="50" fillId="33" borderId="32" xfId="975" applyFont="1" applyFill="1" applyBorder="1"/>
    <xf numFmtId="3" fontId="50" fillId="33" borderId="20" xfId="975" applyNumberFormat="1" applyFont="1" applyFill="1" applyBorder="1"/>
    <xf numFmtId="3" fontId="50" fillId="33" borderId="18" xfId="975" applyNumberFormat="1" applyFont="1" applyFill="1" applyBorder="1"/>
    <xf numFmtId="3" fontId="50" fillId="33" borderId="33" xfId="975" applyNumberFormat="1" applyFont="1" applyFill="1" applyBorder="1"/>
    <xf numFmtId="0" fontId="58" fillId="0" borderId="0" xfId="975" applyFont="1" applyFill="1"/>
    <xf numFmtId="3" fontId="58" fillId="0" borderId="0" xfId="975" applyNumberFormat="1" applyFont="1"/>
    <xf numFmtId="10" fontId="0" fillId="0" borderId="0" xfId="1474" applyNumberFormat="1" applyFont="1"/>
    <xf numFmtId="0" fontId="12" fillId="0" borderId="0" xfId="975" applyFill="1"/>
    <xf numFmtId="0" fontId="12" fillId="0" borderId="0" xfId="975" applyAlignment="1">
      <alignment horizontal="center"/>
    </xf>
    <xf numFmtId="0" fontId="55" fillId="0" borderId="0" xfId="975" applyFont="1"/>
    <xf numFmtId="0" fontId="50" fillId="35" borderId="32" xfId="975" applyFont="1" applyFill="1" applyBorder="1"/>
    <xf numFmtId="3" fontId="50" fillId="35" borderId="20" xfId="975" applyNumberFormat="1" applyFont="1" applyFill="1" applyBorder="1"/>
    <xf numFmtId="3" fontId="50" fillId="32" borderId="55" xfId="975" applyNumberFormat="1" applyFont="1" applyFill="1" applyBorder="1"/>
    <xf numFmtId="3" fontId="50" fillId="32" borderId="56" xfId="975" applyNumberFormat="1" applyFont="1" applyFill="1" applyBorder="1"/>
    <xf numFmtId="3" fontId="50" fillId="32" borderId="57" xfId="975" applyNumberFormat="1" applyFont="1" applyFill="1" applyBorder="1"/>
    <xf numFmtId="0" fontId="50" fillId="36" borderId="32" xfId="975" applyFont="1" applyFill="1" applyBorder="1"/>
    <xf numFmtId="0" fontId="50" fillId="36" borderId="15" xfId="975" applyFont="1" applyFill="1" applyBorder="1"/>
    <xf numFmtId="3" fontId="50" fillId="36" borderId="20" xfId="975" applyNumberFormat="1" applyFont="1" applyFill="1" applyBorder="1"/>
    <xf numFmtId="3" fontId="50" fillId="36" borderId="18" xfId="975" applyNumberFormat="1" applyFont="1" applyFill="1" applyBorder="1"/>
    <xf numFmtId="3" fontId="50" fillId="36" borderId="33" xfId="975" applyNumberFormat="1" applyFont="1" applyFill="1" applyBorder="1"/>
    <xf numFmtId="0" fontId="12" fillId="0" borderId="0" xfId="975" applyFont="1" applyFill="1" applyBorder="1"/>
    <xf numFmtId="171" fontId="12" fillId="0" borderId="12" xfId="975" applyNumberFormat="1" applyFill="1" applyBorder="1"/>
    <xf numFmtId="171" fontId="12" fillId="33" borderId="0" xfId="975" applyNumberFormat="1" applyFont="1" applyFill="1" applyBorder="1"/>
    <xf numFmtId="171" fontId="12" fillId="30" borderId="14" xfId="975" applyNumberFormat="1" applyFont="1" applyFill="1" applyBorder="1"/>
    <xf numFmtId="171" fontId="12" fillId="33" borderId="14" xfId="975" applyNumberFormat="1" applyFont="1" applyFill="1" applyBorder="1"/>
    <xf numFmtId="0" fontId="50" fillId="33" borderId="44" xfId="975" applyFont="1" applyFill="1" applyBorder="1"/>
    <xf numFmtId="0" fontId="50" fillId="33" borderId="45" xfId="975" applyFont="1" applyFill="1" applyBorder="1"/>
    <xf numFmtId="3" fontId="50" fillId="33" borderId="46" xfId="975" applyNumberFormat="1" applyFont="1" applyFill="1" applyBorder="1"/>
    <xf numFmtId="0" fontId="12" fillId="0" borderId="14" xfId="975" applyFont="1" applyFill="1" applyBorder="1"/>
    <xf numFmtId="0" fontId="71" fillId="0" borderId="79" xfId="419"/>
    <xf numFmtId="0" fontId="72" fillId="0" borderId="0" xfId="420"/>
    <xf numFmtId="0" fontId="72" fillId="0" borderId="0" xfId="420" applyAlignment="1">
      <alignment horizontal="center"/>
    </xf>
    <xf numFmtId="0" fontId="70" fillId="0" borderId="78" xfId="418"/>
    <xf numFmtId="0" fontId="68" fillId="40" borderId="77" xfId="27" applyAlignment="1">
      <alignment horizontal="center"/>
    </xf>
    <xf numFmtId="170" fontId="78" fillId="40" borderId="80" xfId="1467" applyNumberFormat="1" applyAlignment="1">
      <alignment horizontal="center"/>
    </xf>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65" fillId="37" borderId="14" xfId="983" applyFill="1" applyBorder="1"/>
    <xf numFmtId="0" fontId="82" fillId="37" borderId="14" xfId="983" applyFont="1" applyFill="1" applyBorder="1"/>
    <xf numFmtId="0" fontId="82" fillId="37" borderId="58" xfId="983" applyFont="1" applyFill="1" applyBorder="1"/>
    <xf numFmtId="0" fontId="65" fillId="37" borderId="58" xfId="983" applyFill="1" applyBorder="1"/>
    <xf numFmtId="0" fontId="0" fillId="0" borderId="21" xfId="0" applyBorder="1"/>
    <xf numFmtId="171" fontId="0" fillId="0" borderId="12" xfId="0" applyNumberFormat="1" applyBorder="1"/>
    <xf numFmtId="171" fontId="12" fillId="0" borderId="12" xfId="0" applyNumberFormat="1" applyFont="1" applyFill="1" applyBorder="1"/>
    <xf numFmtId="171" fontId="0" fillId="0" borderId="12" xfId="0" applyNumberFormat="1" applyFill="1" applyBorder="1"/>
    <xf numFmtId="0" fontId="34" fillId="29" borderId="12" xfId="0" applyFont="1" applyFill="1" applyBorder="1" applyAlignment="1">
      <alignment horizontal="left" vertical="center" wrapText="1"/>
    </xf>
    <xf numFmtId="0" fontId="47" fillId="29" borderId="12" xfId="0" applyFont="1" applyFill="1" applyBorder="1" applyAlignment="1">
      <alignment horizontal="left" vertical="center" wrapText="1"/>
    </xf>
    <xf numFmtId="0" fontId="12" fillId="0" borderId="0" xfId="0" applyFont="1" applyFill="1" applyBorder="1" applyAlignment="1">
      <alignment horizontal="center" vertical="center"/>
    </xf>
    <xf numFmtId="171" fontId="12" fillId="0" borderId="12" xfId="0" applyNumberFormat="1" applyFont="1" applyFill="1" applyBorder="1" applyAlignment="1">
      <alignment horizontal="left"/>
    </xf>
    <xf numFmtId="171" fontId="13" fillId="0" borderId="12" xfId="0" applyNumberFormat="1" applyFont="1" applyFill="1" applyBorder="1" applyAlignment="1">
      <alignment horizontal="left" wrapText="1"/>
    </xf>
    <xf numFmtId="0" fontId="0" fillId="0" borderId="17" xfId="0" applyBorder="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9" fontId="0" fillId="0" borderId="0" xfId="1473" applyFont="1" applyBorder="1"/>
    <xf numFmtId="0" fontId="12"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4"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4"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4"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1" fillId="52" borderId="0" xfId="0" applyFont="1" applyFill="1"/>
    <xf numFmtId="0" fontId="85" fillId="52" borderId="0" xfId="0" applyFont="1" applyFill="1"/>
    <xf numFmtId="178" fontId="33" fillId="37" borderId="0" xfId="995" applyFill="1"/>
    <xf numFmtId="178" fontId="81" fillId="46" borderId="0" xfId="1470" applyNumberFormat="1"/>
    <xf numFmtId="178" fontId="84" fillId="37" borderId="0" xfId="995" applyFont="1" applyFill="1"/>
    <xf numFmtId="178" fontId="86" fillId="37" borderId="0" xfId="995" applyFont="1" applyFill="1"/>
    <xf numFmtId="178" fontId="84" fillId="37" borderId="0" xfId="995" applyFont="1" applyFill="1" applyBorder="1"/>
    <xf numFmtId="178" fontId="84" fillId="2" borderId="0" xfId="995" applyFont="1" applyFill="1"/>
    <xf numFmtId="178" fontId="84" fillId="2" borderId="14" xfId="995" applyFont="1" applyFill="1" applyBorder="1" applyAlignment="1">
      <alignment horizontal="center"/>
    </xf>
    <xf numFmtId="178" fontId="86" fillId="37" borderId="2"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78" fontId="87" fillId="2" borderId="0" xfId="995" applyFont="1" applyFill="1" applyAlignment="1">
      <alignment horizontal="center"/>
    </xf>
    <xf numFmtId="178" fontId="84" fillId="2" borderId="12" xfId="995" applyFont="1" applyFill="1" applyBorder="1"/>
    <xf numFmtId="178" fontId="84" fillId="2" borderId="14" xfId="995" applyFont="1" applyFill="1" applyBorder="1"/>
    <xf numFmtId="180" fontId="75" fillId="37" borderId="0" xfId="433" applyNumberFormat="1" applyFill="1" applyBorder="1" applyAlignment="1"/>
    <xf numFmtId="180" fontId="75" fillId="37" borderId="60" xfId="433" applyNumberFormat="1" applyFill="1" applyBorder="1" applyAlignment="1"/>
    <xf numFmtId="180" fontId="75" fillId="37" borderId="64" xfId="433" applyNumberFormat="1" applyFill="1" applyBorder="1" applyAlignment="1"/>
    <xf numFmtId="179" fontId="75" fillId="43" borderId="0" xfId="433" applyNumberFormat="1" applyBorder="1" applyAlignment="1"/>
    <xf numFmtId="178" fontId="87" fillId="2" borderId="0" xfId="995" applyFont="1" applyFill="1" applyBorder="1"/>
    <xf numFmtId="178" fontId="84" fillId="2" borderId="69" xfId="995" applyFont="1" applyFill="1" applyBorder="1"/>
    <xf numFmtId="178" fontId="84" fillId="2" borderId="34" xfId="995" applyFont="1" applyFill="1" applyBorder="1"/>
    <xf numFmtId="178" fontId="84" fillId="2" borderId="19" xfId="995" applyFont="1" applyFill="1" applyBorder="1"/>
    <xf numFmtId="178" fontId="88" fillId="2" borderId="0" xfId="1471" applyFont="1" applyFill="1" applyAlignment="1"/>
    <xf numFmtId="173" fontId="67" fillId="39" borderId="0" xfId="25" applyNumberFormat="1" applyBorder="1"/>
    <xf numFmtId="173" fontId="67" fillId="39" borderId="0" xfId="25" applyNumberFormat="1" applyBorder="1" applyAlignment="1"/>
    <xf numFmtId="173" fontId="67" fillId="39" borderId="60" xfId="25" applyNumberFormat="1" applyBorder="1"/>
    <xf numFmtId="179" fontId="75" fillId="43" borderId="60" xfId="433" applyNumberFormat="1" applyBorder="1" applyAlignment="1"/>
    <xf numFmtId="9" fontId="67" fillId="39" borderId="0" xfId="25" applyNumberFormat="1" applyBorder="1" applyAlignment="1"/>
    <xf numFmtId="173" fontId="33" fillId="37" borderId="0" xfId="28" applyNumberFormat="1" applyBorder="1"/>
    <xf numFmtId="178" fontId="86" fillId="53" borderId="2" xfId="995" applyFont="1" applyFill="1" applyBorder="1"/>
    <xf numFmtId="178" fontId="84" fillId="37" borderId="42"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78" fontId="90" fillId="37" borderId="2" xfId="995" applyFont="1" applyFill="1" applyBorder="1" applyAlignment="1">
      <alignment horizontal="left"/>
    </xf>
    <xf numFmtId="181" fontId="84" fillId="37" borderId="2" xfId="995" applyNumberFormat="1" applyFont="1" applyFill="1" applyBorder="1"/>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78" fontId="86" fillId="53" borderId="2" xfId="995" applyFont="1" applyFill="1" applyBorder="1" applyAlignment="1">
      <alignment horizontal="right"/>
    </xf>
    <xf numFmtId="178" fontId="84" fillId="37" borderId="70" xfId="995" applyFont="1" applyFill="1" applyBorder="1"/>
    <xf numFmtId="178" fontId="84" fillId="37" borderId="18" xfId="995" applyFont="1" applyFill="1" applyBorder="1"/>
    <xf numFmtId="178" fontId="92" fillId="38" borderId="2" xfId="995" applyNumberFormat="1" applyFont="1" applyFill="1" applyBorder="1"/>
    <xf numFmtId="183" fontId="84" fillId="37" borderId="0" xfId="995" applyNumberFormat="1" applyFont="1" applyFill="1"/>
    <xf numFmtId="178" fontId="84" fillId="52" borderId="2" xfId="995" applyFont="1" applyFill="1" applyBorder="1"/>
    <xf numFmtId="178" fontId="84" fillId="2" borderId="69" xfId="995" applyFont="1" applyFill="1" applyBorder="1" applyAlignment="1">
      <alignment horizontal="center" wrapText="1"/>
    </xf>
    <xf numFmtId="178" fontId="84" fillId="2" borderId="12" xfId="995" applyFont="1" applyFill="1" applyBorder="1" applyAlignment="1">
      <alignment horizontal="centerContinuous" wrapText="1"/>
    </xf>
    <xf numFmtId="178" fontId="84" fillId="2" borderId="12" xfId="995" applyFont="1" applyFill="1" applyBorder="1" applyAlignment="1">
      <alignment horizontal="center" wrapText="1"/>
    </xf>
    <xf numFmtId="178" fontId="84" fillId="2" borderId="12" xfId="995" applyFont="1" applyFill="1" applyBorder="1" applyAlignment="1">
      <alignment wrapText="1"/>
    </xf>
    <xf numFmtId="178" fontId="84" fillId="2" borderId="49" xfId="995" applyFont="1" applyFill="1" applyBorder="1" applyAlignment="1">
      <alignment horizontal="center" wrapText="1"/>
    </xf>
    <xf numFmtId="178" fontId="84" fillId="2" borderId="34" xfId="995" applyFont="1" applyFill="1" applyBorder="1" applyAlignment="1">
      <alignment horizontal="center"/>
    </xf>
    <xf numFmtId="178" fontId="84" fillId="2" borderId="14" xfId="995" applyFont="1" applyFill="1" applyBorder="1" applyAlignment="1">
      <alignment horizontal="right"/>
    </xf>
    <xf numFmtId="178" fontId="84" fillId="2" borderId="16" xfId="995" applyFont="1" applyFill="1" applyBorder="1" applyAlignment="1">
      <alignment horizontal="center"/>
    </xf>
    <xf numFmtId="178" fontId="84" fillId="2" borderId="49" xfId="995" applyFont="1" applyFill="1" applyBorder="1" applyAlignment="1">
      <alignment horizontal="left"/>
    </xf>
    <xf numFmtId="179" fontId="91" fillId="43" borderId="69" xfId="433" applyNumberFormat="1" applyFont="1" applyBorder="1" applyAlignment="1"/>
    <xf numFmtId="179" fontId="91" fillId="43" borderId="12" xfId="433" applyNumberFormat="1" applyFont="1" applyBorder="1" applyAlignment="1"/>
    <xf numFmtId="181" fontId="91" fillId="43" borderId="12" xfId="433" applyNumberFormat="1" applyFont="1" applyBorder="1" applyAlignment="1"/>
    <xf numFmtId="179" fontId="91" fillId="52" borderId="12" xfId="995" applyNumberFormat="1" applyFont="1" applyFill="1" applyBorder="1"/>
    <xf numFmtId="181" fontId="91" fillId="43" borderId="49" xfId="433" applyNumberFormat="1" applyFont="1" applyBorder="1" applyAlignment="1"/>
    <xf numFmtId="178" fontId="84" fillId="52" borderId="70" xfId="28" applyNumberFormat="1" applyFont="1" applyFill="1" applyBorder="1" applyAlignment="1">
      <alignment horizontal="center"/>
    </xf>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79" fontId="91" fillId="52" borderId="0" xfId="995" applyNumberFormat="1" applyFont="1" applyFill="1" applyBorder="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78" fontId="84" fillId="37" borderId="19" xfId="28" applyNumberFormat="1" applyFont="1" applyBorder="1"/>
    <xf numFmtId="178" fontId="84" fillId="2" borderId="16" xfId="995" applyFont="1" applyFill="1" applyBorder="1" applyAlignment="1">
      <alignment horizontal="left"/>
    </xf>
    <xf numFmtId="179" fontId="91" fillId="43" borderId="14" xfId="433" applyNumberFormat="1" applyFont="1" applyBorder="1" applyAlignment="1"/>
    <xf numFmtId="181" fontId="91" fillId="43" borderId="14" xfId="433" applyNumberFormat="1" applyFont="1" applyBorder="1" applyAlignment="1"/>
    <xf numFmtId="178" fontId="91" fillId="52" borderId="14" xfId="995" applyNumberFormat="1" applyFont="1" applyFill="1" applyBorder="1"/>
    <xf numFmtId="181" fontId="91" fillId="43" borderId="16" xfId="433" applyNumberFormat="1" applyFont="1" applyBorder="1" applyAlignment="1"/>
    <xf numFmtId="178" fontId="84" fillId="52" borderId="42" xfId="28" applyNumberFormat="1" applyFont="1" applyFill="1" applyBorder="1" applyAlignment="1">
      <alignment horizontal="center"/>
    </xf>
    <xf numFmtId="178" fontId="88" fillId="37" borderId="0" xfId="1471" applyFont="1" applyFill="1" applyAlignment="1"/>
    <xf numFmtId="178" fontId="87" fillId="2" borderId="71" xfId="995" applyFont="1" applyFill="1" applyBorder="1" applyAlignment="1">
      <alignment horizontal="right"/>
    </xf>
    <xf numFmtId="178" fontId="87" fillId="2" borderId="72" xfId="995" applyFont="1" applyFill="1" applyBorder="1" applyAlignment="1">
      <alignment horizontal="right"/>
    </xf>
    <xf numFmtId="183" fontId="84" fillId="37" borderId="2" xfId="28" applyNumberFormat="1" applyFont="1" applyBorder="1"/>
    <xf numFmtId="181" fontId="91" fillId="43" borderId="69" xfId="433" applyNumberFormat="1" applyFont="1" applyBorder="1" applyAlignment="1"/>
    <xf numFmtId="181" fontId="91" fillId="43" borderId="19" xfId="433" applyNumberFormat="1" applyFont="1" applyBorder="1" applyAlignment="1"/>
    <xf numFmtId="181" fontId="91" fillId="43" borderId="34" xfId="433" applyNumberFormat="1" applyFont="1" applyBorder="1" applyAlignment="1"/>
    <xf numFmtId="181" fontId="84" fillId="38" borderId="2" xfId="995" applyNumberFormat="1" applyFont="1" applyFill="1" applyBorder="1"/>
    <xf numFmtId="0" fontId="84" fillId="38" borderId="2" xfId="995" applyNumberFormat="1" applyFont="1" applyFill="1" applyBorder="1"/>
    <xf numFmtId="0" fontId="84" fillId="38" borderId="2" xfId="995" applyNumberFormat="1" applyFont="1" applyFill="1" applyBorder="1" applyAlignment="1">
      <alignment horizontal="left"/>
    </xf>
    <xf numFmtId="181" fontId="93" fillId="37" borderId="2" xfId="2000" applyNumberFormat="1" applyFont="1" applyFill="1" applyBorder="1" applyProtection="1">
      <protection locked="0"/>
    </xf>
    <xf numFmtId="178" fontId="93" fillId="37" borderId="2" xfId="2000" applyNumberFormat="1" applyFont="1" applyFill="1" applyBorder="1"/>
    <xf numFmtId="0" fontId="84" fillId="37" borderId="2" xfId="28" applyFont="1" applyBorder="1"/>
    <xf numFmtId="181" fontId="84" fillId="37" borderId="2" xfId="28" applyNumberFormat="1" applyFont="1" applyBorder="1" applyProtection="1">
      <protection locked="0"/>
    </xf>
    <xf numFmtId="0" fontId="91" fillId="43" borderId="2" xfId="433" applyNumberFormat="1" applyFont="1" applyBorder="1" applyAlignment="1">
      <alignment horizontal="left"/>
    </xf>
    <xf numFmtId="178" fontId="90" fillId="52" borderId="2" xfId="995" applyFont="1" applyFill="1" applyBorder="1" applyAlignment="1">
      <alignment horizontal="left"/>
    </xf>
    <xf numFmtId="178" fontId="93" fillId="37" borderId="0" xfId="2000" applyNumberFormat="1" applyFont="1" applyFill="1" applyBorder="1"/>
    <xf numFmtId="178" fontId="84" fillId="2" borderId="2" xfId="995" applyFont="1" applyFill="1" applyBorder="1"/>
    <xf numFmtId="179" fontId="84" fillId="2" borderId="2" xfId="995" applyNumberFormat="1" applyFont="1" applyFill="1" applyBorder="1"/>
    <xf numFmtId="179" fontId="84" fillId="50" borderId="2" xfId="995" applyNumberFormat="1" applyFont="1" applyFill="1" applyBorder="1"/>
    <xf numFmtId="181" fontId="84" fillId="54" borderId="2" xfId="995" applyNumberFormat="1" applyFont="1" applyFill="1" applyBorder="1"/>
    <xf numFmtId="178" fontId="84" fillId="2" borderId="2" xfId="995" applyFont="1" applyFill="1" applyBorder="1" applyAlignment="1">
      <alignment horizontal="centerContinuous"/>
    </xf>
    <xf numFmtId="180" fontId="89" fillId="39" borderId="2" xfId="25" applyNumberFormat="1" applyFont="1" applyBorder="1"/>
    <xf numFmtId="178" fontId="84" fillId="50" borderId="2" xfId="995" applyNumberFormat="1" applyFont="1" applyFill="1" applyBorder="1"/>
    <xf numFmtId="180" fontId="84" fillId="50" borderId="2" xfId="995" applyNumberFormat="1" applyFont="1" applyFill="1" applyBorder="1"/>
    <xf numFmtId="9" fontId="91" fillId="43" borderId="49" xfId="1987" applyFont="1" applyFill="1" applyBorder="1" applyAlignment="1"/>
    <xf numFmtId="9" fontId="91" fillId="43" borderId="20" xfId="1987" applyFont="1" applyFill="1" applyBorder="1" applyAlignment="1"/>
    <xf numFmtId="9" fontId="91" fillId="43" borderId="16" xfId="1987" applyFont="1" applyFill="1" applyBorder="1" applyAlignment="1"/>
    <xf numFmtId="178" fontId="83" fillId="37" borderId="2" xfId="2000" applyNumberFormat="1" applyFill="1" applyBorder="1"/>
    <xf numFmtId="179" fontId="93" fillId="37" borderId="2" xfId="2000" applyNumberFormat="1" applyFont="1" applyFill="1" applyBorder="1"/>
    <xf numFmtId="176" fontId="87" fillId="2" borderId="0" xfId="1987" applyNumberFormat="1" applyFont="1" applyFill="1"/>
    <xf numFmtId="178" fontId="67" fillId="39" borderId="0" xfId="25" applyNumberFormat="1" applyBorder="1"/>
    <xf numFmtId="181" fontId="67" fillId="39" borderId="2" xfId="25" applyNumberFormat="1" applyBorder="1"/>
    <xf numFmtId="180" fontId="67" fillId="39" borderId="2" xfId="25" applyNumberFormat="1" applyBorder="1"/>
    <xf numFmtId="178" fontId="80" fillId="45" borderId="0" xfId="1469" applyNumberFormat="1"/>
    <xf numFmtId="178" fontId="88" fillId="37" borderId="0" xfId="1471" applyFont="1" applyFill="1" applyBorder="1" applyAlignment="1"/>
    <xf numFmtId="179" fontId="91" fillId="50" borderId="12" xfId="433" applyNumberFormat="1" applyFont="1" applyFill="1" applyBorder="1" applyAlignment="1"/>
    <xf numFmtId="179" fontId="91" fillId="50" borderId="0" xfId="433" applyNumberFormat="1" applyFont="1" applyFill="1" applyBorder="1" applyAlignment="1"/>
    <xf numFmtId="179" fontId="91" fillId="50" borderId="14" xfId="433" applyNumberFormat="1" applyFont="1" applyFill="1" applyBorder="1" applyAlignment="1"/>
    <xf numFmtId="176" fontId="84" fillId="50" borderId="12" xfId="28" applyNumberFormat="1" applyFont="1" applyFill="1" applyBorder="1" applyAlignment="1">
      <alignment horizontal="right"/>
    </xf>
    <xf numFmtId="176" fontId="84" fillId="50" borderId="0" xfId="28" applyNumberFormat="1" applyFont="1" applyFill="1" applyBorder="1" applyAlignment="1">
      <alignment horizontal="right"/>
    </xf>
    <xf numFmtId="176" fontId="84" fillId="50" borderId="14" xfId="28" applyNumberFormat="1" applyFont="1" applyFill="1" applyBorder="1" applyAlignment="1">
      <alignment horizontal="right"/>
    </xf>
    <xf numFmtId="9" fontId="91" fillId="50" borderId="49" xfId="1987" applyFont="1" applyFill="1" applyBorder="1"/>
    <xf numFmtId="9" fontId="91" fillId="50" borderId="20" xfId="1987" applyFont="1" applyFill="1" applyBorder="1"/>
    <xf numFmtId="9" fontId="91" fillId="50" borderId="20" xfId="433" applyNumberFormat="1" applyFont="1" applyFill="1" applyBorder="1" applyAlignment="1"/>
    <xf numFmtId="9" fontId="91" fillId="50" borderId="16" xfId="433" applyNumberFormat="1" applyFont="1" applyFill="1" applyBorder="1" applyAlignment="1"/>
    <xf numFmtId="181" fontId="84" fillId="50" borderId="49" xfId="28" applyNumberFormat="1" applyFont="1" applyFill="1" applyBorder="1"/>
    <xf numFmtId="181" fontId="84" fillId="50" borderId="20" xfId="28" applyNumberFormat="1" applyFont="1" applyFill="1" applyBorder="1"/>
    <xf numFmtId="181" fontId="84" fillId="50" borderId="18" xfId="28" applyNumberFormat="1" applyFont="1" applyFill="1" applyBorder="1"/>
    <xf numFmtId="181" fontId="84" fillId="50" borderId="16" xfId="28" applyNumberFormat="1" applyFont="1" applyFill="1" applyBorder="1"/>
    <xf numFmtId="184" fontId="91" fillId="50" borderId="49" xfId="433" applyNumberFormat="1" applyFont="1" applyFill="1" applyBorder="1" applyAlignment="1"/>
    <xf numFmtId="184" fontId="91" fillId="50" borderId="20" xfId="433" applyNumberFormat="1" applyFont="1" applyFill="1" applyBorder="1" applyAlignment="1"/>
    <xf numFmtId="184" fontId="91" fillId="50" borderId="16" xfId="433" applyNumberFormat="1" applyFont="1" applyFill="1" applyBorder="1" applyAlignment="1"/>
    <xf numFmtId="182" fontId="91" fillId="50" borderId="49" xfId="433" applyNumberFormat="1" applyFont="1" applyFill="1" applyBorder="1" applyAlignment="1"/>
    <xf numFmtId="182" fontId="91" fillId="50" borderId="20" xfId="433" applyNumberFormat="1" applyFont="1" applyFill="1" applyBorder="1" applyAlignment="1"/>
    <xf numFmtId="182" fontId="91" fillId="50" borderId="16" xfId="433" applyNumberFormat="1" applyFont="1" applyFill="1" applyBorder="1" applyAlignment="1"/>
    <xf numFmtId="173" fontId="33" fillId="37" borderId="0" xfId="433" applyNumberFormat="1" applyFont="1" applyFill="1" applyBorder="1" applyAlignment="1"/>
    <xf numFmtId="179" fontId="84" fillId="37" borderId="0" xfId="28" applyNumberFormat="1" applyFont="1" applyBorder="1"/>
    <xf numFmtId="179" fontId="89" fillId="39" borderId="0" xfId="25" applyNumberFormat="1" applyFont="1" applyBorder="1"/>
    <xf numFmtId="179" fontId="84" fillId="37" borderId="0" xfId="28" applyNumberFormat="1" applyFont="1" applyBorder="1" applyProtection="1">
      <protection locked="0"/>
    </xf>
    <xf numFmtId="179" fontId="75" fillId="43" borderId="0" xfId="433" applyNumberFormat="1" applyBorder="1" applyAlignment="1" applyProtection="1">
      <protection locked="0"/>
    </xf>
    <xf numFmtId="181" fontId="84" fillId="37" borderId="0" xfId="28" applyNumberFormat="1" applyFont="1" applyBorder="1" applyProtection="1">
      <protection locked="0"/>
    </xf>
    <xf numFmtId="178" fontId="91" fillId="43" borderId="21" xfId="433" applyFont="1" applyBorder="1" applyAlignment="1">
      <alignment horizontal="left"/>
    </xf>
    <xf numFmtId="178" fontId="91" fillId="43" borderId="21" xfId="433" applyNumberFormat="1" applyFont="1" applyBorder="1" applyAlignment="1"/>
    <xf numFmtId="178" fontId="91" fillId="43" borderId="21" xfId="433" applyFont="1" applyBorder="1" applyAlignment="1"/>
    <xf numFmtId="181" fontId="89" fillId="45" borderId="2" xfId="25" applyNumberFormat="1" applyFont="1" applyFill="1" applyBorder="1" applyProtection="1">
      <protection locked="0"/>
    </xf>
    <xf numFmtId="171" fontId="94" fillId="0" borderId="0" xfId="0" applyNumberFormat="1" applyFont="1" applyFill="1" applyBorder="1"/>
    <xf numFmtId="0" fontId="10" fillId="0" borderId="0" xfId="2005"/>
    <xf numFmtId="0" fontId="11" fillId="0" borderId="0" xfId="2007"/>
    <xf numFmtId="171" fontId="11" fillId="0" borderId="0" xfId="993" applyNumberFormat="1" applyFont="1" applyFill="1" applyBorder="1" applyAlignment="1">
      <alignment horizontal="left"/>
    </xf>
    <xf numFmtId="14" fontId="11" fillId="0" borderId="0" xfId="993" applyNumberFormat="1" applyFont="1" applyAlignment="1">
      <alignment horizontal="left"/>
    </xf>
    <xf numFmtId="0" fontId="11" fillId="0" borderId="0" xfId="0" applyFont="1" applyFill="1" applyBorder="1" applyAlignment="1">
      <alignment horizontal="left"/>
    </xf>
    <xf numFmtId="171" fontId="11" fillId="0" borderId="0" xfId="0" applyNumberFormat="1" applyFont="1" applyFill="1" applyBorder="1"/>
    <xf numFmtId="0" fontId="11" fillId="0" borderId="0" xfId="975" applyFont="1"/>
    <xf numFmtId="0" fontId="50" fillId="35" borderId="81" xfId="975" applyFont="1" applyFill="1" applyBorder="1"/>
    <xf numFmtId="0" fontId="50" fillId="33" borderId="82" xfId="975" applyFont="1" applyFill="1" applyBorder="1"/>
    <xf numFmtId="0" fontId="11" fillId="0" borderId="0" xfId="0" applyFont="1" applyBorder="1"/>
    <xf numFmtId="0" fontId="11" fillId="0" borderId="0" xfId="993" applyFont="1" applyAlignment="1">
      <alignment horizontal="left"/>
    </xf>
    <xf numFmtId="0" fontId="0" fillId="0" borderId="0" xfId="0"/>
    <xf numFmtId="14" fontId="11" fillId="0" borderId="0" xfId="993" applyNumberFormat="1" applyFont="1" applyAlignment="1">
      <alignment horizontal="left"/>
    </xf>
    <xf numFmtId="171" fontId="11" fillId="0" borderId="0" xfId="993" applyNumberFormat="1" applyFont="1" applyFill="1" applyBorder="1" applyAlignment="1">
      <alignment horizontal="left"/>
    </xf>
    <xf numFmtId="0" fontId="11" fillId="0" borderId="0" xfId="993" applyFont="1" applyAlignment="1">
      <alignment horizontal="left"/>
    </xf>
    <xf numFmtId="0" fontId="8" fillId="0" borderId="21" xfId="3291" applyBorder="1"/>
    <xf numFmtId="0" fontId="8" fillId="0" borderId="67" xfId="3291" applyBorder="1"/>
    <xf numFmtId="0" fontId="33" fillId="34" borderId="12" xfId="2007" applyFont="1" applyFill="1" applyBorder="1" applyAlignment="1">
      <alignment horizontal="left" vertical="center" wrapText="1"/>
    </xf>
    <xf numFmtId="0" fontId="33" fillId="31" borderId="12" xfId="2007" applyFont="1" applyFill="1" applyBorder="1" applyAlignment="1">
      <alignment horizontal="left" vertical="center" wrapText="1"/>
    </xf>
    <xf numFmtId="0" fontId="11" fillId="0" borderId="0" xfId="2007"/>
    <xf numFmtId="0" fontId="11" fillId="0" borderId="0" xfId="2007" applyAlignment="1">
      <alignment horizontal="center"/>
    </xf>
    <xf numFmtId="0" fontId="11" fillId="30" borderId="0" xfId="2007" applyFont="1" applyFill="1"/>
    <xf numFmtId="0" fontId="11" fillId="0" borderId="0" xfId="2007" applyAlignment="1">
      <alignment horizontal="left"/>
    </xf>
    <xf numFmtId="0" fontId="8" fillId="0" borderId="0" xfId="3310"/>
    <xf numFmtId="2" fontId="8" fillId="0" borderId="0" xfId="3310" applyNumberFormat="1"/>
    <xf numFmtId="0" fontId="11" fillId="0" borderId="0" xfId="3310" applyFont="1" applyFill="1" applyBorder="1" applyAlignment="1"/>
    <xf numFmtId="0" fontId="47" fillId="29" borderId="12" xfId="2007" applyFont="1" applyFill="1" applyBorder="1" applyAlignment="1">
      <alignment horizontal="left" vertical="center" wrapText="1"/>
    </xf>
    <xf numFmtId="0" fontId="34" fillId="29" borderId="12" xfId="2007" applyFont="1" applyFill="1" applyBorder="1" applyAlignment="1">
      <alignment horizontal="left" vertical="center" wrapText="1"/>
    </xf>
    <xf numFmtId="0" fontId="34" fillId="29" borderId="13" xfId="2007" applyFont="1" applyFill="1" applyBorder="1" applyAlignment="1">
      <alignment horizontal="left" vertical="center" wrapText="1"/>
    </xf>
    <xf numFmtId="0" fontId="8" fillId="0" borderId="0" xfId="3291" applyBorder="1"/>
    <xf numFmtId="0" fontId="82" fillId="0" borderId="66" xfId="3312" applyFont="1" applyBorder="1" applyAlignment="1"/>
    <xf numFmtId="1" fontId="82" fillId="0" borderId="21" xfId="3312" applyNumberFormat="1" applyFont="1" applyFill="1" applyBorder="1" applyAlignment="1">
      <alignment horizontal="center"/>
    </xf>
    <xf numFmtId="1" fontId="82" fillId="0" borderId="0" xfId="3312" applyNumberFormat="1" applyFont="1" applyFill="1" applyBorder="1" applyAlignment="1">
      <alignment horizontal="center"/>
    </xf>
    <xf numFmtId="170" fontId="96" fillId="0" borderId="0" xfId="3312" applyNumberFormat="1" applyFont="1" applyFill="1" applyBorder="1" applyAlignment="1">
      <alignment horizontal="center"/>
    </xf>
    <xf numFmtId="170" fontId="82" fillId="0" borderId="17" xfId="3312" applyNumberFormat="1" applyFont="1" applyFill="1" applyBorder="1" applyAlignment="1">
      <alignment horizontal="left"/>
    </xf>
    <xf numFmtId="170" fontId="8" fillId="0" borderId="60" xfId="3312" applyNumberFormat="1" applyFont="1" applyFill="1" applyBorder="1" applyAlignment="1">
      <alignment horizontal="center"/>
    </xf>
    <xf numFmtId="0" fontId="8" fillId="0" borderId="21" xfId="3312" applyFont="1" applyBorder="1"/>
    <xf numFmtId="14" fontId="82" fillId="0" borderId="0" xfId="3312" applyNumberFormat="1" applyFont="1" applyBorder="1" applyAlignment="1">
      <alignment horizontal="left"/>
    </xf>
    <xf numFmtId="0" fontId="8" fillId="0" borderId="0" xfId="3312" applyFont="1" applyBorder="1"/>
    <xf numFmtId="0" fontId="82" fillId="0" borderId="17" xfId="3312" applyFont="1" applyBorder="1"/>
    <xf numFmtId="0" fontId="8" fillId="0" borderId="66" xfId="3291" applyBorder="1"/>
    <xf numFmtId="0" fontId="8" fillId="0" borderId="66" xfId="3312" applyFont="1" applyBorder="1"/>
    <xf numFmtId="0" fontId="82" fillId="0" borderId="68" xfId="3312" applyFont="1" applyBorder="1"/>
    <xf numFmtId="0" fontId="82" fillId="0" borderId="60" xfId="3312" applyFont="1" applyFill="1" applyBorder="1" applyAlignment="1">
      <alignment horizontal="left"/>
    </xf>
    <xf numFmtId="0" fontId="82" fillId="0" borderId="59" xfId="3312" applyFont="1" applyFill="1" applyBorder="1" applyAlignment="1">
      <alignment horizontal="left"/>
    </xf>
    <xf numFmtId="0" fontId="82" fillId="0" borderId="0" xfId="3312" applyFont="1" applyBorder="1" applyAlignment="1">
      <alignment horizontal="left"/>
    </xf>
    <xf numFmtId="0" fontId="11" fillId="0" borderId="17" xfId="0" applyFont="1" applyBorder="1"/>
    <xf numFmtId="171" fontId="11" fillId="0" borderId="0" xfId="993" applyNumberFormat="1" applyFont="1" applyFill="1" applyBorder="1"/>
    <xf numFmtId="178" fontId="84" fillId="37" borderId="0" xfId="995" applyFont="1" applyFill="1"/>
    <xf numFmtId="178" fontId="84" fillId="37" borderId="0"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80" fontId="75" fillId="37" borderId="0" xfId="433" applyNumberFormat="1" applyFill="1" applyBorder="1" applyAlignment="1"/>
    <xf numFmtId="178" fontId="87" fillId="2" borderId="0" xfId="995" applyFont="1" applyFill="1" applyBorder="1"/>
    <xf numFmtId="178" fontId="84" fillId="2" borderId="19"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83" fontId="84" fillId="37" borderId="0" xfId="995" applyNumberFormat="1" applyFont="1" applyFill="1"/>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83" fontId="84" fillId="37" borderId="2" xfId="28" applyNumberFormat="1" applyFont="1" applyBorder="1"/>
    <xf numFmtId="178" fontId="67" fillId="39" borderId="0" xfId="25" applyNumberFormat="1" applyBorder="1"/>
    <xf numFmtId="179" fontId="91" fillId="50" borderId="0" xfId="433" applyNumberFormat="1" applyFont="1" applyFill="1" applyBorder="1" applyAlignment="1"/>
    <xf numFmtId="176" fontId="84" fillId="50" borderId="0" xfId="28" applyNumberFormat="1" applyFont="1" applyFill="1" applyBorder="1" applyAlignment="1">
      <alignment horizontal="right"/>
    </xf>
    <xf numFmtId="181" fontId="84" fillId="50" borderId="20" xfId="28" applyNumberFormat="1" applyFont="1" applyFill="1" applyBorder="1"/>
    <xf numFmtId="184" fontId="91" fillId="50" borderId="20" xfId="433" applyNumberFormat="1" applyFont="1" applyFill="1" applyBorder="1" applyAlignment="1"/>
    <xf numFmtId="182" fontId="91" fillId="50" borderId="20" xfId="433" applyNumberFormat="1" applyFont="1" applyFill="1" applyBorder="1" applyAlignment="1"/>
    <xf numFmtId="179" fontId="84" fillId="37" borderId="0" xfId="28" applyNumberFormat="1" applyFont="1" applyBorder="1" applyProtection="1">
      <protection locked="0"/>
    </xf>
    <xf numFmtId="178" fontId="91" fillId="43" borderId="21" xfId="433" applyFont="1" applyBorder="1" applyAlignment="1">
      <alignment horizontal="left"/>
    </xf>
    <xf numFmtId="178" fontId="33" fillId="37" borderId="0" xfId="3371" applyFill="1"/>
    <xf numFmtId="178" fontId="33" fillId="37" borderId="0" xfId="3371" applyFill="1" applyBorder="1" applyAlignment="1">
      <alignment horizontal="left"/>
    </xf>
    <xf numFmtId="0" fontId="121" fillId="0" borderId="0" xfId="3261" applyFont="1"/>
    <xf numFmtId="0" fontId="9" fillId="0" borderId="0" xfId="3261"/>
    <xf numFmtId="0" fontId="82" fillId="0" borderId="0" xfId="3261" applyFont="1"/>
    <xf numFmtId="0" fontId="82" fillId="0" borderId="14" xfId="3261" applyFont="1" applyBorder="1"/>
    <xf numFmtId="0" fontId="82" fillId="51" borderId="0" xfId="3261" applyFont="1" applyFill="1"/>
    <xf numFmtId="0" fontId="82" fillId="83" borderId="0" xfId="3261" applyFont="1" applyFill="1"/>
    <xf numFmtId="0" fontId="6"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8"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1" fillId="0" borderId="0" xfId="0" applyFont="1" applyFill="1" applyBorder="1" applyAlignment="1">
      <alignment horizontal="center" vertical="center"/>
    </xf>
    <xf numFmtId="0" fontId="82" fillId="0" borderId="0" xfId="6229" applyFont="1"/>
    <xf numFmtId="0" fontId="4" fillId="0" borderId="0" xfId="6229"/>
    <xf numFmtId="0" fontId="4" fillId="0" borderId="0" xfId="6229" applyFont="1"/>
    <xf numFmtId="170" fontId="4" fillId="0" borderId="90" xfId="7504" applyNumberFormat="1" applyFont="1" applyFill="1" applyBorder="1" applyAlignment="1">
      <alignment horizontal="center"/>
    </xf>
    <xf numFmtId="170" fontId="4" fillId="50" borderId="90" xfId="7504" applyNumberFormat="1" applyFont="1" applyFill="1" applyBorder="1" applyAlignment="1">
      <alignment horizontal="center"/>
    </xf>
    <xf numFmtId="0" fontId="82" fillId="0" borderId="68" xfId="7490" applyFont="1" applyFill="1" applyBorder="1"/>
    <xf numFmtId="165" fontId="4" fillId="0" borderId="66" xfId="6610" applyFont="1" applyFill="1" applyBorder="1"/>
    <xf numFmtId="0" fontId="4" fillId="0" borderId="66" xfId="7490" applyFill="1" applyBorder="1"/>
    <xf numFmtId="0" fontId="82" fillId="0" borderId="66" xfId="7490" applyFont="1" applyFill="1" applyBorder="1"/>
    <xf numFmtId="0" fontId="82" fillId="0" borderId="67" xfId="7490" applyFont="1" applyFill="1" applyBorder="1"/>
    <xf numFmtId="0" fontId="82" fillId="0" borderId="17" xfId="7490" applyFont="1" applyFill="1" applyBorder="1"/>
    <xf numFmtId="2" fontId="4" fillId="0" borderId="0" xfId="7490" applyNumberFormat="1" applyFill="1" applyBorder="1"/>
    <xf numFmtId="2" fontId="4" fillId="50" borderId="0" xfId="7490" applyNumberFormat="1" applyFill="1" applyBorder="1"/>
    <xf numFmtId="0" fontId="4" fillId="50" borderId="17" xfId="7490" applyFont="1" applyFill="1" applyBorder="1"/>
    <xf numFmtId="0" fontId="4" fillId="0" borderId="0" xfId="7490" applyBorder="1"/>
    <xf numFmtId="0" fontId="4" fillId="0" borderId="17" xfId="7490" applyFont="1" applyBorder="1"/>
    <xf numFmtId="0" fontId="4" fillId="0" borderId="0" xfId="7490" applyFont="1" applyBorder="1"/>
    <xf numFmtId="0" fontId="4" fillId="0" borderId="21" xfId="7490" applyBorder="1"/>
    <xf numFmtId="0" fontId="4" fillId="0" borderId="91" xfId="7490" applyBorder="1"/>
    <xf numFmtId="0" fontId="4" fillId="0" borderId="90" xfId="7490" applyBorder="1"/>
    <xf numFmtId="0" fontId="4" fillId="0" borderId="92" xfId="7490" applyBorder="1"/>
    <xf numFmtId="0" fontId="84" fillId="0" borderId="0" xfId="0" applyFont="1"/>
    <xf numFmtId="0" fontId="123" fillId="0" borderId="0" xfId="991" applyFont="1"/>
    <xf numFmtId="0" fontId="124" fillId="84" borderId="0" xfId="991" applyFont="1" applyFill="1"/>
    <xf numFmtId="0" fontId="123" fillId="0" borderId="0" xfId="991" applyFont="1" applyAlignment="1">
      <alignment horizontal="right"/>
    </xf>
    <xf numFmtId="0" fontId="84" fillId="85" borderId="90" xfId="991" applyFont="1" applyFill="1" applyBorder="1" applyAlignment="1">
      <alignment horizontal="left" wrapText="1"/>
    </xf>
    <xf numFmtId="0" fontId="84" fillId="85" borderId="90" xfId="991" applyFont="1" applyFill="1" applyBorder="1" applyAlignment="1">
      <alignment horizontal="right" wrapText="1"/>
    </xf>
    <xf numFmtId="0" fontId="123" fillId="30" borderId="0" xfId="991" applyFont="1" applyFill="1"/>
    <xf numFmtId="0" fontId="93" fillId="0" borderId="0" xfId="991" applyFont="1" applyAlignment="1">
      <alignment horizontal="right"/>
    </xf>
    <xf numFmtId="0" fontId="93" fillId="85" borderId="90" xfId="991" applyFont="1" applyFill="1" applyBorder="1" applyAlignment="1">
      <alignment horizontal="right" wrapText="1"/>
    </xf>
    <xf numFmtId="0" fontId="93" fillId="0" borderId="0" xfId="0" applyFont="1"/>
    <xf numFmtId="0" fontId="0" fillId="0" borderId="0" xfId="0" applyNumberFormat="1" applyFont="1" applyFill="1" applyBorder="1" applyAlignment="1" applyProtection="1"/>
    <xf numFmtId="0" fontId="11" fillId="0" borderId="0" xfId="0" applyFont="1" applyFill="1"/>
    <xf numFmtId="171" fontId="0" fillId="0" borderId="96" xfId="0" applyNumberFormat="1" applyBorder="1"/>
    <xf numFmtId="171" fontId="11" fillId="0" borderId="96" xfId="0" applyNumberFormat="1" applyFont="1" applyFill="1" applyBorder="1"/>
    <xf numFmtId="171" fontId="0" fillId="0" borderId="96" xfId="0" applyNumberFormat="1" applyFill="1" applyBorder="1"/>
    <xf numFmtId="1" fontId="11" fillId="0" borderId="0" xfId="0" applyNumberFormat="1" applyFont="1" applyBorder="1"/>
    <xf numFmtId="171" fontId="11" fillId="0" borderId="0" xfId="0" applyNumberFormat="1" applyFont="1"/>
    <xf numFmtId="0" fontId="0" fillId="0" borderId="96" xfId="0" applyBorder="1"/>
    <xf numFmtId="0" fontId="0" fillId="0" borderId="96" xfId="0" applyFill="1" applyBorder="1"/>
    <xf numFmtId="0" fontId="84" fillId="31" borderId="93" xfId="991" applyFont="1" applyFill="1" applyBorder="1" applyAlignment="1">
      <alignment horizontal="left" vertical="center" wrapText="1"/>
    </xf>
    <xf numFmtId="0" fontId="84" fillId="31" borderId="93" xfId="991" applyFont="1" applyFill="1" applyBorder="1" applyAlignment="1">
      <alignment horizontal="left" vertical="top" wrapText="1"/>
    </xf>
    <xf numFmtId="0" fontId="84" fillId="31" borderId="93" xfId="991" applyFont="1" applyFill="1" applyBorder="1" applyAlignment="1">
      <alignment horizontal="right" vertical="center" wrapText="1"/>
    </xf>
    <xf numFmtId="0" fontId="93" fillId="31" borderId="93" xfId="991" applyFont="1" applyFill="1" applyBorder="1" applyAlignment="1">
      <alignment horizontal="right" vertical="center" wrapText="1"/>
    </xf>
    <xf numFmtId="0" fontId="84" fillId="31" borderId="0" xfId="991" applyFont="1" applyFill="1" applyAlignment="1">
      <alignment horizontal="right" vertical="center" wrapText="1"/>
    </xf>
    <xf numFmtId="186" fontId="33" fillId="88" borderId="0" xfId="0" applyNumberFormat="1" applyFont="1" applyFill="1"/>
    <xf numFmtId="0" fontId="33" fillId="88" borderId="0" xfId="991" applyFont="1" applyFill="1"/>
    <xf numFmtId="0" fontId="125" fillId="89" borderId="97" xfId="0" applyNumberFormat="1" applyFont="1" applyFill="1" applyBorder="1" applyAlignment="1" applyProtection="1">
      <alignment horizontal="right" wrapText="1"/>
    </xf>
    <xf numFmtId="0" fontId="33" fillId="90" borderId="0" xfId="0" applyNumberFormat="1" applyFont="1" applyFill="1" applyBorder="1" applyAlignment="1" applyProtection="1">
      <alignment horizontal="right" vertical="center" wrapText="1"/>
    </xf>
    <xf numFmtId="0" fontId="14" fillId="0" borderId="0" xfId="0" applyNumberFormat="1" applyFont="1" applyFill="1" applyBorder="1" applyAlignment="1" applyProtection="1"/>
    <xf numFmtId="0" fontId="33" fillId="0" borderId="0" xfId="0" applyNumberFormat="1" applyFont="1" applyFill="1" applyBorder="1" applyAlignment="1" applyProtection="1"/>
    <xf numFmtId="0" fontId="123" fillId="0" borderId="0" xfId="991" applyFont="1" applyFill="1" applyAlignment="1">
      <alignment horizontal="right"/>
    </xf>
    <xf numFmtId="0" fontId="33" fillId="50" borderId="12" xfId="0" applyFont="1" applyFill="1" applyBorder="1" applyAlignment="1">
      <alignment horizontal="left" vertical="center" wrapText="1"/>
    </xf>
    <xf numFmtId="0" fontId="11" fillId="50" borderId="0" xfId="0" applyFont="1" applyFill="1" applyBorder="1" applyAlignment="1"/>
    <xf numFmtId="0" fontId="47" fillId="29" borderId="95" xfId="0" applyFont="1" applyFill="1" applyBorder="1" applyAlignment="1">
      <alignment horizontal="left" vertical="center" wrapText="1"/>
    </xf>
    <xf numFmtId="171" fontId="0" fillId="0" borderId="0" xfId="0" applyNumberFormat="1" applyFill="1"/>
    <xf numFmtId="171" fontId="11" fillId="0" borderId="0" xfId="0" applyNumberFormat="1" applyFont="1" applyFill="1"/>
    <xf numFmtId="171" fontId="12" fillId="0" borderId="96" xfId="0" applyNumberFormat="1" applyFont="1" applyFill="1" applyBorder="1"/>
    <xf numFmtId="171" fontId="0" fillId="0" borderId="93" xfId="0" applyNumberFormat="1" applyBorder="1"/>
    <xf numFmtId="171" fontId="0" fillId="0" borderId="93" xfId="0" applyNumberFormat="1" applyFill="1" applyBorder="1"/>
    <xf numFmtId="171" fontId="12" fillId="0" borderId="93" xfId="0" applyNumberFormat="1" applyFont="1" applyFill="1" applyBorder="1"/>
    <xf numFmtId="171" fontId="5" fillId="0" borderId="96" xfId="5676" applyNumberFormat="1" applyFont="1" applyBorder="1"/>
    <xf numFmtId="0" fontId="55" fillId="0" borderId="0" xfId="0" applyFont="1"/>
    <xf numFmtId="171" fontId="11"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2" fillId="0" borderId="0" xfId="0" applyNumberFormat="1" applyFont="1" applyFill="1" applyBorder="1" applyAlignment="1">
      <alignment horizontal="left"/>
    </xf>
    <xf numFmtId="171" fontId="11" fillId="0" borderId="0" xfId="0" applyNumberFormat="1" applyFont="1" applyAlignment="1">
      <alignment horizontal="left"/>
    </xf>
    <xf numFmtId="171" fontId="13" fillId="0" borderId="0" xfId="0" applyNumberFormat="1" applyFont="1" applyAlignment="1">
      <alignment horizontal="left" wrapText="1"/>
    </xf>
    <xf numFmtId="0" fontId="126" fillId="0" borderId="0" xfId="0" applyFont="1"/>
    <xf numFmtId="171" fontId="34" fillId="29" borderId="96" xfId="0" applyNumberFormat="1" applyFont="1" applyFill="1" applyBorder="1" applyAlignment="1">
      <alignment horizontal="left" vertical="center" wrapText="1"/>
    </xf>
    <xf numFmtId="171" fontId="34" fillId="29" borderId="96" xfId="0" quotePrefix="1" applyNumberFormat="1" applyFont="1" applyFill="1" applyBorder="1" applyAlignment="1">
      <alignment horizontal="left" vertical="center" wrapText="1"/>
    </xf>
    <xf numFmtId="0" fontId="12" fillId="0" borderId="96" xfId="0" applyFont="1" applyFill="1" applyBorder="1" applyAlignment="1">
      <alignment horizontal="left"/>
    </xf>
    <xf numFmtId="0" fontId="12" fillId="0" borderId="96" xfId="0" applyFont="1" applyFill="1" applyBorder="1" applyAlignment="1">
      <alignment horizontal="center" vertical="center"/>
    </xf>
    <xf numFmtId="1" fontId="38" fillId="0" borderId="96" xfId="2002" applyNumberFormat="1" applyFont="1" applyFill="1" applyBorder="1" applyAlignment="1">
      <alignment horizontal="center"/>
    </xf>
    <xf numFmtId="0" fontId="128"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29" fillId="91" borderId="0" xfId="0" applyFont="1" applyFill="1" applyAlignment="1">
      <alignment horizontal="left"/>
    </xf>
    <xf numFmtId="0" fontId="129" fillId="91" borderId="0" xfId="0" applyFont="1" applyFill="1" applyAlignment="1">
      <alignment horizontal="center"/>
    </xf>
    <xf numFmtId="0" fontId="131" fillId="0" borderId="98" xfId="0" applyFont="1" applyBorder="1" applyAlignment="1">
      <alignment horizontal="left"/>
    </xf>
    <xf numFmtId="0" fontId="123" fillId="0" borderId="0" xfId="0" applyFont="1" applyAlignment="1">
      <alignment horizontal="left"/>
    </xf>
    <xf numFmtId="174" fontId="132" fillId="37" borderId="0" xfId="430" applyNumberFormat="1" applyFont="1" applyFill="1" applyBorder="1"/>
    <xf numFmtId="174" fontId="132" fillId="37" borderId="14" xfId="430" applyNumberFormat="1" applyFont="1" applyFill="1" applyBorder="1"/>
    <xf numFmtId="174" fontId="132" fillId="37" borderId="58" xfId="430" applyNumberFormat="1" applyFont="1" applyFill="1" applyBorder="1"/>
    <xf numFmtId="0" fontId="133" fillId="0" borderId="0" xfId="0" applyFont="1"/>
    <xf numFmtId="170" fontId="134" fillId="40" borderId="80" xfId="1467" applyNumberFormat="1" applyFont="1" applyAlignment="1">
      <alignment horizontal="center"/>
    </xf>
    <xf numFmtId="174" fontId="135" fillId="37" borderId="58" xfId="430" applyNumberFormat="1" applyFont="1" applyFill="1" applyBorder="1"/>
    <xf numFmtId="174" fontId="135" fillId="37" borderId="0" xfId="430" applyNumberFormat="1" applyFont="1" applyFill="1" applyBorder="1"/>
    <xf numFmtId="174" fontId="135" fillId="37" borderId="14" xfId="430" applyNumberFormat="1" applyFont="1" applyFill="1" applyBorder="1"/>
    <xf numFmtId="9" fontId="11" fillId="55" borderId="0" xfId="1473" applyFont="1" applyFill="1" applyBorder="1"/>
    <xf numFmtId="0" fontId="130" fillId="88" borderId="98" xfId="0" applyFont="1" applyFill="1" applyBorder="1" applyAlignment="1">
      <alignment horizontal="left" wrapText="1"/>
    </xf>
    <xf numFmtId="0" fontId="130" fillId="88" borderId="98" xfId="0" applyFont="1" applyFill="1" applyBorder="1" applyAlignment="1">
      <alignment horizontal="center"/>
    </xf>
    <xf numFmtId="1" fontId="131" fillId="0" borderId="98" xfId="0" applyNumberFormat="1" applyFont="1" applyBorder="1" applyAlignment="1">
      <alignment horizontal="center"/>
    </xf>
    <xf numFmtId="0" fontId="123" fillId="0" borderId="0" xfId="0" applyFont="1" applyAlignment="1">
      <alignment vertical="center"/>
    </xf>
    <xf numFmtId="2" fontId="135" fillId="50" borderId="0" xfId="7490" applyNumberFormat="1" applyFont="1" applyFill="1" applyBorder="1"/>
    <xf numFmtId="2" fontId="132" fillId="50" borderId="0" xfId="7490" applyNumberFormat="1" applyFont="1" applyFill="1" applyBorder="1"/>
    <xf numFmtId="170" fontId="132" fillId="50" borderId="90" xfId="7504" applyNumberFormat="1" applyFont="1" applyFill="1" applyBorder="1" applyAlignment="1">
      <alignment horizontal="center"/>
    </xf>
    <xf numFmtId="170" fontId="135" fillId="50" borderId="90" xfId="7504" applyNumberFormat="1" applyFont="1" applyFill="1" applyBorder="1" applyAlignment="1">
      <alignment horizontal="center"/>
    </xf>
    <xf numFmtId="0" fontId="12" fillId="0" borderId="96" xfId="0" applyFont="1" applyBorder="1"/>
    <xf numFmtId="0" fontId="11" fillId="0" borderId="0" xfId="0" applyFont="1"/>
    <xf numFmtId="0" fontId="139" fillId="0" borderId="0" xfId="0" applyFont="1"/>
    <xf numFmtId="0" fontId="0" fillId="0" borderId="34" xfId="0" applyBorder="1"/>
    <xf numFmtId="9" fontId="11" fillId="0" borderId="0" xfId="1473"/>
    <xf numFmtId="2" fontId="11" fillId="0" borderId="0" xfId="0" applyNumberFormat="1" applyFont="1"/>
    <xf numFmtId="0" fontId="33" fillId="50" borderId="95" xfId="0" applyFont="1" applyFill="1" applyBorder="1" applyAlignment="1">
      <alignment horizontal="left" vertical="center" wrapText="1"/>
    </xf>
    <xf numFmtId="0" fontId="33" fillId="86" borderId="93" xfId="0" applyNumberFormat="1" applyFont="1" applyFill="1" applyBorder="1" applyAlignment="1" applyProtection="1">
      <alignment horizontal="left" vertical="center" wrapText="1"/>
    </xf>
    <xf numFmtId="0" fontId="47" fillId="87" borderId="105" xfId="0" applyNumberFormat="1" applyFont="1" applyFill="1" applyBorder="1" applyAlignment="1" applyProtection="1">
      <alignment horizontal="left" vertical="center" wrapText="1"/>
    </xf>
    <xf numFmtId="1" fontId="11" fillId="0" borderId="0" xfId="0" applyNumberFormat="1" applyFont="1" applyFill="1" applyBorder="1" applyAlignment="1" applyProtection="1">
      <alignment horizontal="center"/>
    </xf>
    <xf numFmtId="0" fontId="0" fillId="0" borderId="0" xfId="0"/>
    <xf numFmtId="1" fontId="11"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11" fillId="0" borderId="0" xfId="2611"/>
    <xf numFmtId="0" fontId="143" fillId="50" borderId="0" xfId="2611" applyFont="1" applyFill="1"/>
    <xf numFmtId="2" fontId="11" fillId="0" borderId="0" xfId="2611" applyNumberFormat="1"/>
    <xf numFmtId="0" fontId="11" fillId="30" borderId="0" xfId="2611" applyFill="1"/>
    <xf numFmtId="0" fontId="33" fillId="31" borderId="129" xfId="2611" applyFont="1" applyFill="1" applyBorder="1" applyAlignment="1">
      <alignment horizontal="left" vertical="center" wrapText="1"/>
    </xf>
    <xf numFmtId="0" fontId="33" fillId="48" borderId="129" xfId="2611" applyFont="1" applyFill="1" applyBorder="1" applyAlignment="1">
      <alignment horizontal="left" vertical="center" wrapText="1"/>
    </xf>
    <xf numFmtId="0" fontId="33" fillId="32" borderId="129" xfId="2611" applyFont="1" applyFill="1" applyBorder="1" applyAlignment="1">
      <alignment horizontal="left" vertical="center" wrapText="1"/>
    </xf>
    <xf numFmtId="0" fontId="33" fillId="49" borderId="129" xfId="2611" applyFont="1" applyFill="1" applyBorder="1" applyAlignment="1">
      <alignment horizontal="left" vertical="center" wrapText="1"/>
    </xf>
    <xf numFmtId="0" fontId="82" fillId="76" borderId="130" xfId="10686" applyFont="1" applyBorder="1" applyAlignment="1">
      <alignment horizontal="center" vertical="center" wrapText="1"/>
    </xf>
    <xf numFmtId="0" fontId="34" fillId="29" borderId="94" xfId="2611" applyFont="1" applyFill="1" applyBorder="1" applyAlignment="1">
      <alignment horizontal="left" vertical="center" wrapText="1"/>
    </xf>
    <xf numFmtId="0" fontId="34" fillId="29" borderId="96" xfId="2611" applyFont="1" applyFill="1" applyBorder="1" applyAlignment="1">
      <alignment horizontal="center" vertical="center" wrapText="1"/>
    </xf>
    <xf numFmtId="0" fontId="11" fillId="37" borderId="0" xfId="0" applyFont="1" applyFill="1"/>
    <xf numFmtId="0" fontId="11" fillId="0" borderId="0" xfId="2611" applyAlignment="1" applyProtection="1">
      <alignment horizontal="left"/>
      <protection locked="0"/>
    </xf>
    <xf numFmtId="2" fontId="11" fillId="0" borderId="0" xfId="2611" applyNumberFormat="1" applyAlignment="1">
      <alignment horizontal="center"/>
    </xf>
    <xf numFmtId="169" fontId="11" fillId="0" borderId="0" xfId="2611" applyNumberFormat="1" applyAlignment="1">
      <alignment horizontal="center"/>
    </xf>
    <xf numFmtId="170" fontId="11" fillId="0" borderId="0" xfId="2611" applyNumberFormat="1" applyAlignment="1">
      <alignment horizontal="center"/>
    </xf>
    <xf numFmtId="169" fontId="11" fillId="47" borderId="0" xfId="2611" applyNumberFormat="1" applyFill="1" applyAlignment="1">
      <alignment horizontal="center"/>
    </xf>
    <xf numFmtId="2" fontId="11" fillId="31" borderId="0" xfId="2611" applyNumberFormat="1" applyFill="1" applyAlignment="1">
      <alignment horizontal="center"/>
    </xf>
    <xf numFmtId="9" fontId="11" fillId="50" borderId="0" xfId="2611" applyNumberFormat="1" applyFill="1" applyAlignment="1">
      <alignment horizontal="center"/>
    </xf>
    <xf numFmtId="171" fontId="126" fillId="0" borderId="0" xfId="0" applyNumberFormat="1" applyFont="1"/>
    <xf numFmtId="0" fontId="11" fillId="0" borderId="0" xfId="2611" applyAlignment="1">
      <alignment horizontal="center"/>
    </xf>
    <xf numFmtId="170" fontId="11" fillId="50" borderId="0" xfId="2611" applyNumberFormat="1" applyFill="1" applyAlignment="1">
      <alignment horizontal="center"/>
    </xf>
    <xf numFmtId="169" fontId="11" fillId="0" borderId="0" xfId="2611" applyNumberFormat="1"/>
    <xf numFmtId="1" fontId="11" fillId="0" borderId="0" xfId="2611" applyNumberFormat="1" applyAlignment="1">
      <alignment horizontal="center"/>
    </xf>
    <xf numFmtId="169" fontId="11" fillId="55" borderId="0" xfId="2611" applyNumberFormat="1" applyFill="1" applyAlignment="1">
      <alignment horizontal="center"/>
    </xf>
    <xf numFmtId="0" fontId="11" fillId="0" borderId="96" xfId="2611" applyBorder="1" applyAlignment="1" applyProtection="1">
      <alignment horizontal="left"/>
      <protection locked="0"/>
    </xf>
    <xf numFmtId="0" fontId="11" fillId="0" borderId="96" xfId="2611" applyBorder="1"/>
    <xf numFmtId="2" fontId="11" fillId="0" borderId="96" xfId="2611" applyNumberFormat="1" applyBorder="1" applyAlignment="1">
      <alignment horizontal="center"/>
    </xf>
    <xf numFmtId="169" fontId="11" fillId="55" borderId="96" xfId="2611" applyNumberFormat="1" applyFill="1" applyBorder="1" applyAlignment="1">
      <alignment horizontal="center"/>
    </xf>
    <xf numFmtId="169" fontId="11" fillId="0" borderId="96" xfId="2611" applyNumberFormat="1" applyBorder="1"/>
    <xf numFmtId="169" fontId="69" fillId="41" borderId="0" xfId="417" applyNumberFormat="1"/>
    <xf numFmtId="0" fontId="11" fillId="0" borderId="68" xfId="2611" applyBorder="1"/>
    <xf numFmtId="0" fontId="45" fillId="0" borderId="66" xfId="2611" applyFont="1" applyBorder="1" applyAlignment="1">
      <alignment horizontal="center"/>
    </xf>
    <xf numFmtId="0" fontId="45" fillId="0" borderId="67" xfId="2611" applyFont="1" applyBorder="1" applyAlignment="1">
      <alignment horizontal="center"/>
    </xf>
    <xf numFmtId="0" fontId="11" fillId="0" borderId="17" xfId="2611" applyBorder="1"/>
    <xf numFmtId="0" fontId="11" fillId="0" borderId="21" xfId="2611" applyBorder="1"/>
    <xf numFmtId="0" fontId="45" fillId="0" borderId="17" xfId="2611" applyFont="1" applyBorder="1"/>
    <xf numFmtId="170" fontId="11" fillId="50" borderId="21" xfId="2611" applyNumberFormat="1" applyFill="1" applyBorder="1" applyAlignment="1">
      <alignment horizontal="center"/>
    </xf>
    <xf numFmtId="0" fontId="45" fillId="0" borderId="131" xfId="2611" applyFont="1" applyBorder="1"/>
    <xf numFmtId="170" fontId="11" fillId="0" borderId="132" xfId="2611" applyNumberFormat="1" applyBorder="1" applyAlignment="1">
      <alignment horizontal="center"/>
    </xf>
    <xf numFmtId="170" fontId="11" fillId="50" borderId="133" xfId="2611" applyNumberFormat="1" applyFill="1" applyBorder="1" applyAlignment="1">
      <alignment horizontal="center"/>
    </xf>
    <xf numFmtId="1" fontId="11" fillId="0" borderId="0" xfId="2611" applyNumberFormat="1"/>
    <xf numFmtId="0" fontId="142" fillId="0" borderId="0" xfId="10657"/>
    <xf numFmtId="0" fontId="144" fillId="0" borderId="0" xfId="10657" applyFont="1"/>
    <xf numFmtId="1" fontId="142" fillId="0" borderId="0" xfId="10657" applyNumberFormat="1"/>
    <xf numFmtId="0" fontId="142" fillId="0" borderId="0" xfId="10657" applyAlignment="1">
      <alignment wrapText="1"/>
    </xf>
    <xf numFmtId="0" fontId="142" fillId="92" borderId="0" xfId="10657" applyFill="1" applyAlignment="1">
      <alignment horizontal="right"/>
    </xf>
    <xf numFmtId="0" fontId="145" fillId="0" borderId="0" xfId="10657" applyFont="1"/>
    <xf numFmtId="0" fontId="106" fillId="2" borderId="0" xfId="3738" applyFont="1" applyFill="1"/>
    <xf numFmtId="0" fontId="146" fillId="2" borderId="0" xfId="3738" applyFont="1" applyFill="1" applyAlignment="1">
      <alignment horizontal="center"/>
    </xf>
    <xf numFmtId="0" fontId="106" fillId="2" borderId="96" xfId="3738" applyFont="1" applyFill="1" applyBorder="1"/>
    <xf numFmtId="3" fontId="106" fillId="2" borderId="96" xfId="3738" applyNumberFormat="1" applyFont="1" applyFill="1" applyBorder="1" applyAlignment="1">
      <alignment horizontal="right"/>
    </xf>
    <xf numFmtId="0" fontId="146" fillId="2" borderId="96" xfId="3738" applyFont="1" applyFill="1" applyBorder="1" applyAlignment="1">
      <alignment horizontal="center"/>
    </xf>
    <xf numFmtId="3" fontId="106" fillId="2" borderId="0" xfId="3738" applyNumberFormat="1" applyFont="1" applyFill="1" applyAlignment="1">
      <alignment horizontal="right"/>
    </xf>
    <xf numFmtId="187" fontId="147" fillId="93" borderId="134" xfId="3738" applyNumberFormat="1" applyFont="1" applyFill="1" applyBorder="1" applyAlignment="1">
      <alignment horizontal="right"/>
    </xf>
    <xf numFmtId="187" fontId="147" fillId="93" borderId="135" xfId="3738" applyNumberFormat="1" applyFont="1" applyFill="1" applyBorder="1" applyAlignment="1">
      <alignment horizontal="right"/>
    </xf>
    <xf numFmtId="187" fontId="147" fillId="2" borderId="136" xfId="3738" applyNumberFormat="1" applyFont="1" applyFill="1" applyBorder="1" applyAlignment="1">
      <alignment horizontal="right"/>
    </xf>
    <xf numFmtId="187" fontId="147" fillId="93" borderId="136" xfId="3738" applyNumberFormat="1" applyFont="1" applyFill="1" applyBorder="1" applyAlignment="1">
      <alignment horizontal="right"/>
    </xf>
    <xf numFmtId="0" fontId="146" fillId="2" borderId="136" xfId="3738" applyFont="1" applyFill="1" applyBorder="1" applyAlignment="1">
      <alignment horizontal="center"/>
    </xf>
    <xf numFmtId="0" fontId="147" fillId="2" borderId="136" xfId="3738" applyFont="1" applyFill="1" applyBorder="1" applyAlignment="1">
      <alignment horizontal="left"/>
    </xf>
    <xf numFmtId="187" fontId="106" fillId="93" borderId="137" xfId="3738" applyNumberFormat="1" applyFont="1" applyFill="1" applyBorder="1" applyAlignment="1">
      <alignment horizontal="right"/>
    </xf>
    <xf numFmtId="187" fontId="106" fillId="93" borderId="138" xfId="3738" applyNumberFormat="1" applyFont="1" applyFill="1" applyBorder="1" applyAlignment="1">
      <alignment horizontal="right"/>
    </xf>
    <xf numFmtId="187" fontId="106" fillId="2" borderId="139" xfId="3738" applyNumberFormat="1" applyFont="1" applyFill="1" applyBorder="1" applyAlignment="1">
      <alignment horizontal="right"/>
    </xf>
    <xf numFmtId="187" fontId="106" fillId="93" borderId="139" xfId="3738" applyNumberFormat="1" applyFont="1" applyFill="1" applyBorder="1" applyAlignment="1">
      <alignment horizontal="right"/>
    </xf>
    <xf numFmtId="0" fontId="146" fillId="2" borderId="139" xfId="3738" applyFont="1" applyFill="1" applyBorder="1" applyAlignment="1">
      <alignment horizontal="center"/>
    </xf>
    <xf numFmtId="0" fontId="106" fillId="2" borderId="139" xfId="3738" applyFont="1" applyFill="1" applyBorder="1" applyAlignment="1">
      <alignment horizontal="left"/>
    </xf>
    <xf numFmtId="0" fontId="147" fillId="2" borderId="139" xfId="3738" applyFont="1" applyFill="1" applyBorder="1" applyAlignment="1">
      <alignment horizontal="center"/>
    </xf>
    <xf numFmtId="0" fontId="106" fillId="2" borderId="139" xfId="3738" applyFont="1" applyFill="1" applyBorder="1"/>
    <xf numFmtId="187" fontId="106" fillId="93" borderId="140" xfId="3738" applyNumberFormat="1" applyFont="1" applyFill="1" applyBorder="1" applyAlignment="1">
      <alignment horizontal="right"/>
    </xf>
    <xf numFmtId="187" fontId="106" fillId="93" borderId="141" xfId="3738" applyNumberFormat="1" applyFont="1" applyFill="1" applyBorder="1" applyAlignment="1">
      <alignment horizontal="right"/>
    </xf>
    <xf numFmtId="187" fontId="106" fillId="2" borderId="142" xfId="3738" applyNumberFormat="1" applyFont="1" applyFill="1" applyBorder="1" applyAlignment="1">
      <alignment horizontal="right"/>
    </xf>
    <xf numFmtId="187" fontId="106" fillId="93" borderId="142" xfId="3738" applyNumberFormat="1" applyFont="1" applyFill="1" applyBorder="1" applyAlignment="1">
      <alignment horizontal="right"/>
    </xf>
    <xf numFmtId="0" fontId="146" fillId="2" borderId="142" xfId="3738" applyFont="1" applyFill="1" applyBorder="1" applyAlignment="1">
      <alignment horizontal="center"/>
    </xf>
    <xf numFmtId="0" fontId="106" fillId="2" borderId="142" xfId="3738" applyFont="1" applyFill="1" applyBorder="1" applyAlignment="1">
      <alignment horizontal="left"/>
    </xf>
    <xf numFmtId="0" fontId="147" fillId="2" borderId="142" xfId="3738" applyFont="1" applyFill="1" applyBorder="1" applyAlignment="1">
      <alignment horizontal="center"/>
    </xf>
    <xf numFmtId="0" fontId="106" fillId="2" borderId="142" xfId="3738" applyFont="1" applyFill="1" applyBorder="1"/>
    <xf numFmtId="187" fontId="106" fillId="93" borderId="143" xfId="3738" applyNumberFormat="1" applyFont="1" applyFill="1" applyBorder="1" applyAlignment="1">
      <alignment horizontal="right"/>
    </xf>
    <xf numFmtId="187" fontId="106" fillId="93" borderId="144" xfId="3738" applyNumberFormat="1" applyFont="1" applyFill="1" applyBorder="1" applyAlignment="1">
      <alignment horizontal="right"/>
    </xf>
    <xf numFmtId="187" fontId="106" fillId="2" borderId="145" xfId="3738" applyNumberFormat="1" applyFont="1" applyFill="1" applyBorder="1" applyAlignment="1">
      <alignment horizontal="right"/>
    </xf>
    <xf numFmtId="187" fontId="106" fillId="93" borderId="145" xfId="3738" applyNumberFormat="1" applyFont="1" applyFill="1" applyBorder="1" applyAlignment="1">
      <alignment horizontal="right"/>
    </xf>
    <xf numFmtId="0" fontId="146" fillId="2" borderId="145" xfId="3738" applyFont="1" applyFill="1" applyBorder="1" applyAlignment="1">
      <alignment horizontal="center"/>
    </xf>
    <xf numFmtId="0" fontId="106" fillId="2" borderId="145" xfId="3738" applyFont="1" applyFill="1" applyBorder="1" applyAlignment="1">
      <alignment horizontal="left"/>
    </xf>
    <xf numFmtId="0" fontId="147" fillId="2" borderId="145" xfId="3738" applyFont="1" applyFill="1" applyBorder="1" applyAlignment="1">
      <alignment horizontal="center"/>
    </xf>
    <xf numFmtId="187" fontId="106" fillId="93" borderId="146" xfId="3738" applyNumberFormat="1" applyFont="1" applyFill="1" applyBorder="1" applyAlignment="1">
      <alignment horizontal="right"/>
    </xf>
    <xf numFmtId="187" fontId="106" fillId="93" borderId="147" xfId="3738" applyNumberFormat="1" applyFont="1" applyFill="1" applyBorder="1" applyAlignment="1">
      <alignment horizontal="right"/>
    </xf>
    <xf numFmtId="187" fontId="106" fillId="2" borderId="148" xfId="3738" applyNumberFormat="1" applyFont="1" applyFill="1" applyBorder="1" applyAlignment="1">
      <alignment horizontal="right"/>
    </xf>
    <xf numFmtId="187" fontId="106" fillId="93" borderId="148" xfId="3738" applyNumberFormat="1" applyFont="1" applyFill="1" applyBorder="1" applyAlignment="1">
      <alignment horizontal="right"/>
    </xf>
    <xf numFmtId="0" fontId="146" fillId="2" borderId="148" xfId="3738" applyFont="1" applyFill="1" applyBorder="1" applyAlignment="1">
      <alignment horizontal="center"/>
    </xf>
    <xf numFmtId="0" fontId="106" fillId="2" borderId="148" xfId="3738" applyFont="1" applyFill="1" applyBorder="1" applyAlignment="1">
      <alignment horizontal="left"/>
    </xf>
    <xf numFmtId="0" fontId="147" fillId="2" borderId="148" xfId="3738" applyFont="1" applyFill="1" applyBorder="1" applyAlignment="1">
      <alignment horizontal="center"/>
    </xf>
    <xf numFmtId="0" fontId="148" fillId="2" borderId="0" xfId="3738" applyFont="1" applyFill="1"/>
    <xf numFmtId="187" fontId="148" fillId="93" borderId="140" xfId="3738" applyNumberFormat="1" applyFont="1" applyFill="1" applyBorder="1" applyAlignment="1">
      <alignment horizontal="right"/>
    </xf>
    <xf numFmtId="187" fontId="148" fillId="93" borderId="141" xfId="3738" applyNumberFormat="1" applyFont="1" applyFill="1" applyBorder="1" applyAlignment="1">
      <alignment horizontal="right"/>
    </xf>
    <xf numFmtId="187" fontId="148" fillId="2" borderId="142" xfId="3738" applyNumberFormat="1" applyFont="1" applyFill="1" applyBorder="1" applyAlignment="1">
      <alignment horizontal="right"/>
    </xf>
    <xf numFmtId="187" fontId="148" fillId="93" borderId="142" xfId="3738" applyNumberFormat="1" applyFont="1" applyFill="1" applyBorder="1" applyAlignment="1">
      <alignment horizontal="right"/>
    </xf>
    <xf numFmtId="0" fontId="149" fillId="2" borderId="142" xfId="3738" applyFont="1" applyFill="1" applyBorder="1" applyAlignment="1">
      <alignment horizontal="center"/>
    </xf>
    <xf numFmtId="0" fontId="148" fillId="2" borderId="142" xfId="3738" applyFont="1" applyFill="1" applyBorder="1" applyAlignment="1">
      <alignment horizontal="left"/>
    </xf>
    <xf numFmtId="0" fontId="150" fillId="2" borderId="142" xfId="3738" applyFont="1" applyFill="1" applyBorder="1" applyAlignment="1">
      <alignment horizontal="center"/>
    </xf>
    <xf numFmtId="187" fontId="147" fillId="93" borderId="34" xfId="3738" applyNumberFormat="1" applyFont="1" applyFill="1" applyBorder="1" applyAlignment="1">
      <alignment horizontal="right"/>
    </xf>
    <xf numFmtId="187" fontId="147" fillId="93" borderId="42" xfId="3738" applyNumberFormat="1" applyFont="1" applyFill="1" applyBorder="1" applyAlignment="1">
      <alignment horizontal="right"/>
    </xf>
    <xf numFmtId="187" fontId="147" fillId="2" borderId="14" xfId="3738" applyNumberFormat="1" applyFont="1" applyFill="1" applyBorder="1" applyAlignment="1">
      <alignment horizontal="right"/>
    </xf>
    <xf numFmtId="187" fontId="147" fillId="93" borderId="14" xfId="3738" applyNumberFormat="1" applyFont="1" applyFill="1" applyBorder="1" applyAlignment="1">
      <alignment horizontal="right"/>
    </xf>
    <xf numFmtId="0" fontId="146" fillId="2" borderId="14" xfId="3738" applyFont="1" applyFill="1" applyBorder="1" applyAlignment="1">
      <alignment horizontal="center"/>
    </xf>
    <xf numFmtId="0" fontId="147" fillId="2" borderId="14" xfId="3738" applyFont="1" applyFill="1" applyBorder="1" applyAlignment="1">
      <alignment horizontal="left"/>
    </xf>
    <xf numFmtId="0" fontId="106" fillId="50" borderId="0" xfId="3738" applyFont="1" applyFill="1"/>
    <xf numFmtId="187" fontId="106" fillId="50" borderId="140" xfId="3738" applyNumberFormat="1" applyFont="1" applyFill="1" applyBorder="1" applyAlignment="1">
      <alignment horizontal="right"/>
    </xf>
    <xf numFmtId="187" fontId="106" fillId="50" borderId="141" xfId="3738" applyNumberFormat="1" applyFont="1" applyFill="1" applyBorder="1" applyAlignment="1">
      <alignment horizontal="right"/>
    </xf>
    <xf numFmtId="187" fontId="106" fillId="50" borderId="142" xfId="3738" applyNumberFormat="1" applyFont="1" applyFill="1" applyBorder="1" applyAlignment="1">
      <alignment horizontal="right"/>
    </xf>
    <xf numFmtId="0" fontId="146" fillId="50" borderId="142" xfId="3738" applyFont="1" applyFill="1" applyBorder="1" applyAlignment="1">
      <alignment horizontal="center"/>
    </xf>
    <xf numFmtId="0" fontId="106" fillId="50" borderId="142" xfId="3738" applyFont="1" applyFill="1" applyBorder="1" applyAlignment="1">
      <alignment horizontal="left"/>
    </xf>
    <xf numFmtId="0" fontId="147" fillId="50" borderId="142" xfId="3738" applyFont="1" applyFill="1" applyBorder="1" applyAlignment="1">
      <alignment horizontal="center"/>
    </xf>
    <xf numFmtId="187" fontId="147" fillId="93" borderId="149" xfId="3738" applyNumberFormat="1" applyFont="1" applyFill="1" applyBorder="1" applyAlignment="1">
      <alignment horizontal="right"/>
    </xf>
    <xf numFmtId="187" fontId="147" fillId="93" borderId="124" xfId="3738" applyNumberFormat="1" applyFont="1" applyFill="1" applyBorder="1" applyAlignment="1">
      <alignment horizontal="right"/>
    </xf>
    <xf numFmtId="187" fontId="147" fillId="2" borderId="130" xfId="3738" applyNumberFormat="1" applyFont="1" applyFill="1" applyBorder="1" applyAlignment="1">
      <alignment horizontal="right"/>
    </xf>
    <xf numFmtId="187" fontId="147" fillId="93" borderId="130" xfId="3738" applyNumberFormat="1" applyFont="1" applyFill="1" applyBorder="1" applyAlignment="1">
      <alignment horizontal="right"/>
    </xf>
    <xf numFmtId="0" fontId="146" fillId="2" borderId="130" xfId="3738" applyFont="1" applyFill="1" applyBorder="1" applyAlignment="1">
      <alignment horizontal="center"/>
    </xf>
    <xf numFmtId="0" fontId="147" fillId="2" borderId="130" xfId="3738" applyFont="1" applyFill="1" applyBorder="1" applyAlignment="1">
      <alignment horizontal="left"/>
    </xf>
    <xf numFmtId="187" fontId="106" fillId="93" borderId="150" xfId="3738" applyNumberFormat="1" applyFont="1" applyFill="1" applyBorder="1" applyAlignment="1">
      <alignment horizontal="right"/>
    </xf>
    <xf numFmtId="187" fontId="106" fillId="93" borderId="151" xfId="3738" applyNumberFormat="1" applyFont="1" applyFill="1" applyBorder="1" applyAlignment="1">
      <alignment horizontal="right"/>
    </xf>
    <xf numFmtId="187" fontId="106" fillId="2" borderId="152" xfId="3738" applyNumberFormat="1" applyFont="1" applyFill="1" applyBorder="1" applyAlignment="1">
      <alignment horizontal="right"/>
    </xf>
    <xf numFmtId="187" fontId="106" fillId="93" borderId="152" xfId="3738" applyNumberFormat="1" applyFont="1" applyFill="1" applyBorder="1" applyAlignment="1">
      <alignment horizontal="right"/>
    </xf>
    <xf numFmtId="0" fontId="146" fillId="2" borderId="152" xfId="3738" applyFont="1" applyFill="1" applyBorder="1" applyAlignment="1">
      <alignment horizontal="center"/>
    </xf>
    <xf numFmtId="0" fontId="106" fillId="2" borderId="152" xfId="3738" applyFont="1" applyFill="1" applyBorder="1" applyAlignment="1">
      <alignment horizontal="left"/>
    </xf>
    <xf numFmtId="0" fontId="147" fillId="2" borderId="152" xfId="3738" applyFont="1" applyFill="1" applyBorder="1" applyAlignment="1">
      <alignment horizontal="center"/>
    </xf>
    <xf numFmtId="0" fontId="106" fillId="93" borderId="153" xfId="3738" applyFont="1" applyFill="1" applyBorder="1" applyAlignment="1">
      <alignment horizontal="center"/>
    </xf>
    <xf numFmtId="0" fontId="106" fillId="93" borderId="154" xfId="3738" applyFont="1" applyFill="1" applyBorder="1" applyAlignment="1">
      <alignment horizontal="center"/>
    </xf>
    <xf numFmtId="0" fontId="106" fillId="2" borderId="129" xfId="3738" applyFont="1" applyFill="1" applyBorder="1" applyAlignment="1">
      <alignment horizontal="center"/>
    </xf>
    <xf numFmtId="3" fontId="106" fillId="2" borderId="129" xfId="3738" applyNumberFormat="1" applyFont="1" applyFill="1" applyBorder="1" applyAlignment="1">
      <alignment horizontal="center"/>
    </xf>
    <xf numFmtId="3" fontId="106" fillId="93" borderId="153" xfId="3738" applyNumberFormat="1" applyFont="1" applyFill="1" applyBorder="1" applyAlignment="1">
      <alignment horizontal="center"/>
    </xf>
    <xf numFmtId="0" fontId="106" fillId="93" borderId="129" xfId="3738" applyFont="1" applyFill="1" applyBorder="1" applyAlignment="1">
      <alignment horizontal="center"/>
    </xf>
    <xf numFmtId="0" fontId="146" fillId="2" borderId="129" xfId="3738" applyFont="1" applyFill="1" applyBorder="1" applyAlignment="1">
      <alignment horizontal="center"/>
    </xf>
    <xf numFmtId="0" fontId="106" fillId="2" borderId="129" xfId="3738" applyFont="1" applyFill="1" applyBorder="1"/>
    <xf numFmtId="0" fontId="147" fillId="93" borderId="149" xfId="3738" applyFont="1" applyFill="1" applyBorder="1" applyAlignment="1">
      <alignment horizontal="center" vertical="center" wrapText="1"/>
    </xf>
    <xf numFmtId="0" fontId="147" fillId="93" borderId="124" xfId="3738" applyFont="1" applyFill="1" applyBorder="1" applyAlignment="1">
      <alignment horizontal="center" vertical="center" wrapText="1"/>
    </xf>
    <xf numFmtId="0" fontId="147" fillId="2" borderId="130" xfId="3738" applyFont="1" applyFill="1" applyBorder="1" applyAlignment="1">
      <alignment horizontal="center" vertical="center" wrapText="1"/>
    </xf>
    <xf numFmtId="0" fontId="147" fillId="2" borderId="130" xfId="3738" applyFont="1" applyFill="1" applyBorder="1" applyAlignment="1">
      <alignment horizontal="center" vertical="center"/>
    </xf>
    <xf numFmtId="0" fontId="147" fillId="93" borderId="149" xfId="3738" applyFont="1" applyFill="1" applyBorder="1" applyAlignment="1">
      <alignment horizontal="center" vertical="center"/>
    </xf>
    <xf numFmtId="0" fontId="147" fillId="93" borderId="130" xfId="3738" applyFont="1" applyFill="1" applyBorder="1" applyAlignment="1">
      <alignment horizontal="center" vertical="center" wrapText="1"/>
    </xf>
    <xf numFmtId="0" fontId="151" fillId="2" borderId="130" xfId="3738" quotePrefix="1" applyFont="1" applyFill="1" applyBorder="1" applyAlignment="1">
      <alignment horizontal="center" vertical="center"/>
    </xf>
    <xf numFmtId="0" fontId="151" fillId="2" borderId="130" xfId="3738" applyFont="1" applyFill="1" applyBorder="1" applyAlignment="1">
      <alignment horizontal="center" vertical="center"/>
    </xf>
    <xf numFmtId="0" fontId="151" fillId="2" borderId="130" xfId="3738" applyFont="1" applyFill="1" applyBorder="1" applyAlignment="1">
      <alignment horizontal="centerContinuous" vertical="center"/>
    </xf>
    <xf numFmtId="0" fontId="106" fillId="2" borderId="0" xfId="3738" applyFont="1" applyFill="1" applyAlignment="1">
      <alignment horizontal="center"/>
    </xf>
    <xf numFmtId="0" fontId="106" fillId="2" borderId="14" xfId="3738" applyFont="1" applyFill="1" applyBorder="1" applyAlignment="1">
      <alignment horizontal="center"/>
    </xf>
    <xf numFmtId="0" fontId="106" fillId="2" borderId="34" xfId="3738" applyFont="1" applyFill="1" applyBorder="1" applyAlignment="1">
      <alignment horizontal="center"/>
    </xf>
    <xf numFmtId="0" fontId="147" fillId="2" borderId="14" xfId="3738" applyFont="1" applyFill="1" applyBorder="1" applyAlignment="1">
      <alignment horizontal="center"/>
    </xf>
    <xf numFmtId="0" fontId="106" fillId="2" borderId="14" xfId="3738" applyFont="1" applyFill="1" applyBorder="1"/>
    <xf numFmtId="3" fontId="106" fillId="2" borderId="14" xfId="3738" applyNumberFormat="1" applyFont="1" applyFill="1" applyBorder="1" applyAlignment="1">
      <alignment horizontal="right"/>
    </xf>
    <xf numFmtId="187" fontId="147" fillId="2" borderId="96" xfId="3738" applyNumberFormat="1" applyFont="1" applyFill="1" applyBorder="1" applyAlignment="1">
      <alignment horizontal="right"/>
    </xf>
    <xf numFmtId="187" fontId="147" fillId="93" borderId="96" xfId="3738" applyNumberFormat="1" applyFont="1" applyFill="1" applyBorder="1" applyAlignment="1">
      <alignment horizontal="right"/>
    </xf>
    <xf numFmtId="0" fontId="147" fillId="2" borderId="96" xfId="3738" applyFont="1" applyFill="1" applyBorder="1" applyAlignment="1">
      <alignment horizontal="left"/>
    </xf>
    <xf numFmtId="0" fontId="106" fillId="2" borderId="96" xfId="3738" applyFont="1" applyFill="1" applyBorder="1" applyAlignment="1">
      <alignment horizontal="center"/>
    </xf>
    <xf numFmtId="0" fontId="147" fillId="2" borderId="96" xfId="3738" applyFont="1" applyFill="1" applyBorder="1" applyAlignment="1">
      <alignment horizontal="center"/>
    </xf>
    <xf numFmtId="188" fontId="11" fillId="0" borderId="0" xfId="2611" applyNumberFormat="1"/>
    <xf numFmtId="2" fontId="142" fillId="0" borderId="0" xfId="2611" applyNumberFormat="1" applyFont="1"/>
    <xf numFmtId="0" fontId="144" fillId="0" borderId="0" xfId="2611" applyFont="1" applyAlignment="1">
      <alignment horizontal="left"/>
    </xf>
    <xf numFmtId="0" fontId="45" fillId="94" borderId="0" xfId="0" applyFont="1" applyFill="1"/>
    <xf numFmtId="0" fontId="142" fillId="0" borderId="0" xfId="2611" applyFont="1"/>
    <xf numFmtId="0" fontId="152" fillId="0" borderId="0" xfId="2611" applyFont="1"/>
    <xf numFmtId="0" fontId="144" fillId="0" borderId="0" xfId="2611" applyFont="1"/>
    <xf numFmtId="0" fontId="45" fillId="0" borderId="0" xfId="2611" applyFont="1"/>
    <xf numFmtId="0" fontId="142" fillId="0" borderId="92" xfId="2611" applyFont="1" applyBorder="1"/>
    <xf numFmtId="0" fontId="142" fillId="0" borderId="97" xfId="2611" applyFont="1" applyBorder="1"/>
    <xf numFmtId="169" fontId="11" fillId="0" borderId="97" xfId="2611" applyNumberFormat="1" applyBorder="1"/>
    <xf numFmtId="0" fontId="11" fillId="0" borderId="97" xfId="2611" applyBorder="1"/>
    <xf numFmtId="0" fontId="11" fillId="0" borderId="91" xfId="2611" applyBorder="1"/>
    <xf numFmtId="0" fontId="142" fillId="0" borderId="21" xfId="2611" applyFont="1" applyBorder="1"/>
    <xf numFmtId="0" fontId="2" fillId="0" borderId="0" xfId="10687" applyAlignment="1">
      <alignment horizontal="left"/>
    </xf>
    <xf numFmtId="0" fontId="2" fillId="0" borderId="17" xfId="10687" applyBorder="1" applyAlignment="1">
      <alignment horizontal="left"/>
    </xf>
    <xf numFmtId="0" fontId="11" fillId="0" borderId="67" xfId="2611" applyBorder="1"/>
    <xf numFmtId="0" fontId="11" fillId="0" borderId="66" xfId="2611" applyBorder="1"/>
    <xf numFmtId="0" fontId="2" fillId="0" borderId="0" xfId="10687"/>
    <xf numFmtId="10" fontId="2" fillId="0" borderId="0" xfId="10653" applyNumberFormat="1" applyFont="1"/>
    <xf numFmtId="2" fontId="2" fillId="0" borderId="0" xfId="10687" applyNumberFormat="1"/>
    <xf numFmtId="0" fontId="82" fillId="0" borderId="0" xfId="10687" applyFont="1"/>
    <xf numFmtId="2" fontId="2" fillId="0" borderId="0" xfId="10687" quotePrefix="1" applyNumberFormat="1"/>
    <xf numFmtId="189" fontId="153" fillId="0" borderId="0" xfId="10656" applyNumberFormat="1" applyFont="1"/>
    <xf numFmtId="0" fontId="2" fillId="0" borderId="0" xfId="10687" applyAlignment="1">
      <alignment horizontal="center"/>
    </xf>
    <xf numFmtId="170" fontId="131" fillId="0" borderId="0" xfId="10687" applyNumberFormat="1" applyFont="1" applyAlignment="1">
      <alignment horizontal="center"/>
    </xf>
    <xf numFmtId="1" fontId="2" fillId="0" borderId="0" xfId="10687" applyNumberFormat="1" applyAlignment="1">
      <alignment horizontal="center"/>
    </xf>
    <xf numFmtId="0" fontId="2" fillId="0" borderId="129" xfId="10687" applyBorder="1"/>
    <xf numFmtId="170" fontId="123" fillId="0" borderId="0" xfId="10687" applyNumberFormat="1" applyFont="1" applyAlignment="1">
      <alignment horizontal="right"/>
    </xf>
    <xf numFmtId="0" fontId="154" fillId="0" borderId="0" xfId="10687" applyFont="1"/>
    <xf numFmtId="1" fontId="131" fillId="0" borderId="0" xfId="10687" applyNumberFormat="1" applyFont="1" applyAlignment="1">
      <alignment horizontal="center"/>
    </xf>
    <xf numFmtId="0" fontId="154" fillId="0" borderId="0" xfId="10687" applyFont="1" applyAlignment="1">
      <alignment horizontal="left"/>
    </xf>
    <xf numFmtId="0" fontId="131" fillId="0" borderId="0" xfId="10687" applyFont="1" applyAlignment="1">
      <alignment horizontal="left"/>
    </xf>
    <xf numFmtId="2" fontId="154" fillId="0" borderId="155" xfId="49" applyNumberFormat="1" applyFont="1" applyBorder="1" applyAlignment="1">
      <alignment horizontal="center"/>
    </xf>
    <xf numFmtId="0" fontId="2" fillId="0" borderId="130" xfId="10687" applyBorder="1"/>
    <xf numFmtId="2" fontId="154" fillId="0" borderId="149" xfId="49" applyNumberFormat="1" applyFont="1" applyBorder="1" applyAlignment="1">
      <alignment horizontal="center"/>
    </xf>
    <xf numFmtId="0" fontId="2" fillId="31" borderId="0" xfId="10687" applyFill="1" applyAlignment="1">
      <alignment horizontal="left" wrapText="1"/>
    </xf>
    <xf numFmtId="0" fontId="29" fillId="31" borderId="0" xfId="10687" applyFont="1" applyFill="1" applyAlignment="1">
      <alignment horizontal="left" wrapText="1"/>
    </xf>
    <xf numFmtId="174" fontId="155" fillId="0" borderId="0" xfId="49" applyNumberFormat="1" applyFont="1"/>
    <xf numFmtId="0" fontId="23" fillId="0" borderId="0" xfId="10687" applyFont="1" applyAlignment="1">
      <alignment horizontal="left"/>
    </xf>
    <xf numFmtId="0" fontId="2" fillId="0" borderId="0" xfId="10687" applyAlignment="1">
      <alignment horizontal="right"/>
    </xf>
    <xf numFmtId="165" fontId="2" fillId="0" borderId="0" xfId="10687" applyNumberFormat="1" applyAlignment="1">
      <alignment horizontal="left"/>
    </xf>
    <xf numFmtId="169" fontId="2" fillId="0" borderId="0" xfId="10687" applyNumberFormat="1" applyAlignment="1">
      <alignment horizontal="left"/>
    </xf>
    <xf numFmtId="0" fontId="2" fillId="95" borderId="0" xfId="10687" applyFill="1" applyAlignment="1">
      <alignment horizontal="left"/>
    </xf>
    <xf numFmtId="2" fontId="2" fillId="0" borderId="0" xfId="10687" applyNumberFormat="1" applyAlignment="1">
      <alignment horizontal="left"/>
    </xf>
    <xf numFmtId="0" fontId="29" fillId="95" borderId="0" xfId="10687" applyFont="1" applyFill="1" applyAlignment="1">
      <alignment horizontal="left"/>
    </xf>
    <xf numFmtId="0" fontId="2" fillId="31" borderId="0" xfId="10687" applyFill="1" applyAlignment="1">
      <alignment horizontal="left"/>
    </xf>
    <xf numFmtId="0" fontId="29" fillId="31" borderId="0" xfId="10687" applyFont="1" applyFill="1" applyAlignment="1">
      <alignment horizontal="left"/>
    </xf>
    <xf numFmtId="190" fontId="11" fillId="0" borderId="0" xfId="10655" applyNumberFormat="1"/>
    <xf numFmtId="1" fontId="2" fillId="0" borderId="0" xfId="10687" applyNumberFormat="1" applyAlignment="1">
      <alignment horizontal="left"/>
    </xf>
    <xf numFmtId="170" fontId="11" fillId="0" borderId="0" xfId="2611" applyNumberFormat="1"/>
    <xf numFmtId="170" fontId="2" fillId="0" borderId="0" xfId="10687" applyNumberFormat="1" applyAlignment="1">
      <alignment horizontal="right"/>
    </xf>
    <xf numFmtId="191" fontId="2" fillId="0" borderId="0" xfId="10687" applyNumberFormat="1"/>
    <xf numFmtId="165" fontId="2" fillId="0" borderId="0" xfId="10687" applyNumberFormat="1"/>
    <xf numFmtId="191" fontId="156" fillId="0" borderId="0" xfId="10687" applyNumberFormat="1" applyFont="1" applyAlignment="1">
      <alignment horizontal="left"/>
    </xf>
    <xf numFmtId="191" fontId="14" fillId="0" borderId="0" xfId="10653" applyNumberFormat="1"/>
    <xf numFmtId="191" fontId="156" fillId="0" borderId="0" xfId="10653" applyNumberFormat="1" applyFont="1" applyAlignment="1">
      <alignment horizontal="left"/>
    </xf>
    <xf numFmtId="191" fontId="157" fillId="0" borderId="0" xfId="10653" applyNumberFormat="1" applyFont="1" applyAlignment="1">
      <alignment horizontal="left"/>
    </xf>
    <xf numFmtId="9" fontId="156" fillId="0" borderId="0" xfId="10653" applyFont="1" applyAlignment="1">
      <alignment horizontal="left"/>
    </xf>
    <xf numFmtId="0" fontId="156" fillId="0" borderId="0" xfId="10687" applyFont="1" applyAlignment="1">
      <alignment horizontal="left"/>
    </xf>
    <xf numFmtId="170" fontId="2" fillId="0" borderId="0" xfId="10687" applyNumberFormat="1" applyAlignment="1">
      <alignment horizontal="left"/>
    </xf>
    <xf numFmtId="0" fontId="157" fillId="0" borderId="0" xfId="10688" quotePrefix="1" applyFont="1"/>
    <xf numFmtId="0" fontId="158" fillId="0" borderId="0" xfId="10687" quotePrefix="1" applyFont="1" applyAlignment="1">
      <alignment horizontal="left"/>
    </xf>
    <xf numFmtId="0" fontId="158" fillId="0" borderId="0" xfId="10688" quotePrefix="1" applyFont="1"/>
    <xf numFmtId="0" fontId="31" fillId="0" borderId="0" xfId="10687" quotePrefix="1" applyFont="1"/>
    <xf numFmtId="191" fontId="159" fillId="0" borderId="0" xfId="10687" applyNumberFormat="1" applyFont="1" applyAlignment="1">
      <alignment horizontal="left"/>
    </xf>
    <xf numFmtId="191" fontId="31" fillId="0" borderId="0" xfId="10653" applyNumberFormat="1" applyFont="1" applyAlignment="1">
      <alignment horizontal="left"/>
    </xf>
    <xf numFmtId="191" fontId="160" fillId="0" borderId="0" xfId="10653" applyNumberFormat="1" applyFont="1" applyAlignment="1">
      <alignment horizontal="left"/>
    </xf>
    <xf numFmtId="191" fontId="14" fillId="0" borderId="0" xfId="10653" applyNumberFormat="1" applyAlignment="1">
      <alignment horizontal="left"/>
    </xf>
    <xf numFmtId="191" fontId="161" fillId="0" borderId="0" xfId="10653" applyNumberFormat="1" applyFont="1" applyAlignment="1">
      <alignment horizontal="left"/>
    </xf>
    <xf numFmtId="9" fontId="158" fillId="0" borderId="0" xfId="10653" applyFont="1" applyAlignment="1">
      <alignment horizontal="left"/>
    </xf>
    <xf numFmtId="0" fontId="38" fillId="0" borderId="0" xfId="10687" applyFont="1" applyAlignment="1">
      <alignment horizontal="left"/>
    </xf>
    <xf numFmtId="0" fontId="158" fillId="0" borderId="0" xfId="10687" applyFont="1" applyAlignment="1">
      <alignment horizontal="left"/>
    </xf>
    <xf numFmtId="0" fontId="162" fillId="0" borderId="0" xfId="10688" quotePrefix="1" applyFont="1"/>
    <xf numFmtId="0" fontId="76" fillId="0" borderId="0" xfId="10687" applyFont="1" applyAlignment="1">
      <alignment horizontal="left"/>
    </xf>
    <xf numFmtId="9" fontId="14" fillId="0" borderId="0" xfId="10653"/>
    <xf numFmtId="191" fontId="163" fillId="0" borderId="0" xfId="10653" applyNumberFormat="1" applyFont="1" applyAlignment="1">
      <alignment horizontal="left"/>
    </xf>
    <xf numFmtId="165" fontId="14" fillId="0" borderId="0" xfId="49" applyAlignment="1">
      <alignment horizontal="left"/>
    </xf>
    <xf numFmtId="165" fontId="164" fillId="0" borderId="0" xfId="49" applyFont="1"/>
    <xf numFmtId="0" fontId="165" fillId="0" borderId="0" xfId="10687" applyFont="1" applyAlignment="1">
      <alignment horizontal="right"/>
    </xf>
    <xf numFmtId="165" fontId="14" fillId="0" borderId="0" xfId="49"/>
    <xf numFmtId="165" fontId="159" fillId="0" borderId="0" xfId="49" applyFont="1"/>
    <xf numFmtId="165" fontId="160" fillId="0" borderId="0" xfId="49" applyFont="1"/>
    <xf numFmtId="165" fontId="21" fillId="0" borderId="0" xfId="49" applyFont="1"/>
    <xf numFmtId="165" fontId="23" fillId="0" borderId="0" xfId="49" applyFont="1"/>
    <xf numFmtId="165" fontId="161" fillId="0" borderId="0" xfId="49" applyFont="1"/>
    <xf numFmtId="165" fontId="23" fillId="0" borderId="0" xfId="49" applyFont="1" applyAlignment="1">
      <alignment horizontal="left"/>
    </xf>
    <xf numFmtId="165" fontId="160" fillId="0" borderId="0" xfId="49" applyFont="1" applyAlignment="1">
      <alignment horizontal="left"/>
    </xf>
    <xf numFmtId="174" fontId="166" fillId="0" borderId="0" xfId="49" applyNumberFormat="1" applyFont="1"/>
    <xf numFmtId="165" fontId="167" fillId="0" borderId="0" xfId="2618" applyNumberFormat="1" applyFont="1" applyAlignment="1">
      <alignment horizontal="right"/>
    </xf>
    <xf numFmtId="165" fontId="168" fillId="0" borderId="0" xfId="49" applyFont="1" applyAlignment="1">
      <alignment horizontal="left"/>
    </xf>
    <xf numFmtId="0" fontId="140" fillId="0" borderId="0" xfId="10652"/>
    <xf numFmtId="165" fontId="169" fillId="0" borderId="16" xfId="2618" applyNumberFormat="1" applyFont="1" applyBorder="1" applyAlignment="1">
      <alignment horizontal="left"/>
    </xf>
    <xf numFmtId="165" fontId="14" fillId="0" borderId="16" xfId="49" applyBorder="1" applyAlignment="1">
      <alignment horizontal="left"/>
    </xf>
    <xf numFmtId="165" fontId="159" fillId="0" borderId="96" xfId="49" applyFont="1" applyBorder="1"/>
    <xf numFmtId="165" fontId="160" fillId="0" borderId="96" xfId="49" applyFont="1" applyBorder="1"/>
    <xf numFmtId="165" fontId="21" fillId="0" borderId="96" xfId="49" applyFont="1" applyBorder="1"/>
    <xf numFmtId="165" fontId="14" fillId="0" borderId="96" xfId="49" applyBorder="1" applyAlignment="1">
      <alignment horizontal="left"/>
    </xf>
    <xf numFmtId="165" fontId="14" fillId="0" borderId="96" xfId="49" applyBorder="1"/>
    <xf numFmtId="165" fontId="23" fillId="0" borderId="96" xfId="49" applyFont="1" applyBorder="1"/>
    <xf numFmtId="165" fontId="161" fillId="0" borderId="96" xfId="49" applyFont="1" applyBorder="1"/>
    <xf numFmtId="165" fontId="23" fillId="0" borderId="96" xfId="49" applyFont="1" applyBorder="1" applyAlignment="1">
      <alignment horizontal="left"/>
    </xf>
    <xf numFmtId="165" fontId="160" fillId="0" borderId="96" xfId="49" applyFont="1" applyBorder="1" applyAlignment="1">
      <alignment horizontal="left"/>
    </xf>
    <xf numFmtId="165" fontId="169" fillId="0" borderId="34" xfId="2618" applyNumberFormat="1" applyFont="1" applyBorder="1" applyAlignment="1">
      <alignment horizontal="left"/>
    </xf>
    <xf numFmtId="0" fontId="2" fillId="0" borderId="42" xfId="10687" applyBorder="1" applyAlignment="1">
      <alignment horizontal="left"/>
    </xf>
    <xf numFmtId="165" fontId="169" fillId="0" borderId="20" xfId="2618" applyNumberFormat="1" applyFont="1" applyBorder="1" applyAlignment="1">
      <alignment horizontal="left"/>
    </xf>
    <xf numFmtId="165" fontId="14" fillId="0" borderId="20" xfId="49" applyBorder="1" applyAlignment="1">
      <alignment horizontal="left"/>
    </xf>
    <xf numFmtId="165" fontId="169" fillId="0" borderId="19" xfId="2618" applyNumberFormat="1" applyFont="1" applyBorder="1" applyAlignment="1">
      <alignment horizontal="left"/>
    </xf>
    <xf numFmtId="0" fontId="2" fillId="0" borderId="18" xfId="10687" applyBorder="1" applyAlignment="1">
      <alignment horizontal="left"/>
    </xf>
    <xf numFmtId="165" fontId="169" fillId="0" borderId="156" xfId="2618" applyNumberFormat="1" applyFont="1" applyBorder="1" applyAlignment="1">
      <alignment horizontal="left"/>
    </xf>
    <xf numFmtId="165" fontId="14" fillId="0" borderId="156" xfId="49" applyBorder="1" applyAlignment="1">
      <alignment horizontal="left"/>
    </xf>
    <xf numFmtId="165" fontId="159" fillId="0" borderId="129" xfId="49" applyFont="1" applyBorder="1"/>
    <xf numFmtId="165" fontId="160" fillId="0" borderId="129" xfId="49" applyFont="1" applyBorder="1"/>
    <xf numFmtId="165" fontId="21" fillId="0" borderId="129" xfId="49" applyFont="1" applyBorder="1"/>
    <xf numFmtId="165" fontId="14" fillId="0" borderId="129" xfId="49" applyBorder="1" applyAlignment="1">
      <alignment horizontal="left"/>
    </xf>
    <xf numFmtId="165" fontId="14" fillId="0" borderId="129" xfId="49" applyBorder="1"/>
    <xf numFmtId="165" fontId="23" fillId="0" borderId="129" xfId="49" applyFont="1" applyBorder="1"/>
    <xf numFmtId="165" fontId="161" fillId="0" borderId="129" xfId="49" applyFont="1" applyBorder="1"/>
    <xf numFmtId="165" fontId="23" fillId="0" borderId="129" xfId="49" applyFont="1" applyBorder="1" applyAlignment="1">
      <alignment horizontal="left"/>
    </xf>
    <xf numFmtId="165" fontId="160" fillId="0" borderId="129" xfId="49" applyFont="1" applyBorder="1" applyAlignment="1">
      <alignment horizontal="left"/>
    </xf>
    <xf numFmtId="165" fontId="169" fillId="0" borderId="153" xfId="2618" applyNumberFormat="1" applyFont="1" applyBorder="1" applyAlignment="1">
      <alignment horizontal="left"/>
    </xf>
    <xf numFmtId="0" fontId="2" fillId="0" borderId="154" xfId="10687" applyBorder="1" applyAlignment="1">
      <alignment horizontal="left"/>
    </xf>
    <xf numFmtId="165" fontId="2" fillId="25" borderId="155" xfId="49" applyFont="1" applyFill="1" applyBorder="1" applyAlignment="1">
      <alignment horizontal="right"/>
    </xf>
    <xf numFmtId="165" fontId="159" fillId="25" borderId="130" xfId="49" applyFont="1" applyFill="1" applyBorder="1" applyAlignment="1">
      <alignment horizontal="right"/>
    </xf>
    <xf numFmtId="165" fontId="160" fillId="25" borderId="130" xfId="49" applyFont="1" applyFill="1" applyBorder="1" applyAlignment="1">
      <alignment horizontal="right"/>
    </xf>
    <xf numFmtId="165" fontId="21" fillId="25" borderId="130" xfId="49" applyFont="1" applyFill="1" applyBorder="1" applyAlignment="1">
      <alignment horizontal="right"/>
    </xf>
    <xf numFmtId="165" fontId="31" fillId="25" borderId="130" xfId="49" applyFont="1" applyFill="1" applyBorder="1" applyAlignment="1">
      <alignment horizontal="left"/>
    </xf>
    <xf numFmtId="165" fontId="31" fillId="25" borderId="130" xfId="49" applyFont="1" applyFill="1" applyBorder="1" applyAlignment="1">
      <alignment horizontal="right"/>
    </xf>
    <xf numFmtId="165" fontId="2" fillId="25" borderId="130" xfId="49" applyFont="1" applyFill="1" applyBorder="1" applyAlignment="1">
      <alignment horizontal="right"/>
    </xf>
    <xf numFmtId="165" fontId="166" fillId="29" borderId="130" xfId="49" applyFont="1" applyFill="1" applyBorder="1"/>
    <xf numFmtId="165" fontId="167" fillId="29" borderId="130" xfId="49" applyFont="1" applyFill="1" applyBorder="1" applyAlignment="1">
      <alignment horizontal="right"/>
    </xf>
    <xf numFmtId="165" fontId="2" fillId="96" borderId="130" xfId="49" applyFont="1" applyFill="1" applyBorder="1" applyAlignment="1">
      <alignment horizontal="right"/>
    </xf>
    <xf numFmtId="165" fontId="161" fillId="0" borderId="130" xfId="49" applyFont="1" applyBorder="1"/>
    <xf numFmtId="165" fontId="166" fillId="96" borderId="130" xfId="49" applyFont="1" applyFill="1" applyBorder="1"/>
    <xf numFmtId="165" fontId="160" fillId="96" borderId="130" xfId="49" applyFont="1" applyFill="1" applyBorder="1"/>
    <xf numFmtId="165" fontId="164" fillId="96" borderId="130" xfId="49" applyFont="1" applyFill="1" applyBorder="1"/>
    <xf numFmtId="165" fontId="167" fillId="96" borderId="130" xfId="49" applyFont="1" applyFill="1" applyBorder="1" applyAlignment="1">
      <alignment horizontal="right"/>
    </xf>
    <xf numFmtId="165" fontId="158" fillId="96" borderId="149" xfId="49" applyFont="1" applyFill="1" applyBorder="1" applyAlignment="1">
      <alignment horizontal="right"/>
    </xf>
    <xf numFmtId="0" fontId="2" fillId="0" borderId="124" xfId="10687" applyBorder="1" applyAlignment="1">
      <alignment horizontal="left"/>
    </xf>
    <xf numFmtId="165" fontId="14" fillId="0" borderId="0" xfId="49" applyAlignment="1">
      <alignment horizontal="right"/>
    </xf>
    <xf numFmtId="2" fontId="140" fillId="0" borderId="0" xfId="10652" applyNumberFormat="1"/>
    <xf numFmtId="0" fontId="2" fillId="0" borderId="96" xfId="10687" applyBorder="1" applyAlignment="1">
      <alignment horizontal="left"/>
    </xf>
    <xf numFmtId="0" fontId="158" fillId="0" borderId="34" xfId="10687" applyFont="1" applyBorder="1" applyAlignment="1">
      <alignment horizontal="left"/>
    </xf>
    <xf numFmtId="0" fontId="2" fillId="0" borderId="34" xfId="10687" applyBorder="1" applyAlignment="1">
      <alignment horizontal="left"/>
    </xf>
    <xf numFmtId="0" fontId="158" fillId="0" borderId="19" xfId="10687" applyFont="1" applyBorder="1" applyAlignment="1">
      <alignment horizontal="left"/>
    </xf>
    <xf numFmtId="0" fontId="2" fillId="0" borderId="19" xfId="10687" applyBorder="1" applyAlignment="1">
      <alignment horizontal="left"/>
    </xf>
    <xf numFmtId="0" fontId="23" fillId="0" borderId="0" xfId="10687" applyFont="1"/>
    <xf numFmtId="165" fontId="169" fillId="0" borderId="0" xfId="2618" applyNumberFormat="1" applyFont="1" applyAlignment="1">
      <alignment horizontal="left"/>
    </xf>
    <xf numFmtId="0" fontId="2" fillId="88" borderId="0" xfId="10687" applyFill="1" applyAlignment="1">
      <alignment horizontal="left"/>
    </xf>
    <xf numFmtId="174" fontId="55" fillId="33" borderId="0" xfId="49" applyNumberFormat="1" applyFont="1" applyFill="1"/>
    <xf numFmtId="165" fontId="14" fillId="0" borderId="129" xfId="49" applyBorder="1" applyAlignment="1">
      <alignment horizontal="right"/>
    </xf>
    <xf numFmtId="165" fontId="169" fillId="0" borderId="129" xfId="2618" applyNumberFormat="1" applyFont="1" applyBorder="1" applyAlignment="1">
      <alignment horizontal="left"/>
    </xf>
    <xf numFmtId="0" fontId="158" fillId="0" borderId="153" xfId="10687" applyFont="1" applyBorder="1" applyAlignment="1">
      <alignment horizontal="left"/>
    </xf>
    <xf numFmtId="0" fontId="159" fillId="0" borderId="0" xfId="10687" applyFont="1" applyAlignment="1">
      <alignment horizontal="right"/>
    </xf>
    <xf numFmtId="0" fontId="160" fillId="0" borderId="0" xfId="10687" applyFont="1" applyAlignment="1">
      <alignment horizontal="right"/>
    </xf>
    <xf numFmtId="0" fontId="21" fillId="0" borderId="0" xfId="10687" applyFont="1" applyAlignment="1">
      <alignment horizontal="right"/>
    </xf>
    <xf numFmtId="165" fontId="31" fillId="0" borderId="0" xfId="10687" applyNumberFormat="1" applyFont="1" applyAlignment="1">
      <alignment horizontal="left"/>
    </xf>
    <xf numFmtId="165" fontId="31" fillId="0" borderId="0" xfId="10687" applyNumberFormat="1" applyFont="1" applyAlignment="1">
      <alignment horizontal="right"/>
    </xf>
    <xf numFmtId="174" fontId="55" fillId="0" borderId="0" xfId="49" applyNumberFormat="1" applyFont="1"/>
    <xf numFmtId="165" fontId="11" fillId="0" borderId="0" xfId="49" applyFont="1"/>
    <xf numFmtId="165" fontId="169" fillId="0" borderId="0" xfId="2618" applyNumberFormat="1" applyFont="1" applyAlignment="1">
      <alignment horizontal="right"/>
    </xf>
    <xf numFmtId="165" fontId="2" fillId="0" borderId="0" xfId="10687" applyNumberFormat="1" applyAlignment="1">
      <alignment horizontal="right"/>
    </xf>
    <xf numFmtId="165" fontId="155" fillId="0" borderId="0" xfId="2618" applyNumberFormat="1" applyFont="1"/>
    <xf numFmtId="165" fontId="160" fillId="0" borderId="0" xfId="10687" applyNumberFormat="1" applyFont="1"/>
    <xf numFmtId="0" fontId="158" fillId="0" borderId="0" xfId="10687" applyFont="1" applyAlignment="1">
      <alignment horizontal="right"/>
    </xf>
    <xf numFmtId="0" fontId="170" fillId="0" borderId="0" xfId="2618" applyFont="1" applyAlignment="1">
      <alignment horizontal="right"/>
    </xf>
    <xf numFmtId="165" fontId="99" fillId="56" borderId="0" xfId="3332" applyNumberFormat="1" applyAlignment="1">
      <alignment horizontal="left"/>
    </xf>
    <xf numFmtId="2" fontId="38" fillId="0" borderId="0" xfId="2002" applyNumberFormat="1" applyFont="1" applyFill="1" applyAlignment="1">
      <alignment horizontal="right"/>
    </xf>
    <xf numFmtId="0" fontId="11" fillId="0" borderId="0" xfId="2611" applyAlignment="1">
      <alignment horizontal="center" vertical="center"/>
    </xf>
    <xf numFmtId="0" fontId="11" fillId="0" borderId="0" xfId="2611" applyAlignment="1">
      <alignment horizontal="left"/>
    </xf>
    <xf numFmtId="1" fontId="38" fillId="0" borderId="0" xfId="2002" applyNumberFormat="1" applyFont="1" applyFill="1" applyAlignment="1">
      <alignment horizontal="center"/>
    </xf>
    <xf numFmtId="2" fontId="2" fillId="0" borderId="0" xfId="10687" applyNumberFormat="1" applyAlignment="1">
      <alignment horizontal="right"/>
    </xf>
    <xf numFmtId="0" fontId="47" fillId="29" borderId="129" xfId="2611" applyFont="1" applyFill="1" applyBorder="1" applyAlignment="1">
      <alignment horizontal="left" vertical="center" wrapText="1"/>
    </xf>
    <xf numFmtId="0" fontId="34" fillId="29" borderId="129" xfId="2611" applyFont="1" applyFill="1" applyBorder="1" applyAlignment="1">
      <alignment horizontal="left" vertical="center" wrapText="1"/>
    </xf>
    <xf numFmtId="0" fontId="45" fillId="0" borderId="0" xfId="2611" applyFont="1" applyAlignment="1">
      <alignment horizontal="left"/>
    </xf>
    <xf numFmtId="0" fontId="33" fillId="34" borderId="129" xfId="2611" applyFont="1" applyFill="1" applyBorder="1" applyAlignment="1">
      <alignment horizontal="left" vertical="center" wrapText="1"/>
    </xf>
    <xf numFmtId="178" fontId="33" fillId="37" borderId="0" xfId="3371" applyAlignment="1">
      <alignment horizontal="left"/>
    </xf>
    <xf numFmtId="178" fontId="33"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1" fillId="50" borderId="97" xfId="3259" applyFill="1" applyBorder="1"/>
    <xf numFmtId="180" fontId="0" fillId="37" borderId="97" xfId="0" applyNumberFormat="1" applyFill="1" applyBorder="1"/>
    <xf numFmtId="180" fontId="75" fillId="37" borderId="97" xfId="433" applyNumberFormat="1" applyFill="1" applyBorder="1" applyAlignment="1"/>
    <xf numFmtId="178" fontId="0" fillId="37" borderId="97" xfId="0" applyNumberFormat="1" applyFill="1" applyBorder="1"/>
    <xf numFmtId="179" fontId="75" fillId="43" borderId="97" xfId="433" applyNumberFormat="1" applyBorder="1" applyAlignment="1"/>
    <xf numFmtId="173" fontId="67" fillId="39" borderId="97" xfId="25" applyNumberFormat="1" applyBorder="1"/>
    <xf numFmtId="0" fontId="0" fillId="37" borderId="91" xfId="0" applyFill="1" applyBorder="1"/>
    <xf numFmtId="179" fontId="0" fillId="37" borderId="0" xfId="0" applyNumberFormat="1" applyFill="1"/>
    <xf numFmtId="9" fontId="11" fillId="50" borderId="0" xfId="3259" applyFill="1"/>
    <xf numFmtId="180" fontId="0" fillId="37" borderId="0" xfId="0" applyNumberFormat="1" applyFill="1"/>
    <xf numFmtId="180" fontId="75" fillId="37" borderId="0" xfId="433" applyNumberFormat="1" applyFill="1" applyAlignment="1"/>
    <xf numFmtId="178" fontId="0" fillId="37" borderId="0" xfId="0" applyNumberFormat="1" applyFill="1"/>
    <xf numFmtId="179" fontId="75" fillId="43" borderId="0" xfId="433" applyNumberFormat="1" applyAlignment="1"/>
    <xf numFmtId="0" fontId="84" fillId="37" borderId="0" xfId="0" applyFont="1" applyFill="1"/>
    <xf numFmtId="181" fontId="91" fillId="43" borderId="0" xfId="433" applyNumberFormat="1" applyFont="1" applyAlignment="1"/>
    <xf numFmtId="179" fontId="75" fillId="43" borderId="0" xfId="433" applyNumberFormat="1" applyAlignment="1" applyProtection="1">
      <protection locked="0"/>
    </xf>
    <xf numFmtId="173" fontId="33" fillId="37" borderId="0" xfId="433" applyNumberFormat="1" applyFont="1" applyFill="1" applyAlignment="1"/>
    <xf numFmtId="9" fontId="67" fillId="39" borderId="0" xfId="25" applyNumberFormat="1" applyBorder="1"/>
    <xf numFmtId="0" fontId="0" fillId="50" borderId="0" xfId="0" applyFill="1"/>
    <xf numFmtId="173" fontId="0" fillId="50" borderId="0" xfId="0" applyNumberFormat="1" applyFill="1"/>
    <xf numFmtId="0" fontId="11" fillId="51" borderId="66" xfId="0" applyFont="1" applyFill="1" applyBorder="1"/>
    <xf numFmtId="180" fontId="84" fillId="50" borderId="124" xfId="995" applyNumberFormat="1" applyFont="1" applyFill="1" applyBorder="1"/>
    <xf numFmtId="178" fontId="84" fillId="50" borderId="124" xfId="995" applyFont="1" applyFill="1" applyBorder="1"/>
    <xf numFmtId="178" fontId="84" fillId="2" borderId="124" xfId="995" applyFont="1" applyFill="1" applyBorder="1"/>
    <xf numFmtId="180" fontId="67" fillId="39" borderId="124" xfId="25" applyNumberFormat="1" applyBorder="1"/>
    <xf numFmtId="181" fontId="67" fillId="39" borderId="124" xfId="25" applyNumberFormat="1" applyBorder="1"/>
    <xf numFmtId="180" fontId="89" fillId="39" borderId="124" xfId="25" applyNumberFormat="1" applyFont="1" applyBorder="1"/>
    <xf numFmtId="178" fontId="89" fillId="39" borderId="124" xfId="25" applyNumberFormat="1" applyFont="1" applyBorder="1"/>
    <xf numFmtId="178" fontId="84" fillId="2" borderId="124" xfId="995" applyFont="1" applyFill="1" applyBorder="1" applyAlignment="1">
      <alignment horizontal="centerContinuous"/>
    </xf>
    <xf numFmtId="178" fontId="88" fillId="2" borderId="0" xfId="1471" applyFont="1" applyAlignment="1"/>
    <xf numFmtId="181" fontId="84" fillId="37" borderId="124" xfId="995" applyNumberFormat="1" applyFont="1" applyBorder="1"/>
    <xf numFmtId="181" fontId="84" fillId="54" borderId="124" xfId="995" applyNumberFormat="1" applyFont="1" applyFill="1" applyBorder="1"/>
    <xf numFmtId="178" fontId="84" fillId="37" borderId="124" xfId="995" applyFont="1" applyBorder="1"/>
    <xf numFmtId="178" fontId="86" fillId="37" borderId="124" xfId="995" applyFont="1" applyBorder="1"/>
    <xf numFmtId="179" fontId="84" fillId="50" borderId="124" xfId="995" applyNumberFormat="1" applyFont="1" applyFill="1" applyBorder="1"/>
    <xf numFmtId="179" fontId="84" fillId="2" borderId="124" xfId="995" applyNumberFormat="1" applyFont="1" applyFill="1" applyBorder="1"/>
    <xf numFmtId="178" fontId="84" fillId="37" borderId="0" xfId="995" applyFont="1"/>
    <xf numFmtId="179" fontId="93" fillId="37" borderId="124" xfId="2000" applyNumberFormat="1" applyFont="1" applyFill="1" applyBorder="1"/>
    <xf numFmtId="178" fontId="86" fillId="37" borderId="0" xfId="995" applyFont="1"/>
    <xf numFmtId="178" fontId="91" fillId="43" borderId="124" xfId="433" applyFont="1" applyBorder="1" applyAlignment="1">
      <alignment horizontal="left"/>
    </xf>
    <xf numFmtId="178" fontId="91" fillId="43" borderId="124" xfId="433" applyFont="1" applyBorder="1" applyAlignment="1"/>
    <xf numFmtId="178" fontId="83" fillId="37" borderId="124" xfId="2000" applyNumberFormat="1" applyFill="1" applyBorder="1"/>
    <xf numFmtId="181" fontId="84" fillId="37" borderId="124" xfId="28" applyNumberFormat="1" applyFont="1" applyBorder="1"/>
    <xf numFmtId="178" fontId="84" fillId="52" borderId="124" xfId="995" applyFont="1" applyFill="1" applyBorder="1"/>
    <xf numFmtId="178" fontId="90" fillId="52" borderId="124" xfId="995" applyFont="1" applyFill="1" applyBorder="1" applyAlignment="1">
      <alignment horizontal="left"/>
    </xf>
    <xf numFmtId="178" fontId="93" fillId="37" borderId="124" xfId="2000" applyNumberFormat="1" applyFont="1" applyFill="1" applyBorder="1"/>
    <xf numFmtId="180" fontId="84" fillId="37" borderId="0" xfId="995" applyNumberFormat="1" applyFont="1"/>
    <xf numFmtId="178" fontId="90" fillId="37" borderId="124" xfId="995" applyFont="1" applyBorder="1" applyAlignment="1">
      <alignment horizontal="left"/>
    </xf>
    <xf numFmtId="178" fontId="86" fillId="53" borderId="124" xfId="995" applyFont="1" applyFill="1" applyBorder="1"/>
    <xf numFmtId="178" fontId="86" fillId="53" borderId="124" xfId="995" applyFont="1" applyFill="1" applyBorder="1" applyAlignment="1">
      <alignment horizontal="right"/>
    </xf>
    <xf numFmtId="183" fontId="84" fillId="37" borderId="0" xfId="995" applyNumberFormat="1" applyFont="1"/>
    <xf numFmtId="181" fontId="89" fillId="39" borderId="124" xfId="25" applyNumberFormat="1" applyFont="1" applyBorder="1"/>
    <xf numFmtId="0" fontId="84" fillId="37" borderId="124" xfId="28" applyFont="1" applyBorder="1"/>
    <xf numFmtId="0" fontId="91" fillId="43" borderId="124" xfId="433" applyNumberFormat="1" applyFont="1" applyBorder="1" applyAlignment="1">
      <alignment horizontal="left"/>
    </xf>
    <xf numFmtId="181" fontId="84" fillId="37" borderId="124" xfId="28" applyNumberFormat="1" applyFont="1" applyBorder="1" applyProtection="1">
      <protection locked="0"/>
    </xf>
    <xf numFmtId="181" fontId="89" fillId="39" borderId="124" xfId="25" applyNumberFormat="1" applyFont="1" applyBorder="1" applyProtection="1">
      <protection locked="0"/>
    </xf>
    <xf numFmtId="181" fontId="93" fillId="37" borderId="124" xfId="2000" applyNumberFormat="1" applyFont="1" applyFill="1" applyBorder="1" applyProtection="1">
      <protection locked="0"/>
    </xf>
    <xf numFmtId="0" fontId="84" fillId="38" borderId="124" xfId="995" applyNumberFormat="1" applyFont="1" applyFill="1" applyBorder="1"/>
    <xf numFmtId="178" fontId="92" fillId="38" borderId="124" xfId="995" applyFont="1" applyFill="1" applyBorder="1"/>
    <xf numFmtId="181" fontId="89" fillId="45" borderId="124" xfId="25" applyNumberFormat="1" applyFont="1" applyFill="1" applyBorder="1" applyProtection="1">
      <protection locked="0"/>
    </xf>
    <xf numFmtId="0" fontId="84" fillId="38" borderId="124" xfId="995" applyNumberFormat="1" applyFont="1" applyFill="1" applyBorder="1" applyAlignment="1">
      <alignment horizontal="left"/>
    </xf>
    <xf numFmtId="181" fontId="84" fillId="38" borderId="124" xfId="995" applyNumberFormat="1" applyFont="1" applyFill="1" applyBorder="1"/>
    <xf numFmtId="183" fontId="84" fillId="37" borderId="124" xfId="28" applyNumberFormat="1" applyFont="1" applyBorder="1"/>
    <xf numFmtId="178" fontId="84" fillId="37" borderId="42" xfId="995" applyFont="1" applyBorder="1"/>
    <xf numFmtId="178" fontId="84" fillId="37" borderId="18" xfId="995" applyFont="1" applyBorder="1"/>
    <xf numFmtId="181" fontId="91" fillId="43" borderId="156" xfId="433" applyNumberFormat="1" applyFont="1" applyBorder="1" applyAlignment="1"/>
    <xf numFmtId="181" fontId="91" fillId="43" borderId="153" xfId="433" applyNumberFormat="1" applyFont="1" applyBorder="1" applyAlignment="1"/>
    <xf numFmtId="178" fontId="84" fillId="37" borderId="154" xfId="995" applyFont="1" applyBorder="1"/>
    <xf numFmtId="178" fontId="87" fillId="2" borderId="155" xfId="995" applyFont="1" applyFill="1" applyBorder="1" applyAlignment="1">
      <alignment horizontal="right"/>
    </xf>
    <xf numFmtId="178" fontId="87" fillId="2" borderId="149" xfId="995" applyFont="1" applyFill="1" applyBorder="1" applyAlignment="1">
      <alignment horizontal="right"/>
    </xf>
    <xf numFmtId="178" fontId="33" fillId="37" borderId="0" xfId="995"/>
    <xf numFmtId="9" fontId="91" fillId="43" borderId="16" xfId="3259" applyFont="1" applyFill="1" applyBorder="1"/>
    <xf numFmtId="176" fontId="84" fillId="50" borderId="96" xfId="28" applyNumberFormat="1" applyFont="1" applyFill="1" applyBorder="1" applyAlignment="1">
      <alignment horizontal="right"/>
    </xf>
    <xf numFmtId="178" fontId="91" fillId="52" borderId="96" xfId="995" applyFont="1" applyFill="1" applyBorder="1"/>
    <xf numFmtId="181" fontId="91" fillId="43" borderId="96" xfId="433" applyNumberFormat="1" applyFont="1" applyBorder="1" applyAlignment="1"/>
    <xf numFmtId="179" fontId="91" fillId="50" borderId="96" xfId="433" applyNumberFormat="1" applyFont="1" applyFill="1" applyBorder="1" applyAlignment="1"/>
    <xf numFmtId="179" fontId="91" fillId="43" borderId="96" xfId="433" applyNumberFormat="1" applyFont="1" applyBorder="1" applyAlignment="1"/>
    <xf numFmtId="9" fontId="91" fillId="43" borderId="20" xfId="3259" applyFont="1" applyFill="1" applyBorder="1"/>
    <xf numFmtId="178" fontId="91" fillId="52" borderId="0" xfId="995" applyFont="1" applyFill="1"/>
    <xf numFmtId="179" fontId="91" fillId="50" borderId="0" xfId="433" applyNumberFormat="1" applyFont="1" applyFill="1" applyAlignment="1"/>
    <xf numFmtId="179" fontId="91" fillId="43" borderId="0" xfId="433" applyNumberFormat="1" applyFont="1" applyAlignment="1"/>
    <xf numFmtId="9" fontId="91" fillId="50" borderId="20" xfId="3259" applyFont="1" applyFill="1" applyBorder="1"/>
    <xf numFmtId="176" fontId="87" fillId="2" borderId="0" xfId="3259" applyNumberFormat="1" applyFont="1" applyFill="1"/>
    <xf numFmtId="179" fontId="91" fillId="52" borderId="0" xfId="995" applyNumberFormat="1" applyFont="1" applyFill="1"/>
    <xf numFmtId="181" fontId="84" fillId="50" borderId="156" xfId="28" applyNumberFormat="1" applyFont="1" applyFill="1" applyBorder="1"/>
    <xf numFmtId="9" fontId="91" fillId="43" borderId="156" xfId="3259" applyFont="1" applyFill="1" applyBorder="1"/>
    <xf numFmtId="9" fontId="91" fillId="50" borderId="156" xfId="3259" applyFont="1" applyFill="1" applyBorder="1"/>
    <xf numFmtId="178" fontId="84" fillId="52" borderId="154" xfId="28" applyNumberFormat="1" applyFont="1" applyFill="1" applyBorder="1" applyAlignment="1">
      <alignment horizontal="center"/>
    </xf>
    <xf numFmtId="182" fontId="91" fillId="50" borderId="156" xfId="433" applyNumberFormat="1" applyFont="1" applyFill="1" applyBorder="1" applyAlignment="1"/>
    <xf numFmtId="184" fontId="91" fillId="50" borderId="156" xfId="433" applyNumberFormat="1" applyFont="1" applyFill="1" applyBorder="1" applyAlignment="1"/>
    <xf numFmtId="176" fontId="84" fillId="50" borderId="129" xfId="28" applyNumberFormat="1" applyFont="1" applyFill="1" applyBorder="1" applyAlignment="1">
      <alignment horizontal="right"/>
    </xf>
    <xf numFmtId="179" fontId="91" fillId="52" borderId="129" xfId="995" applyNumberFormat="1" applyFont="1" applyFill="1" applyBorder="1"/>
    <xf numFmtId="181" fontId="91" fillId="43" borderId="129" xfId="433" applyNumberFormat="1" applyFont="1" applyBorder="1" applyAlignment="1"/>
    <xf numFmtId="179" fontId="91" fillId="50" borderId="129" xfId="433" applyNumberFormat="1" applyFont="1" applyFill="1" applyBorder="1" applyAlignment="1"/>
    <xf numFmtId="179" fontId="91" fillId="43" borderId="129" xfId="433" applyNumberFormat="1" applyFont="1" applyBorder="1" applyAlignment="1"/>
    <xf numFmtId="179" fontId="91" fillId="43" borderId="153" xfId="433" applyNumberFormat="1" applyFont="1" applyBorder="1" applyAlignment="1"/>
    <xf numFmtId="178" fontId="84" fillId="2" borderId="156" xfId="995" applyFont="1" applyFill="1" applyBorder="1" applyAlignment="1">
      <alignment horizontal="left"/>
    </xf>
    <xf numFmtId="178" fontId="84" fillId="2" borderId="153" xfId="995" applyFont="1" applyFill="1" applyBorder="1"/>
    <xf numFmtId="178" fontId="84" fillId="2" borderId="96" xfId="995" applyFont="1" applyFill="1" applyBorder="1" applyAlignment="1">
      <alignment horizontal="right"/>
    </xf>
    <xf numFmtId="178" fontId="84" fillId="2" borderId="96" xfId="995" applyFont="1" applyFill="1" applyBorder="1"/>
    <xf numFmtId="178" fontId="84" fillId="2" borderId="96" xfId="995" applyFont="1" applyFill="1" applyBorder="1" applyAlignment="1">
      <alignment horizontal="center"/>
    </xf>
    <xf numFmtId="178" fontId="84" fillId="2" borderId="156" xfId="995" applyFont="1" applyFill="1" applyBorder="1" applyAlignment="1">
      <alignment horizontal="center" wrapText="1"/>
    </xf>
    <xf numFmtId="178" fontId="84" fillId="2" borderId="129" xfId="995" applyFont="1" applyFill="1" applyBorder="1" applyAlignment="1">
      <alignment wrapText="1"/>
    </xf>
    <xf numFmtId="178" fontId="84" fillId="2" borderId="129" xfId="995" applyFont="1" applyFill="1" applyBorder="1" applyAlignment="1">
      <alignment horizontal="center" wrapText="1"/>
    </xf>
    <xf numFmtId="178" fontId="84" fillId="2" borderId="129" xfId="995" applyFont="1" applyFill="1" applyBorder="1" applyAlignment="1">
      <alignment horizontal="centerContinuous" wrapText="1"/>
    </xf>
    <xf numFmtId="178" fontId="84" fillId="2" borderId="153" xfId="995" applyFont="1" applyFill="1" applyBorder="1" applyAlignment="1">
      <alignment horizontal="center" wrapText="1"/>
    </xf>
    <xf numFmtId="178" fontId="84" fillId="2" borderId="129" xfId="995" applyFont="1" applyFill="1" applyBorder="1"/>
    <xf numFmtId="0" fontId="11" fillId="0" borderId="0" xfId="0" applyFont="1" applyAlignment="1">
      <alignment horizontal="center" vertical="center"/>
    </xf>
    <xf numFmtId="0" fontId="171" fillId="50" borderId="0" xfId="0" applyFont="1" applyFill="1"/>
    <xf numFmtId="0" fontId="0" fillId="0" borderId="14" xfId="0" applyBorder="1"/>
    <xf numFmtId="0" fontId="11" fillId="0" borderId="14" xfId="0" applyFont="1" applyBorder="1"/>
    <xf numFmtId="171" fontId="11" fillId="0" borderId="14" xfId="0" applyNumberFormat="1" applyFont="1" applyFill="1" applyBorder="1"/>
    <xf numFmtId="171" fontId="12" fillId="0" borderId="14" xfId="0" applyNumberFormat="1" applyFont="1" applyFill="1" applyBorder="1"/>
    <xf numFmtId="171" fontId="0" fillId="0" borderId="14" xfId="0" applyNumberFormat="1" applyBorder="1"/>
    <xf numFmtId="0" fontId="34" fillId="29" borderId="13" xfId="2611" applyFont="1" applyFill="1" applyBorder="1" applyAlignment="1">
      <alignment horizontal="left" vertical="center" wrapText="1"/>
    </xf>
    <xf numFmtId="192" fontId="12" fillId="0" borderId="0" xfId="975" applyNumberFormat="1"/>
    <xf numFmtId="0" fontId="11" fillId="0" borderId="14" xfId="2611" applyBorder="1"/>
    <xf numFmtId="2" fontId="11" fillId="0" borderId="14" xfId="2611" applyNumberFormat="1" applyBorder="1"/>
    <xf numFmtId="0" fontId="126" fillId="0" borderId="0" xfId="2611" applyFont="1"/>
    <xf numFmtId="0" fontId="102" fillId="0" borderId="0" xfId="0" applyFont="1"/>
    <xf numFmtId="0" fontId="33" fillId="31" borderId="12" xfId="2611" applyFont="1" applyFill="1" applyBorder="1" applyAlignment="1">
      <alignment horizontal="left" vertical="center" wrapText="1"/>
    </xf>
    <xf numFmtId="0" fontId="33" fillId="32" borderId="12" xfId="2611" applyFont="1" applyFill="1" applyBorder="1" applyAlignment="1">
      <alignment horizontal="left" vertical="center" wrapText="1"/>
    </xf>
    <xf numFmtId="0" fontId="83" fillId="31" borderId="12" xfId="2611" applyFont="1" applyFill="1" applyBorder="1" applyAlignment="1">
      <alignment horizontal="left" vertical="center" wrapText="1"/>
    </xf>
    <xf numFmtId="0" fontId="83" fillId="32" borderId="12" xfId="2611" applyFont="1" applyFill="1" applyBorder="1" applyAlignment="1">
      <alignment horizontal="left" vertical="center" wrapText="1"/>
    </xf>
    <xf numFmtId="0" fontId="83" fillId="49" borderId="12" xfId="2611" applyFont="1" applyFill="1" applyBorder="1" applyAlignment="1">
      <alignment horizontal="left" vertical="center" wrapText="1"/>
    </xf>
    <xf numFmtId="0" fontId="172" fillId="29" borderId="13" xfId="2611" applyFont="1" applyFill="1" applyBorder="1" applyAlignment="1">
      <alignment horizontal="left" vertical="center" wrapText="1"/>
    </xf>
    <xf numFmtId="2" fontId="126" fillId="50" borderId="0" xfId="2611" applyNumberFormat="1" applyFont="1" applyFill="1" applyAlignment="1">
      <alignment horizontal="center"/>
    </xf>
    <xf numFmtId="170" fontId="126" fillId="97" borderId="0" xfId="2611" applyNumberFormat="1" applyFont="1" applyFill="1" applyAlignment="1">
      <alignment horizontal="center"/>
    </xf>
    <xf numFmtId="0" fontId="126" fillId="0" borderId="0" xfId="2611" applyFont="1" applyAlignment="1">
      <alignment horizontal="center"/>
    </xf>
    <xf numFmtId="2" fontId="126" fillId="0" borderId="0" xfId="2611" applyNumberFormat="1" applyFont="1" applyAlignment="1">
      <alignment horizontal="center"/>
    </xf>
    <xf numFmtId="2" fontId="11" fillId="98" borderId="0" xfId="2611" applyNumberFormat="1" applyFill="1" applyAlignment="1">
      <alignment horizontal="center"/>
    </xf>
    <xf numFmtId="0" fontId="11" fillId="0" borderId="14" xfId="2611" applyBorder="1" applyAlignment="1" applyProtection="1">
      <alignment horizontal="left"/>
      <protection locked="0"/>
    </xf>
    <xf numFmtId="2" fontId="11" fillId="0" borderId="14" xfId="2611" applyNumberFormat="1" applyBorder="1" applyAlignment="1">
      <alignment horizontal="center"/>
    </xf>
    <xf numFmtId="169" fontId="11" fillId="0" borderId="14" xfId="2611" applyNumberFormat="1" applyBorder="1"/>
    <xf numFmtId="2" fontId="126" fillId="0" borderId="14" xfId="2611" applyNumberFormat="1" applyFont="1" applyBorder="1" applyAlignment="1">
      <alignment horizontal="center"/>
    </xf>
    <xf numFmtId="0" fontId="0" fillId="0" borderId="0" xfId="0" quotePrefix="1"/>
    <xf numFmtId="2" fontId="0" fillId="0" borderId="0" xfId="0" applyNumberFormat="1"/>
    <xf numFmtId="0" fontId="136" fillId="0" borderId="0" xfId="0" applyFont="1" applyFill="1" applyBorder="1" applyAlignment="1">
      <alignment horizontal="center"/>
    </xf>
    <xf numFmtId="0" fontId="11" fillId="0" borderId="0" xfId="0" applyFont="1" applyAlignment="1">
      <alignment horizontal="left"/>
    </xf>
    <xf numFmtId="0" fontId="33" fillId="0" borderId="12" xfId="0" applyFont="1" applyBorder="1" applyAlignment="1">
      <alignment horizontal="left" vertical="center" wrapText="1"/>
    </xf>
    <xf numFmtId="0" fontId="11" fillId="44" borderId="0" xfId="0" applyFont="1" applyFill="1" applyAlignment="1">
      <alignment horizontal="center" vertical="center"/>
    </xf>
    <xf numFmtId="174" fontId="11" fillId="0" borderId="0" xfId="0" applyNumberFormat="1" applyFont="1" applyAlignment="1">
      <alignment horizontal="left"/>
    </xf>
    <xf numFmtId="174" fontId="11" fillId="44" borderId="0" xfId="0" applyNumberFormat="1" applyFont="1" applyFill="1" applyAlignment="1">
      <alignment horizontal="left"/>
    </xf>
    <xf numFmtId="164" fontId="11" fillId="0" borderId="0" xfId="0" applyNumberFormat="1" applyFont="1" applyAlignment="1">
      <alignment horizontal="left"/>
    </xf>
    <xf numFmtId="14" fontId="0" fillId="0" borderId="0" xfId="0" applyNumberFormat="1"/>
    <xf numFmtId="0" fontId="0" fillId="0" borderId="131" xfId="0" applyBorder="1"/>
    <xf numFmtId="0" fontId="11" fillId="0" borderId="132" xfId="0" applyFont="1" applyBorder="1"/>
    <xf numFmtId="9" fontId="0" fillId="0" borderId="132" xfId="1473" applyFont="1" applyBorder="1"/>
    <xf numFmtId="0" fontId="0" fillId="0" borderId="132" xfId="0" applyBorder="1"/>
    <xf numFmtId="0" fontId="0" fillId="0" borderId="133" xfId="0" applyBorder="1"/>
    <xf numFmtId="0" fontId="11" fillId="0" borderId="17" xfId="0" applyFont="1" applyBorder="1" applyAlignment="1">
      <alignment horizontal="left"/>
    </xf>
    <xf numFmtId="179" fontId="0" fillId="0" borderId="0" xfId="0" applyNumberFormat="1"/>
    <xf numFmtId="0" fontId="11" fillId="0" borderId="131" xfId="0" applyFont="1" applyBorder="1" applyAlignment="1">
      <alignment horizontal="left"/>
    </xf>
    <xf numFmtId="179" fontId="0" fillId="0" borderId="132" xfId="0" applyNumberFormat="1" applyBorder="1"/>
    <xf numFmtId="0" fontId="0" fillId="2" borderId="0" xfId="0" applyFill="1"/>
    <xf numFmtId="0" fontId="82" fillId="37" borderId="0" xfId="983" applyFont="1" applyFill="1"/>
    <xf numFmtId="174" fontId="1" fillId="37" borderId="0" xfId="430" applyNumberFormat="1" applyFont="1" applyFill="1" applyBorder="1"/>
    <xf numFmtId="0" fontId="1" fillId="37" borderId="58" xfId="983" applyFont="1" applyFill="1" applyBorder="1"/>
    <xf numFmtId="174" fontId="1" fillId="37" borderId="58" xfId="430" applyNumberFormat="1" applyFont="1" applyFill="1" applyBorder="1"/>
    <xf numFmtId="0" fontId="65" fillId="37" borderId="0" xfId="983" applyFill="1"/>
    <xf numFmtId="0" fontId="1" fillId="37" borderId="0" xfId="983" applyFont="1" applyFill="1"/>
    <xf numFmtId="174" fontId="135" fillId="37" borderId="12" xfId="430" applyNumberFormat="1" applyFont="1" applyFill="1" applyBorder="1"/>
    <xf numFmtId="0" fontId="1" fillId="37" borderId="14" xfId="983" applyFont="1" applyFill="1" applyBorder="1"/>
    <xf numFmtId="174" fontId="1" fillId="37" borderId="14" xfId="430" applyNumberFormat="1" applyFont="1" applyFill="1" applyBorder="1"/>
    <xf numFmtId="0" fontId="11" fillId="2" borderId="0" xfId="0" applyFont="1" applyFill="1"/>
    <xf numFmtId="0" fontId="130" fillId="88" borderId="2" xfId="0" applyFont="1" applyFill="1" applyBorder="1" applyAlignment="1">
      <alignment horizontal="center" wrapText="1"/>
    </xf>
    <xf numFmtId="0" fontId="130" fillId="88" borderId="2" xfId="0" applyFont="1" applyFill="1" applyBorder="1" applyAlignment="1">
      <alignment horizontal="center" vertical="top"/>
    </xf>
    <xf numFmtId="0" fontId="130" fillId="88" borderId="2" xfId="0" applyFont="1" applyFill="1" applyBorder="1" applyAlignment="1">
      <alignment horizontal="center" vertical="top" wrapText="1"/>
    </xf>
    <xf numFmtId="0" fontId="131" fillId="0" borderId="2" xfId="0" applyFont="1" applyBorder="1" applyAlignment="1">
      <alignment horizontal="left"/>
    </xf>
    <xf numFmtId="170" fontId="131" fillId="0" borderId="2" xfId="0" applyNumberFormat="1" applyFont="1" applyBorder="1" applyAlignment="1">
      <alignment horizontal="center"/>
    </xf>
    <xf numFmtId="0" fontId="173" fillId="0" borderId="0" xfId="0" applyFont="1"/>
    <xf numFmtId="0" fontId="130" fillId="88" borderId="2" xfId="0" applyFont="1" applyFill="1" applyBorder="1" applyAlignment="1">
      <alignmen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74" fillId="99" borderId="2" xfId="0" applyFont="1" applyFill="1" applyBorder="1" applyAlignment="1">
      <alignment horizontal="center" vertical="top"/>
    </xf>
    <xf numFmtId="2" fontId="131" fillId="0" borderId="2" xfId="0" applyNumberFormat="1" applyFont="1" applyBorder="1" applyAlignment="1">
      <alignment horizontal="center"/>
    </xf>
    <xf numFmtId="170" fontId="175" fillId="0" borderId="38" xfId="0" applyNumberFormat="1" applyFont="1" applyBorder="1" applyAlignment="1">
      <alignment horizontal="center"/>
    </xf>
    <xf numFmtId="170" fontId="175" fillId="0" borderId="2" xfId="0" applyNumberFormat="1" applyFont="1" applyBorder="1" applyAlignment="1">
      <alignment horizontal="center"/>
    </xf>
    <xf numFmtId="170" fontId="175" fillId="0" borderId="23" xfId="0" applyNumberFormat="1" applyFont="1" applyBorder="1" applyAlignment="1">
      <alignment horizontal="center"/>
    </xf>
    <xf numFmtId="0" fontId="11" fillId="50" borderId="0" xfId="0" applyFont="1" applyFill="1"/>
    <xf numFmtId="0" fontId="33" fillId="31" borderId="129" xfId="0" applyFont="1" applyFill="1" applyBorder="1" applyAlignment="1">
      <alignment horizontal="center" vertical="center" wrapText="1"/>
    </xf>
    <xf numFmtId="0" fontId="33" fillId="31" borderId="0" xfId="0" applyFont="1" applyFill="1" applyBorder="1" applyAlignment="1">
      <alignment horizontal="center" vertical="center" wrapText="1"/>
    </xf>
    <xf numFmtId="169" fontId="0" fillId="0" borderId="0" xfId="0" applyNumberFormat="1"/>
    <xf numFmtId="0" fontId="176" fillId="0" borderId="0" xfId="0" applyFont="1" applyAlignment="1">
      <alignment horizontal="left" vertical="top"/>
    </xf>
    <xf numFmtId="170" fontId="176" fillId="0" borderId="0" xfId="0" applyNumberFormat="1" applyFont="1" applyAlignment="1">
      <alignment horizontal="left" vertical="top"/>
    </xf>
    <xf numFmtId="0" fontId="176" fillId="0" borderId="0" xfId="0" applyFont="1" applyAlignment="1">
      <alignment horizontal="left"/>
    </xf>
    <xf numFmtId="170" fontId="177" fillId="0" borderId="0" xfId="0" applyNumberFormat="1" applyFont="1" applyAlignment="1">
      <alignment horizontal="left"/>
    </xf>
    <xf numFmtId="0" fontId="84" fillId="85" borderId="97" xfId="991" applyFont="1" applyFill="1" applyBorder="1" applyAlignment="1">
      <alignment horizontal="right" wrapText="1"/>
    </xf>
    <xf numFmtId="0" fontId="84" fillId="31" borderId="130" xfId="991" applyFont="1" applyFill="1" applyBorder="1" applyAlignment="1">
      <alignment horizontal="right" vertical="center" wrapText="1"/>
    </xf>
    <xf numFmtId="0" fontId="38" fillId="0" borderId="0" xfId="0" applyFont="1"/>
    <xf numFmtId="0" fontId="142" fillId="0" borderId="132" xfId="0" applyFont="1" applyBorder="1" applyAlignment="1">
      <alignment vertical="center"/>
    </xf>
    <xf numFmtId="0" fontId="144" fillId="0" borderId="132" xfId="0" applyFont="1" applyBorder="1" applyAlignment="1">
      <alignment vertical="center" wrapText="1"/>
    </xf>
    <xf numFmtId="0" fontId="142" fillId="0" borderId="0" xfId="0" applyFont="1" applyAlignment="1">
      <alignment horizontal="right" vertical="center"/>
    </xf>
    <xf numFmtId="0" fontId="142" fillId="0" borderId="132" xfId="0" applyFont="1" applyBorder="1" applyAlignment="1">
      <alignment horizontal="right" vertical="center"/>
    </xf>
    <xf numFmtId="0" fontId="144" fillId="0" borderId="132" xfId="0" applyFont="1" applyBorder="1" applyAlignment="1">
      <alignment vertical="center"/>
    </xf>
    <xf numFmtId="0" fontId="38" fillId="0" borderId="0" xfId="0" applyFont="1" applyAlignment="1">
      <alignment vertical="center"/>
    </xf>
    <xf numFmtId="0" fontId="178" fillId="0" borderId="0" xfId="0" applyFont="1" applyAlignment="1">
      <alignment vertical="center"/>
    </xf>
    <xf numFmtId="0" fontId="33" fillId="86" borderId="130" xfId="0" applyNumberFormat="1" applyFont="1" applyFill="1" applyBorder="1" applyAlignment="1" applyProtection="1">
      <alignment horizontal="left" vertical="center" wrapText="1"/>
    </xf>
    <xf numFmtId="0" fontId="47" fillId="87" borderId="94" xfId="0" applyNumberFormat="1" applyFont="1" applyFill="1" applyBorder="1" applyAlignment="1" applyProtection="1">
      <alignment horizontal="left" vertical="center" wrapText="1"/>
    </xf>
    <xf numFmtId="0" fontId="11" fillId="0" borderId="96" xfId="0" applyFont="1" applyBorder="1"/>
    <xf numFmtId="0" fontId="33" fillId="31" borderId="129" xfId="0" applyFont="1" applyFill="1" applyBorder="1" applyAlignment="1">
      <alignment horizontal="right" vertical="center" wrapText="1"/>
    </xf>
    <xf numFmtId="0" fontId="33" fillId="31" borderId="0" xfId="0" applyFont="1" applyFill="1" applyBorder="1" applyAlignment="1">
      <alignment horizontal="right" vertical="center" wrapText="1"/>
    </xf>
    <xf numFmtId="0" fontId="0" fillId="0" borderId="0" xfId="0" applyNumberFormat="1"/>
    <xf numFmtId="0" fontId="11" fillId="0" borderId="0" xfId="0" applyNumberFormat="1" applyFont="1"/>
    <xf numFmtId="188" fontId="0" fillId="0" borderId="0" xfId="0" applyNumberFormat="1"/>
    <xf numFmtId="0" fontId="33" fillId="31" borderId="130" xfId="0" applyFont="1" applyFill="1" applyBorder="1" applyAlignment="1">
      <alignment horizontal="left" vertical="center" wrapText="1"/>
    </xf>
    <xf numFmtId="0" fontId="33" fillId="31" borderId="129" xfId="0" applyFont="1" applyFill="1" applyBorder="1" applyAlignment="1">
      <alignment horizontal="left" vertical="center" wrapText="1"/>
    </xf>
    <xf numFmtId="0" fontId="46" fillId="32" borderId="132" xfId="0" applyFont="1" applyFill="1" applyBorder="1" applyAlignment="1">
      <alignment horizontal="right"/>
    </xf>
    <xf numFmtId="0" fontId="179" fillId="0" borderId="0" xfId="10689" applyFont="1"/>
    <xf numFmtId="173" fontId="179" fillId="0" borderId="0" xfId="10689" applyNumberFormat="1" applyFont="1"/>
    <xf numFmtId="0" fontId="182"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10690" applyFont="1" applyBorder="1" applyAlignment="1">
      <alignment horizontal="center" vertical="center" wrapText="1"/>
    </xf>
    <xf numFmtId="0" fontId="183" fillId="0" borderId="0" xfId="10689" applyFont="1" applyAlignment="1">
      <alignment horizontal="center" vertical="center"/>
    </xf>
    <xf numFmtId="0" fontId="179" fillId="0" borderId="74" xfId="10690" applyFont="1" applyBorder="1" applyAlignment="1">
      <alignment horizontal="left" wrapText="1"/>
    </xf>
    <xf numFmtId="0" fontId="179" fillId="0" borderId="163" xfId="10690" applyFont="1" applyBorder="1" applyAlignment="1">
      <alignment horizontal="left"/>
    </xf>
    <xf numFmtId="0" fontId="179" fillId="0" borderId="163" xfId="10690" applyFont="1" applyBorder="1" applyAlignment="1">
      <alignment wrapText="1"/>
    </xf>
    <xf numFmtId="0" fontId="179" fillId="0" borderId="163" xfId="10690" applyFont="1" applyBorder="1" applyAlignment="1">
      <alignment horizontal="left" indent="1"/>
    </xf>
    <xf numFmtId="0" fontId="179" fillId="0" borderId="163" xfId="10690" applyFont="1" applyBorder="1"/>
    <xf numFmtId="0" fontId="180" fillId="0" borderId="163" xfId="10690" applyFont="1" applyBorder="1" applyAlignment="1">
      <alignment horizontal="left"/>
    </xf>
    <xf numFmtId="0" fontId="180" fillId="0" borderId="163" xfId="10690" applyFont="1" applyBorder="1"/>
    <xf numFmtId="169" fontId="179" fillId="0" borderId="0" xfId="10689" applyNumberFormat="1" applyFont="1"/>
    <xf numFmtId="192" fontId="179" fillId="0" borderId="0" xfId="10689" applyNumberFormat="1" applyFont="1"/>
    <xf numFmtId="0" fontId="179" fillId="0" borderId="163" xfId="10690" applyFont="1" applyBorder="1" applyAlignment="1">
      <alignment horizontal="left" wrapText="1" indent="1"/>
    </xf>
    <xf numFmtId="0" fontId="180" fillId="0" borderId="163" xfId="10690" applyFont="1" applyBorder="1" applyAlignment="1">
      <alignment wrapText="1"/>
    </xf>
    <xf numFmtId="0" fontId="180" fillId="0" borderId="163" xfId="10690" applyFont="1" applyBorder="1" applyAlignment="1">
      <alignment horizontal="left" indent="1"/>
    </xf>
    <xf numFmtId="0" fontId="179" fillId="0" borderId="163" xfId="10690" applyFont="1" applyBorder="1" applyAlignment="1">
      <alignment horizontal="left" wrapText="1" indent="2"/>
    </xf>
    <xf numFmtId="0" fontId="179" fillId="0" borderId="163" xfId="10690" applyFont="1" applyBorder="1" applyAlignment="1">
      <alignment horizontal="left" indent="2"/>
    </xf>
    <xf numFmtId="0" fontId="180" fillId="0" borderId="0" xfId="10689" applyFont="1"/>
    <xf numFmtId="173" fontId="180" fillId="0" borderId="0" xfId="10689" applyNumberFormat="1" applyFont="1"/>
    <xf numFmtId="0" fontId="180" fillId="0" borderId="163" xfId="10690" applyFont="1" applyBorder="1" applyAlignment="1">
      <alignment horizontal="left" wrapText="1" indent="1"/>
    </xf>
    <xf numFmtId="0" fontId="179" fillId="0" borderId="163" xfId="10691" applyFont="1" applyBorder="1" applyAlignment="1">
      <alignment horizontal="left" wrapText="1" indent="2"/>
    </xf>
    <xf numFmtId="0" fontId="180" fillId="0" borderId="165" xfId="10690" applyFont="1" applyBorder="1" applyAlignment="1">
      <alignment wrapText="1"/>
    </xf>
    <xf numFmtId="171" fontId="11" fillId="0" borderId="12" xfId="0" applyNumberFormat="1" applyFont="1" applyFill="1" applyBorder="1"/>
    <xf numFmtId="169" fontId="0" fillId="0" borderId="0" xfId="0" applyNumberFormat="1" applyFill="1" applyBorder="1"/>
    <xf numFmtId="194" fontId="0" fillId="0" borderId="0" xfId="0" applyNumberFormat="1"/>
    <xf numFmtId="195" fontId="0" fillId="0" borderId="0" xfId="0" applyNumberFormat="1"/>
    <xf numFmtId="0" fontId="33" fillId="0" borderId="0" xfId="0" applyNumberFormat="1" applyFont="1" applyFill="1" applyBorder="1" applyAlignment="1" applyProtection="1">
      <alignment horizontal="left" vertical="center" wrapText="1"/>
    </xf>
    <xf numFmtId="0" fontId="47" fillId="0" borderId="0" xfId="0" applyNumberFormat="1" applyFont="1" applyFill="1" applyBorder="1" applyAlignment="1" applyProtection="1">
      <alignment horizontal="left" vertical="center" wrapText="1"/>
    </xf>
    <xf numFmtId="0" fontId="182" fillId="0" borderId="0" xfId="10689" applyFont="1"/>
    <xf numFmtId="173" fontId="180" fillId="0" borderId="166" xfId="2616" applyNumberFormat="1" applyFont="1" applyBorder="1" applyAlignment="1">
      <alignment horizontal="right"/>
    </xf>
    <xf numFmtId="173" fontId="179" fillId="0" borderId="23" xfId="2616" applyNumberFormat="1" applyFont="1" applyBorder="1" applyAlignment="1">
      <alignment horizontal="right"/>
    </xf>
    <xf numFmtId="173" fontId="180" fillId="0" borderId="23" xfId="2616" applyNumberFormat="1" applyFont="1" applyBorder="1" applyAlignment="1">
      <alignment horizontal="right"/>
    </xf>
    <xf numFmtId="0" fontId="180" fillId="0" borderId="165" xfId="2616" applyFont="1" applyBorder="1" applyAlignment="1">
      <alignment wrapText="1"/>
    </xf>
    <xf numFmtId="173" fontId="179" fillId="0" borderId="164" xfId="2616" applyNumberFormat="1" applyFont="1" applyBorder="1" applyAlignment="1">
      <alignment horizontal="right"/>
    </xf>
    <xf numFmtId="173" fontId="179" fillId="0" borderId="2" xfId="2616" applyNumberFormat="1" applyFont="1" applyBorder="1" applyAlignment="1">
      <alignment horizontal="right"/>
    </xf>
    <xf numFmtId="0" fontId="179" fillId="0" borderId="163" xfId="2616" applyFont="1" applyBorder="1" applyAlignment="1">
      <alignment horizontal="left" indent="2"/>
    </xf>
    <xf numFmtId="0" fontId="179" fillId="0" borderId="163" xfId="2616" applyFont="1" applyBorder="1" applyAlignment="1">
      <alignment horizontal="left" wrapText="1" indent="2"/>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wrapText="1" indent="1"/>
    </xf>
    <xf numFmtId="173" fontId="179" fillId="0" borderId="2" xfId="2616" applyNumberFormat="1" applyFont="1" applyBorder="1"/>
    <xf numFmtId="0" fontId="180" fillId="0" borderId="163" xfId="2616" applyFont="1" applyBorder="1" applyAlignment="1">
      <alignment horizontal="left" indent="1"/>
    </xf>
    <xf numFmtId="0" fontId="180" fillId="0" borderId="163" xfId="2616" applyFont="1" applyBorder="1" applyAlignment="1">
      <alignment wrapText="1"/>
    </xf>
    <xf numFmtId="0" fontId="179" fillId="0" borderId="163" xfId="2616" applyFont="1" applyBorder="1" applyAlignment="1">
      <alignment horizontal="left" indent="1"/>
    </xf>
    <xf numFmtId="0" fontId="179" fillId="0" borderId="163" xfId="2616" applyFont="1" applyBorder="1" applyAlignment="1">
      <alignment horizontal="left" wrapText="1" indent="1"/>
    </xf>
    <xf numFmtId="0" fontId="180" fillId="0" borderId="163" xfId="2616" applyFont="1" applyBorder="1"/>
    <xf numFmtId="0" fontId="180" fillId="0" borderId="163" xfId="2616" applyFont="1" applyBorder="1" applyAlignment="1">
      <alignment horizontal="left"/>
    </xf>
    <xf numFmtId="0" fontId="179" fillId="0" borderId="163" xfId="2616" applyFont="1" applyBorder="1"/>
    <xf numFmtId="0" fontId="179" fillId="0" borderId="163" xfId="2616" applyFont="1" applyBorder="1" applyAlignment="1">
      <alignment wrapText="1"/>
    </xf>
    <xf numFmtId="0" fontId="179" fillId="0" borderId="163" xfId="2616" applyFont="1" applyBorder="1" applyAlignment="1">
      <alignment horizontal="left"/>
    </xf>
    <xf numFmtId="173" fontId="179" fillId="0" borderId="162" xfId="2616" applyNumberFormat="1" applyFont="1" applyBorder="1" applyAlignment="1">
      <alignment horizontal="right"/>
    </xf>
    <xf numFmtId="173" fontId="179" fillId="0" borderId="42" xfId="2616" applyNumberFormat="1" applyFont="1" applyBorder="1" applyAlignment="1">
      <alignment horizontal="right"/>
    </xf>
    <xf numFmtId="0" fontId="179" fillId="0" borderId="74" xfId="2616" applyFont="1" applyBorder="1" applyAlignment="1">
      <alignment horizontal="left" wrapText="1"/>
    </xf>
    <xf numFmtId="0" fontId="179" fillId="0" borderId="0" xfId="10689" applyFont="1" applyAlignment="1">
      <alignment horizontal="center" vertical="center"/>
    </xf>
    <xf numFmtId="0" fontId="180" fillId="0" borderId="23" xfId="10691" applyFont="1" applyBorder="1" applyAlignment="1">
      <alignment horizontal="center" vertical="center" wrapText="1"/>
    </xf>
    <xf numFmtId="0" fontId="180" fillId="0" borderId="23" xfId="2616" applyFont="1" applyBorder="1" applyAlignment="1">
      <alignment horizontal="center" vertical="center" wrapText="1"/>
    </xf>
    <xf numFmtId="0" fontId="180" fillId="0" borderId="0" xfId="10689" applyFont="1" applyAlignment="1">
      <alignment horizontal="center" vertical="center"/>
    </xf>
    <xf numFmtId="173" fontId="179" fillId="0" borderId="42" xfId="10689" applyNumberFormat="1" applyFont="1" applyBorder="1" applyAlignment="1">
      <alignment horizontal="right"/>
    </xf>
    <xf numFmtId="173" fontId="179" fillId="0" borderId="162" xfId="10689" applyNumberFormat="1" applyFont="1" applyBorder="1" applyAlignment="1">
      <alignment horizontal="right"/>
    </xf>
    <xf numFmtId="173" fontId="179" fillId="0" borderId="2" xfId="10689" applyNumberFormat="1" applyFont="1" applyBorder="1" applyAlignment="1">
      <alignment horizontal="right"/>
    </xf>
    <xf numFmtId="173" fontId="179" fillId="0" borderId="164"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0" fontId="179" fillId="0" borderId="163" xfId="10691" applyFont="1" applyBorder="1" applyAlignment="1">
      <alignment horizontal="left" indent="2"/>
    </xf>
    <xf numFmtId="173" fontId="180" fillId="0" borderId="23" xfId="10689" applyNumberFormat="1" applyFont="1" applyBorder="1" applyAlignment="1">
      <alignment horizontal="right"/>
    </xf>
    <xf numFmtId="173" fontId="179" fillId="0" borderId="23" xfId="10689" applyNumberFormat="1" applyFont="1" applyBorder="1" applyAlignment="1">
      <alignment horizontal="right"/>
    </xf>
    <xf numFmtId="173" fontId="180" fillId="0" borderId="166" xfId="10689" applyNumberFormat="1" applyFont="1" applyBorder="1" applyAlignment="1">
      <alignment horizontal="right"/>
    </xf>
    <xf numFmtId="0" fontId="179" fillId="0" borderId="132" xfId="2616" applyFont="1" applyBorder="1" applyAlignment="1"/>
    <xf numFmtId="0" fontId="179" fillId="0" borderId="132" xfId="10690" applyFont="1" applyBorder="1" applyAlignment="1"/>
    <xf numFmtId="0" fontId="33" fillId="0" borderId="0" xfId="0" applyFont="1" applyFill="1" applyBorder="1" applyAlignment="1">
      <alignment horizontal="right" vertical="center" wrapText="1"/>
    </xf>
    <xf numFmtId="0" fontId="11" fillId="0" borderId="0" xfId="0" applyFont="1" applyFill="1" applyBorder="1"/>
    <xf numFmtId="0" fontId="33" fillId="0" borderId="0" xfId="2611" applyFont="1" applyFill="1" applyBorder="1" applyAlignment="1">
      <alignment horizontal="left" vertical="center" wrapText="1"/>
    </xf>
    <xf numFmtId="0" fontId="11" fillId="0" borderId="0" xfId="0" quotePrefix="1" applyFont="1" applyFill="1" applyBorder="1"/>
    <xf numFmtId="0" fontId="46" fillId="0" borderId="0" xfId="0" applyFont="1" applyFill="1" applyBorder="1" applyAlignment="1">
      <alignment horizontal="center" vertical="center" wrapText="1"/>
    </xf>
    <xf numFmtId="0" fontId="46" fillId="0" borderId="0" xfId="0" applyFont="1" applyFill="1" applyBorder="1" applyAlignment="1">
      <alignment horizontal="right"/>
    </xf>
    <xf numFmtId="193" fontId="0" fillId="0" borderId="0" xfId="0" applyNumberFormat="1" applyFill="1" applyBorder="1"/>
    <xf numFmtId="169" fontId="126" fillId="0" borderId="0" xfId="0" applyNumberFormat="1" applyFont="1"/>
    <xf numFmtId="1" fontId="126" fillId="50" borderId="0" xfId="2611" applyNumberFormat="1" applyFont="1" applyFill="1" applyAlignment="1">
      <alignment horizontal="center"/>
    </xf>
    <xf numFmtId="170" fontId="0" fillId="100" borderId="0" xfId="0" applyNumberFormat="1" applyFill="1"/>
    <xf numFmtId="170" fontId="126" fillId="100" borderId="0" xfId="0" applyNumberFormat="1" applyFont="1" applyFill="1"/>
    <xf numFmtId="2" fontId="0" fillId="0" borderId="0" xfId="0" applyNumberFormat="1" applyFill="1" applyBorder="1"/>
    <xf numFmtId="0" fontId="185" fillId="101" borderId="0" xfId="10692" applyFont="1" applyFill="1" applyAlignment="1">
      <alignment wrapText="1"/>
    </xf>
    <xf numFmtId="0" fontId="185" fillId="101" borderId="0" xfId="10692" applyFont="1" applyFill="1" applyAlignment="1">
      <alignment horizontal="right"/>
    </xf>
    <xf numFmtId="0" fontId="185" fillId="101" borderId="0" xfId="10692" applyFont="1" applyFill="1" applyAlignment="1">
      <alignment horizontal="right" wrapText="1"/>
    </xf>
    <xf numFmtId="0" fontId="184" fillId="0" borderId="0" xfId="10692"/>
    <xf numFmtId="0" fontId="187" fillId="0" borderId="0" xfId="10692" applyFont="1"/>
    <xf numFmtId="0" fontId="188" fillId="0" borderId="0" xfId="10692" applyFont="1" applyAlignment="1">
      <alignment horizontal="right"/>
    </xf>
    <xf numFmtId="0" fontId="188" fillId="0" borderId="0" xfId="10692" applyFont="1" applyAlignment="1">
      <alignment horizontal="left" indent="1"/>
    </xf>
    <xf numFmtId="173" fontId="188" fillId="0" borderId="0" xfId="10692" applyNumberFormat="1" applyFont="1" applyAlignment="1">
      <alignment horizontal="right"/>
    </xf>
    <xf numFmtId="196" fontId="188" fillId="0" borderId="0" xfId="10692" applyNumberFormat="1" applyFont="1" applyAlignment="1">
      <alignment horizontal="right"/>
    </xf>
    <xf numFmtId="0" fontId="190" fillId="0" borderId="0" xfId="10692" applyFont="1" applyAlignment="1">
      <alignment wrapText="1"/>
    </xf>
    <xf numFmtId="0" fontId="190" fillId="0" borderId="0" xfId="10692" applyFont="1" applyAlignment="1">
      <alignment horizontal="right"/>
    </xf>
    <xf numFmtId="0" fontId="187" fillId="0" borderId="0" xfId="10692" applyFont="1" applyAlignment="1">
      <alignment horizontal="left"/>
    </xf>
    <xf numFmtId="0" fontId="188" fillId="0" borderId="0" xfId="10692" applyFont="1" applyAlignment="1">
      <alignment horizontal="left" indent="6"/>
    </xf>
    <xf numFmtId="0" fontId="188" fillId="0" borderId="0" xfId="10693" applyNumberFormat="1" applyFont="1" applyBorder="1" applyAlignment="1" applyProtection="1">
      <alignment horizontal="left" indent="1"/>
    </xf>
    <xf numFmtId="0" fontId="188" fillId="0" borderId="0" xfId="10693" applyNumberFormat="1" applyFont="1" applyBorder="1" applyAlignment="1" applyProtection="1">
      <alignment horizontal="left" indent="6"/>
    </xf>
    <xf numFmtId="0" fontId="185" fillId="101" borderId="0" xfId="10692" applyFont="1" applyFill="1" applyAlignment="1">
      <alignment horizontal="left"/>
    </xf>
    <xf numFmtId="0" fontId="190" fillId="0" borderId="0" xfId="10692" applyFont="1" applyAlignment="1">
      <alignment horizontal="left"/>
    </xf>
    <xf numFmtId="0" fontId="33" fillId="31" borderId="0" xfId="0" applyFont="1" applyFill="1" applyBorder="1" applyAlignment="1">
      <alignment horizontal="left" vertical="center" wrapText="1"/>
    </xf>
    <xf numFmtId="173" fontId="191" fillId="0" borderId="42" xfId="0" applyNumberFormat="1" applyFont="1" applyBorder="1" applyAlignment="1">
      <alignment horizontal="right"/>
    </xf>
    <xf numFmtId="173" fontId="191" fillId="0" borderId="162" xfId="0" applyNumberFormat="1" applyFont="1" applyBorder="1" applyAlignment="1">
      <alignment horizontal="right"/>
    </xf>
    <xf numFmtId="173" fontId="191" fillId="0" borderId="2" xfId="0" applyNumberFormat="1" applyFont="1" applyBorder="1" applyAlignment="1">
      <alignment horizontal="right"/>
    </xf>
    <xf numFmtId="173" fontId="191" fillId="0" borderId="164"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2" fillId="0" borderId="23" xfId="0" applyNumberFormat="1" applyFont="1" applyBorder="1" applyAlignment="1">
      <alignment horizontal="right"/>
    </xf>
    <xf numFmtId="173" fontId="191" fillId="0" borderId="23" xfId="0" applyNumberFormat="1" applyFont="1" applyBorder="1" applyAlignment="1">
      <alignment horizontal="right"/>
    </xf>
    <xf numFmtId="173" fontId="192" fillId="0" borderId="166" xfId="0" applyNumberFormat="1" applyFont="1" applyBorder="1" applyAlignment="1">
      <alignment horizontal="right"/>
    </xf>
    <xf numFmtId="9" fontId="126" fillId="0" borderId="0" xfId="1473" applyFont="1" applyBorder="1"/>
    <xf numFmtId="1" fontId="0" fillId="0" borderId="0" xfId="0" applyNumberFormat="1"/>
    <xf numFmtId="0" fontId="46" fillId="29" borderId="0" xfId="0" applyFont="1" applyFill="1" applyBorder="1" applyAlignment="1">
      <alignment horizontal="center" vertical="center" wrapText="1"/>
    </xf>
    <xf numFmtId="0" fontId="46" fillId="32" borderId="0" xfId="0" applyFont="1" applyFill="1" applyBorder="1" applyAlignment="1">
      <alignment horizontal="right"/>
    </xf>
    <xf numFmtId="0" fontId="130" fillId="88" borderId="154" xfId="0" applyFont="1" applyFill="1" applyBorder="1" applyAlignment="1">
      <alignment horizontal="left" vertical="top" wrapText="1"/>
    </xf>
    <xf numFmtId="0" fontId="130" fillId="88" borderId="42" xfId="0" applyFont="1" applyFill="1" applyBorder="1" applyAlignment="1">
      <alignment horizontal="lef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36" fillId="0" borderId="0" xfId="0" applyFont="1" applyFill="1" applyBorder="1" applyAlignment="1">
      <alignment horizontal="center"/>
    </xf>
    <xf numFmtId="0" fontId="45" fillId="37" borderId="0" xfId="0" applyFont="1" applyFill="1" applyAlignment="1">
      <alignment horizontal="center"/>
    </xf>
    <xf numFmtId="0" fontId="142" fillId="0" borderId="66" xfId="0" applyFont="1" applyBorder="1" applyAlignment="1">
      <alignment vertical="center"/>
    </xf>
    <xf numFmtId="0" fontId="180" fillId="0" borderId="0" xfId="2616" applyFont="1" applyAlignment="1">
      <alignment horizontal="left"/>
    </xf>
    <xf numFmtId="0" fontId="181" fillId="0" borderId="38" xfId="2616"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38" xfId="10691" applyFont="1" applyBorder="1" applyAlignment="1">
      <alignment horizontal="center" vertical="center" wrapText="1"/>
    </xf>
    <xf numFmtId="0" fontId="181" fillId="0" borderId="23" xfId="10691" applyFont="1" applyBorder="1" applyAlignment="1">
      <alignment horizontal="center" vertical="center" wrapText="1"/>
    </xf>
    <xf numFmtId="0" fontId="181" fillId="0" borderId="167" xfId="2616" applyFont="1" applyBorder="1" applyAlignment="1">
      <alignment horizontal="center" vertical="center" wrapText="1"/>
    </xf>
    <xf numFmtId="0" fontId="181" fillId="0" borderId="166" xfId="2616" applyFont="1" applyBorder="1" applyAlignment="1">
      <alignment horizontal="center" vertical="center" wrapText="1"/>
    </xf>
    <xf numFmtId="0" fontId="181" fillId="0" borderId="168" xfId="2616" applyFont="1" applyBorder="1" applyAlignment="1">
      <alignment horizontal="center" vertical="center"/>
    </xf>
    <xf numFmtId="0" fontId="181" fillId="0" borderId="165" xfId="2616"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38" xfId="10691" applyFont="1" applyBorder="1" applyAlignment="1">
      <alignment horizontal="center" vertical="center"/>
    </xf>
    <xf numFmtId="0" fontId="180" fillId="0" borderId="75" xfId="10691" applyFont="1" applyBorder="1" applyAlignment="1">
      <alignment horizontal="center" vertical="center" wrapText="1"/>
    </xf>
    <xf numFmtId="0" fontId="180" fillId="0" borderId="160" xfId="10691" applyFont="1" applyBorder="1" applyAlignment="1">
      <alignment horizontal="center" vertical="center" wrapText="1"/>
    </xf>
    <xf numFmtId="0" fontId="180" fillId="0" borderId="159" xfId="10691" applyFont="1" applyBorder="1" applyAlignment="1">
      <alignment horizontal="center" vertical="center" wrapText="1"/>
    </xf>
    <xf numFmtId="0" fontId="180" fillId="0" borderId="161" xfId="10691" applyFont="1" applyBorder="1" applyAlignment="1">
      <alignment horizontal="center" vertical="center" wrapText="1"/>
    </xf>
    <xf numFmtId="0" fontId="180" fillId="0" borderId="73" xfId="10691" applyFont="1" applyBorder="1" applyAlignment="1">
      <alignment horizontal="center" vertical="center"/>
    </xf>
    <xf numFmtId="0" fontId="180" fillId="0" borderId="56" xfId="10691" applyFont="1" applyBorder="1" applyAlignment="1">
      <alignment horizontal="center" vertical="center"/>
    </xf>
    <xf numFmtId="0" fontId="180" fillId="0" borderId="157" xfId="10691" applyFont="1" applyBorder="1" applyAlignment="1">
      <alignment horizontal="center" vertical="center"/>
    </xf>
    <xf numFmtId="0" fontId="180" fillId="0" borderId="158" xfId="10691" applyFont="1" applyBorder="1" applyAlignment="1">
      <alignment horizontal="center" vertical="center"/>
    </xf>
    <xf numFmtId="0" fontId="180" fillId="0" borderId="37" xfId="10691" applyFont="1" applyBorder="1" applyAlignment="1">
      <alignment horizontal="center" vertical="center"/>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51" fillId="32" borderId="51" xfId="0" applyFont="1" applyFill="1" applyBorder="1" applyAlignment="1" applyProtection="1">
      <alignment horizontal="center" vertical="center"/>
    </xf>
    <xf numFmtId="0" fontId="51" fillId="32" borderId="34" xfId="0" applyFont="1" applyFill="1" applyBorder="1" applyAlignment="1" applyProtection="1">
      <alignment horizontal="center" vertical="center"/>
    </xf>
    <xf numFmtId="0" fontId="51" fillId="32" borderId="67" xfId="0" applyFont="1" applyFill="1" applyBorder="1" applyAlignment="1" applyProtection="1">
      <alignment horizontal="center" vertical="center"/>
    </xf>
    <xf numFmtId="0" fontId="51" fillId="32" borderId="62" xfId="0" applyFont="1" applyFill="1" applyBorder="1" applyAlignment="1" applyProtection="1">
      <alignment horizontal="center" vertical="center"/>
    </xf>
    <xf numFmtId="0" fontId="51" fillId="32" borderId="63" xfId="0" applyFont="1" applyFill="1" applyBorder="1" applyAlignment="1" applyProtection="1">
      <alignment horizontal="left" vertical="center"/>
      <protection locked="0"/>
    </xf>
    <xf numFmtId="0" fontId="51" fillId="32" borderId="64" xfId="0" applyFont="1" applyFill="1" applyBorder="1" applyAlignment="1" applyProtection="1">
      <alignment horizontal="left" vertical="center"/>
      <protection locked="0"/>
    </xf>
    <xf numFmtId="0" fontId="51" fillId="32" borderId="65" xfId="0" applyFont="1" applyFill="1" applyBorder="1" applyAlignment="1" applyProtection="1">
      <alignment horizontal="left" vertical="center"/>
      <protection locked="0"/>
    </xf>
    <xf numFmtId="0" fontId="51" fillId="32" borderId="21" xfId="0" applyFont="1" applyFill="1" applyBorder="1" applyAlignment="1" applyProtection="1">
      <alignment horizontal="right" vertical="center"/>
    </xf>
    <xf numFmtId="0" fontId="51" fillId="32" borderId="73" xfId="0" applyFont="1" applyFill="1" applyBorder="1" applyAlignment="1" applyProtection="1">
      <alignment horizontal="center" vertical="center"/>
    </xf>
    <xf numFmtId="0" fontId="51" fillId="32" borderId="74" xfId="0" applyFont="1" applyFill="1" applyBorder="1" applyAlignment="1" applyProtection="1">
      <alignment horizontal="center" vertical="center"/>
    </xf>
    <xf numFmtId="0" fontId="51" fillId="32" borderId="75" xfId="0" applyFont="1" applyFill="1" applyBorder="1" applyAlignment="1" applyProtection="1">
      <alignment horizontal="center" vertical="center"/>
    </xf>
    <xf numFmtId="0" fontId="51" fillId="32" borderId="42" xfId="0" applyFont="1" applyFill="1" applyBorder="1" applyAlignment="1" applyProtection="1">
      <alignment horizontal="center" vertical="center"/>
    </xf>
    <xf numFmtId="0" fontId="51" fillId="32" borderId="76" xfId="0" applyFont="1" applyFill="1" applyBorder="1" applyAlignment="1" applyProtection="1">
      <alignment horizontal="center" vertical="center"/>
    </xf>
    <xf numFmtId="0" fontId="51" fillId="32" borderId="66" xfId="0" applyFont="1" applyFill="1" applyBorder="1" applyAlignment="1" applyProtection="1">
      <alignment horizontal="center" vertical="center"/>
    </xf>
    <xf numFmtId="0" fontId="51" fillId="0" borderId="0" xfId="975" applyFont="1" applyFill="1" applyBorder="1" applyAlignment="1" applyProtection="1">
      <alignment horizontal="center" vertical="center"/>
    </xf>
    <xf numFmtId="0" fontId="51" fillId="0" borderId="0" xfId="975" applyFont="1" applyFill="1" applyBorder="1" applyAlignment="1" applyProtection="1">
      <alignment horizontal="right" vertical="center"/>
    </xf>
    <xf numFmtId="0" fontId="2" fillId="0" borderId="0" xfId="10687" applyAlignment="1">
      <alignment horizontal="center"/>
    </xf>
  </cellXfs>
  <cellStyles count="10694">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xfId="3339" builtinId="30" customBuiltin="1"/>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xfId="3343" builtinId="34" customBuiltin="1"/>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xfId="3347" builtinId="38" customBuiltin="1"/>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xfId="3351" builtinId="42" customBuiltin="1"/>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xfId="3355" builtinId="46" customBuiltin="1"/>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xfId="3359" builtinId="50" customBuiltin="1"/>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xfId="3340" builtinId="31" customBuiltin="1"/>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xfId="3344" builtinId="35" customBuiltin="1"/>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xfId="3348" builtinId="39" customBuiltin="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xfId="3352" builtinId="43" customBuiltin="1"/>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xfId="3356" builtinId="47" customBuiltin="1"/>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xfId="3360" builtinId="51" customBuiltin="1"/>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Accent1" xfId="3341" builtinId="32" customBuiltin="1"/>
    <cellStyle name="60% - Accent1 2" xfId="3402" xr:uid="{00000000-0005-0000-0000-0000A7010000}"/>
    <cellStyle name="60% - Accent2" xfId="3345" builtinId="36" customBuiltin="1"/>
    <cellStyle name="60% - Accent2 2" xfId="3403" xr:uid="{00000000-0005-0000-0000-0000A9010000}"/>
    <cellStyle name="60% - Accent3" xfId="3349" builtinId="40" customBuiltin="1"/>
    <cellStyle name="60% - Accent3 2" xfId="3404" xr:uid="{00000000-0005-0000-0000-0000AB010000}"/>
    <cellStyle name="60% - Accent4" xfId="3353" builtinId="44" customBuiltin="1"/>
    <cellStyle name="60% - Accent4 2" xfId="3405" xr:uid="{00000000-0005-0000-0000-0000AD010000}"/>
    <cellStyle name="60% - Accent5" xfId="3357" builtinId="48" customBuiltin="1"/>
    <cellStyle name="60% - Accent5 2" xfId="3406" xr:uid="{00000000-0005-0000-0000-0000AF010000}"/>
    <cellStyle name="60% - Accent6" xfId="3361" builtinId="52" customBuiltin="1"/>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xfId="3338" builtinId="29" customBuiltin="1"/>
    <cellStyle name="Accent1 2" xfId="3408" xr:uid="{00000000-0005-0000-0000-0000B9010000}"/>
    <cellStyle name="Accent2" xfId="3342" builtinId="33" customBuiltin="1"/>
    <cellStyle name="Accent2 2" xfId="3409" xr:uid="{00000000-0005-0000-0000-0000BB010000}"/>
    <cellStyle name="Accent3" xfId="3346" builtinId="37" customBuiltin="1"/>
    <cellStyle name="Accent3 2" xfId="3410" xr:uid="{00000000-0005-0000-0000-0000BD010000}"/>
    <cellStyle name="Accent4" xfId="3350" builtinId="41" customBuiltin="1"/>
    <cellStyle name="Accent4 2" xfId="3411" xr:uid="{00000000-0005-0000-0000-0000BF010000}"/>
    <cellStyle name="Accent5" xfId="3354" builtinId="45" customBuiltin="1"/>
    <cellStyle name="Accent5 2" xfId="3412" xr:uid="{00000000-0005-0000-0000-0000C1010000}"/>
    <cellStyle name="Accent6" xfId="3358" builtinId="49" customBuiltin="1"/>
    <cellStyle name="Accent6 2" xfId="3413" xr:uid="{00000000-0005-0000-0000-0000C3010000}"/>
    <cellStyle name="AggOrange_CRFReport-template" xfId="22" xr:uid="{00000000-0005-0000-0000-0000C4010000}"/>
    <cellStyle name="AggOrange9_CRFReport-template" xfId="23" xr:uid="{00000000-0005-0000-0000-0000C5010000}"/>
    <cellStyle name="Bad" xfId="3331" builtinId="27" customBuiltin="1"/>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xfId="27" builtinId="22" customBuiltin="1"/>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xfId="3334" builtinId="23" customBuiltin="1"/>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xfId="3336" builtinId="53" customBuiltin="1"/>
    <cellStyle name="Explanatory Text 2" xfId="3437" xr:uid="{00000000-0005-0000-0000-0000F2040000}"/>
    <cellStyle name="Fixed2 - Type2" xfId="416" xr:uid="{00000000-0005-0000-0000-0000F3040000}"/>
    <cellStyle name="Good" xfId="417" builtinId="26" customBuiltin="1"/>
    <cellStyle name="Good 2" xfId="3438" xr:uid="{00000000-0005-0000-0000-0000F5040000}"/>
    <cellStyle name="Heading 1" xfId="418" builtinId="16"/>
    <cellStyle name="Heading 1 2" xfId="3439" xr:uid="{00000000-0005-0000-0000-0000F7040000}"/>
    <cellStyle name="Heading 2" xfId="419" builtinId="17"/>
    <cellStyle name="Heading 2 2" xfId="3440" xr:uid="{00000000-0005-0000-0000-0000F9040000}"/>
    <cellStyle name="Heading 3 2" xfId="3441" xr:uid="{00000000-0005-0000-0000-0000FA040000}"/>
    <cellStyle name="Heading 3 2 2" xfId="8050" xr:uid="{9CD8A62F-CB18-496E-AC6A-CA7DCCCF9DEE}"/>
    <cellStyle name="Heading 4" xfId="420" builtinId="19"/>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xfId="3333" builtinId="24" customBuiltin="1"/>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2" xfId="1468" xr:uid="{00000000-0005-0000-0000-000084190000}"/>
    <cellStyle name="Overskrift 1 2 2" xfId="3525" xr:uid="{00000000-0005-0000-0000-000085190000}"/>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2" xfId="1471" xr:uid="{00000000-0005-0000-0000-00008A190000}"/>
    <cellStyle name="Overskrift 4 2 2" xfId="3528" xr:uid="{00000000-0005-0000-0000-00008B190000}"/>
    <cellStyle name="Percen - Type1" xfId="1472" xr:uid="{00000000-0005-0000-0000-00008C190000}"/>
    <cellStyle name="Percent" xfId="1473" builtinId="5"/>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tandard_Sce_D_Extraction" xfId="1991" xr:uid="{00000000-0005-0000-0000-0000BF1E0000}"/>
    <cellStyle name="Testo avviso" xfId="1992" xr:uid="{00000000-0005-0000-0000-0000C01E0000}"/>
    <cellStyle name="Testo descrittivo" xfId="1993" xr:uid="{00000000-0005-0000-0000-0000C11E0000}"/>
    <cellStyle name="Titel 2" xfId="3453" xr:uid="{00000000-0005-0000-0000-0000C21E0000}"/>
    <cellStyle name="Title" xfId="3330" builtinId="15" customBuiltin="1"/>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xfId="3335" builtinId="11" customBuiltin="1"/>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13.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externalLink" Target="externalLinks/externalLink2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5"/>
  <sheetViews>
    <sheetView topLeftCell="A69" zoomScale="70" zoomScaleNormal="70" workbookViewId="0">
      <selection activeCell="I128" sqref="I128"/>
    </sheetView>
  </sheetViews>
  <sheetFormatPr defaultColWidth="8.5546875" defaultRowHeight="13.2"/>
  <cols>
    <col min="1" max="1" width="8.5546875" style="484"/>
    <col min="2" max="2" width="5.5546875" customWidth="1"/>
    <col min="3" max="3" width="21.5546875" bestFit="1" customWidth="1"/>
    <col min="4" max="4" width="7.5546875" bestFit="1" customWidth="1"/>
    <col min="5" max="5" width="13.44140625" bestFit="1" customWidth="1"/>
    <col min="6" max="6" width="26.554687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3.85"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1671</v>
      </c>
      <c r="F45" s="521" t="s">
        <v>1672</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1665</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73" t="s">
        <v>256</v>
      </c>
      <c r="G70" s="212" t="s">
        <v>154</v>
      </c>
      <c r="H70" s="211"/>
      <c r="I70" s="211"/>
      <c r="J70" s="211"/>
      <c r="K70" s="211"/>
    </row>
    <row r="71" spans="1:14" s="602" customFormat="1">
      <c r="C71" s="481"/>
      <c r="D71" s="481"/>
      <c r="E71" s="398" t="s">
        <v>1788</v>
      </c>
      <c r="F71" s="398" t="s">
        <v>1792</v>
      </c>
      <c r="G71" s="398" t="s">
        <v>1791</v>
      </c>
      <c r="H71" s="481"/>
      <c r="I71" s="481"/>
      <c r="J71" s="481"/>
      <c r="K71" s="481"/>
    </row>
    <row r="72" spans="1:14" s="602" customFormat="1">
      <c r="C72" s="481"/>
      <c r="D72" s="481"/>
      <c r="E72" s="398" t="s">
        <v>1789</v>
      </c>
      <c r="F72" s="398" t="s">
        <v>1790</v>
      </c>
      <c r="G72" s="398" t="s">
        <v>1791</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1696</v>
      </c>
      <c r="J81" s="19"/>
      <c r="K81" s="602" t="s">
        <v>1695</v>
      </c>
    </row>
    <row r="82" spans="1:20">
      <c r="B82" s="3"/>
      <c r="C82" s="20"/>
      <c r="D82" s="19"/>
      <c r="E82" s="23" t="s">
        <v>342</v>
      </c>
      <c r="F82" s="398" t="s">
        <v>860</v>
      </c>
      <c r="G82" s="18" t="s">
        <v>62</v>
      </c>
      <c r="H82" s="19"/>
      <c r="I82" s="481" t="s">
        <v>1696</v>
      </c>
      <c r="J82" s="19"/>
      <c r="K82" s="19"/>
      <c r="M82" s="3"/>
      <c r="N82" s="3"/>
      <c r="O82" s="3"/>
      <c r="P82" s="3"/>
      <c r="Q82" s="3"/>
      <c r="R82" s="3"/>
      <c r="S82" s="3"/>
      <c r="T82" s="3"/>
    </row>
    <row r="83" spans="1:20">
      <c r="B83" s="3"/>
      <c r="C83" s="522"/>
      <c r="D83" s="520"/>
      <c r="E83" s="587" t="s">
        <v>343</v>
      </c>
      <c r="F83" s="521" t="s">
        <v>861</v>
      </c>
      <c r="G83" s="544" t="s">
        <v>62</v>
      </c>
      <c r="H83" s="520"/>
      <c r="I83" s="481" t="s">
        <v>1696</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1685</v>
      </c>
      <c r="G118" s="398" t="s">
        <v>62</v>
      </c>
      <c r="I118" s="481" t="s">
        <v>1696</v>
      </c>
      <c r="K118" t="s">
        <v>1695</v>
      </c>
    </row>
    <row r="119" spans="3:11">
      <c r="E119" s="602" t="str">
        <f>Distribution!E8</f>
        <v>ELCMID</v>
      </c>
      <c r="F119" s="480" t="s">
        <v>1686</v>
      </c>
      <c r="G119" s="398" t="s">
        <v>62</v>
      </c>
      <c r="I119" s="481" t="s">
        <v>1696</v>
      </c>
      <c r="K119" s="602" t="s">
        <v>1695</v>
      </c>
    </row>
    <row r="120" spans="3:11">
      <c r="E120" s="602" t="str">
        <f>Distribution!E9</f>
        <v>ELCLOW</v>
      </c>
      <c r="F120" s="480" t="s">
        <v>1687</v>
      </c>
      <c r="G120" s="398" t="s">
        <v>62</v>
      </c>
      <c r="I120" s="481" t="s">
        <v>1696</v>
      </c>
      <c r="K120" s="602" t="s">
        <v>1695</v>
      </c>
    </row>
    <row r="121" spans="3:11" s="602" customFormat="1">
      <c r="E121" s="602" t="str">
        <f>Distribution!E10</f>
        <v>NGAT</v>
      </c>
      <c r="F121" s="480" t="s">
        <v>1703</v>
      </c>
      <c r="G121" s="398" t="s">
        <v>62</v>
      </c>
    </row>
    <row r="122" spans="3:11">
      <c r="E122" s="602" t="str">
        <f>Distribution!E11</f>
        <v>NGAD</v>
      </c>
      <c r="F122" s="480" t="s">
        <v>1704</v>
      </c>
      <c r="G122" s="398" t="s">
        <v>62</v>
      </c>
    </row>
    <row r="123" spans="3:11">
      <c r="E123" s="602" t="s">
        <v>1673</v>
      </c>
      <c r="F123" s="480" t="s">
        <v>1814</v>
      </c>
      <c r="G123" s="398" t="s">
        <v>62</v>
      </c>
    </row>
    <row r="124" spans="3:11">
      <c r="E124" s="602" t="s">
        <v>1674</v>
      </c>
      <c r="F124" s="480" t="s">
        <v>1815</v>
      </c>
      <c r="G124" s="398" t="s">
        <v>62</v>
      </c>
    </row>
    <row r="125" spans="3:11">
      <c r="E125" s="602" t="s">
        <v>1919</v>
      </c>
      <c r="F125" s="480" t="s">
        <v>1920</v>
      </c>
      <c r="G125" s="398" t="s">
        <v>62</v>
      </c>
    </row>
  </sheetData>
  <phoneticPr fontId="32"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K211"/>
  <sheetViews>
    <sheetView topLeftCell="A139" zoomScaleNormal="100" workbookViewId="0">
      <selection activeCell="G129" sqref="G129"/>
    </sheetView>
  </sheetViews>
  <sheetFormatPr defaultColWidth="8.5546875" defaultRowHeight="13.2"/>
  <cols>
    <col min="1" max="1" width="5.5546875" customWidth="1"/>
    <col min="2" max="2" width="12.44140625" customWidth="1"/>
    <col min="3" max="3" width="10.44140625" customWidth="1"/>
    <col min="4" max="4" width="13.44140625" bestFit="1" customWidth="1"/>
    <col min="5" max="5" width="42.5546875" bestFit="1" customWidth="1"/>
    <col min="7" max="7" width="12" customWidth="1"/>
    <col min="8" max="8" width="12.5546875" customWidth="1"/>
    <col min="9" max="9" width="14"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1"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1824</v>
      </c>
      <c r="E56" s="398" t="s">
        <v>1820</v>
      </c>
      <c r="F56" s="20" t="s">
        <v>62</v>
      </c>
      <c r="G56" s="18"/>
      <c r="H56" s="20" t="s">
        <v>1696</v>
      </c>
      <c r="I56" s="20"/>
      <c r="J56" s="20"/>
      <c r="K56" s="3"/>
    </row>
    <row r="57" spans="1:11" s="7" customFormat="1">
      <c r="A57" s="3"/>
      <c r="B57" s="20"/>
      <c r="C57" s="22"/>
      <c r="D57" s="398" t="s">
        <v>1825</v>
      </c>
      <c r="E57" s="398" t="s">
        <v>1821</v>
      </c>
      <c r="F57" s="20" t="s">
        <v>62</v>
      </c>
      <c r="G57" s="18"/>
      <c r="H57" s="20" t="s">
        <v>1696</v>
      </c>
      <c r="I57" s="20"/>
      <c r="J57" s="20"/>
      <c r="K57" s="3"/>
    </row>
    <row r="58" spans="1:11" s="7" customFormat="1">
      <c r="A58" s="3"/>
      <c r="B58" s="20"/>
      <c r="C58" s="22"/>
      <c r="D58" s="398" t="s">
        <v>1826</v>
      </c>
      <c r="E58" s="398" t="s">
        <v>1822</v>
      </c>
      <c r="F58" s="20" t="s">
        <v>62</v>
      </c>
      <c r="G58" s="18"/>
      <c r="H58" s="20" t="s">
        <v>1696</v>
      </c>
      <c r="I58" s="20"/>
      <c r="J58" s="20"/>
      <c r="K58" s="3"/>
    </row>
    <row r="59" spans="1:11" s="7" customFormat="1">
      <c r="A59" s="3"/>
      <c r="B59" s="522"/>
      <c r="C59" s="551"/>
      <c r="D59" s="521" t="s">
        <v>1827</v>
      </c>
      <c r="E59" s="521" t="s">
        <v>1823</v>
      </c>
      <c r="F59" s="522" t="s">
        <v>62</v>
      </c>
      <c r="G59" s="544"/>
      <c r="H59" s="522" t="s">
        <v>1696</v>
      </c>
      <c r="I59" s="522"/>
      <c r="J59" s="20"/>
      <c r="K59" s="3"/>
    </row>
    <row r="60" spans="1:11" s="7" customFormat="1">
      <c r="A60" s="3"/>
      <c r="B60" s="20" t="s">
        <v>171</v>
      </c>
      <c r="C60" s="22"/>
      <c r="D60" s="18" t="str">
        <f>$B$60&amp;Commodities!E46</f>
        <v>MINWST</v>
      </c>
      <c r="E60" s="18" t="str">
        <f>"Mining technology - "&amp;Commodities!F46</f>
        <v>Mining technology - Waste</v>
      </c>
      <c r="F60" s="20" t="s">
        <v>62</v>
      </c>
      <c r="G60" s="18"/>
      <c r="H60" s="20"/>
      <c r="I60" s="20"/>
      <c r="J60" s="20"/>
      <c r="K60" s="3"/>
    </row>
    <row r="61" spans="1:11" s="7" customFormat="1">
      <c r="A61" s="3"/>
      <c r="B61" s="20"/>
      <c r="C61" s="22"/>
      <c r="D61" s="18" t="str">
        <f>$B$60&amp;Commodities!E47</f>
        <v>MINSTR</v>
      </c>
      <c r="E61" s="18" t="str">
        <f>"Mining technology - "&amp;Commodities!F47</f>
        <v>Mining technology - Straw</v>
      </c>
      <c r="F61" s="20" t="s">
        <v>62</v>
      </c>
      <c r="G61" s="18"/>
      <c r="H61" s="20"/>
      <c r="I61" s="20"/>
      <c r="J61" s="20"/>
      <c r="K61" s="3"/>
    </row>
    <row r="62" spans="1:11" s="7" customFormat="1">
      <c r="A62" s="3"/>
      <c r="B62" s="20"/>
      <c r="C62" s="22"/>
      <c r="D62" s="18" t="str">
        <f>$B$60&amp;Commodities!E48</f>
        <v>MINGRS</v>
      </c>
      <c r="E62" s="18" t="str">
        <f>"Mining technology - "&amp;Commodities!F48</f>
        <v>Mining technology - Grass</v>
      </c>
      <c r="F62" s="20" t="s">
        <v>62</v>
      </c>
      <c r="G62" s="18"/>
      <c r="H62" s="20"/>
      <c r="I62" s="20"/>
      <c r="J62" s="20"/>
      <c r="K62" s="3"/>
    </row>
    <row r="63" spans="1:11" s="7" customFormat="1">
      <c r="A63" s="3"/>
      <c r="B63" s="20"/>
      <c r="C63" s="22"/>
      <c r="D63" s="18" t="str">
        <f>$B$60&amp;Commodities!E49</f>
        <v>MINWPE</v>
      </c>
      <c r="E63" s="18" t="str">
        <f>"Mining technology - "&amp;Commodities!F49</f>
        <v>Mining technology - Wood pellets</v>
      </c>
      <c r="F63" s="20" t="s">
        <v>62</v>
      </c>
      <c r="G63" s="18"/>
      <c r="H63" s="20"/>
      <c r="I63" s="20"/>
      <c r="J63" s="20"/>
      <c r="K63" s="3"/>
    </row>
    <row r="64" spans="1:11" s="7" customFormat="1">
      <c r="A64" s="3"/>
      <c r="B64" s="20"/>
      <c r="C64" s="22"/>
      <c r="D64" s="18" t="str">
        <f>$B$60&amp;Commodities!E50</f>
        <v>MINWCH</v>
      </c>
      <c r="E64" s="18" t="str">
        <f>"Mining technology - "&amp;Commodities!F50</f>
        <v>Mining technology - Wood chips and wood waste</v>
      </c>
      <c r="F64" s="20" t="s">
        <v>62</v>
      </c>
      <c r="G64" s="18"/>
      <c r="H64" s="20"/>
      <c r="I64" s="20"/>
      <c r="J64" s="20"/>
      <c r="K64" s="3"/>
    </row>
    <row r="65" spans="1:11" s="7" customFormat="1">
      <c r="A65" s="3"/>
      <c r="B65" s="20"/>
      <c r="C65" s="22"/>
      <c r="D65" s="18" t="str">
        <f>$B$60&amp;Commodities!E51</f>
        <v>MINFIW</v>
      </c>
      <c r="E65" s="18" t="str">
        <f>"Mining technology - "&amp;Commodities!F51</f>
        <v>Mining technology - Firewood</v>
      </c>
      <c r="F65" s="20" t="s">
        <v>62</v>
      </c>
      <c r="G65" s="18"/>
      <c r="H65" s="20"/>
      <c r="I65" s="20"/>
      <c r="J65" s="20"/>
      <c r="K65" s="3"/>
    </row>
    <row r="66" spans="1:11" s="7" customFormat="1">
      <c r="A66" s="3"/>
      <c r="B66" s="20"/>
      <c r="C66" s="22"/>
      <c r="D66" s="18" t="str">
        <f>$B$60&amp;Commodities!E52</f>
        <v>MINCRN</v>
      </c>
      <c r="E66" s="18" t="str">
        <f>"Mining technology - "&amp;Commodities!F52</f>
        <v>Mining technology - Corn</v>
      </c>
      <c r="F66" s="20" t="s">
        <v>62</v>
      </c>
      <c r="G66" s="18"/>
      <c r="H66" s="20"/>
      <c r="I66" s="20"/>
      <c r="J66" s="20"/>
      <c r="K66" s="3"/>
    </row>
    <row r="67" spans="1:11" s="7" customFormat="1">
      <c r="A67" s="3"/>
      <c r="B67" s="20"/>
      <c r="C67" s="22"/>
      <c r="D67" s="18" t="str">
        <f>$B$60&amp;Commodities!E53</f>
        <v>MINRPS</v>
      </c>
      <c r="E67" s="18" t="str">
        <f>"Mining technology - "&amp;Commodities!F53</f>
        <v>Mining technology - Rapeseed</v>
      </c>
      <c r="F67" s="20" t="s">
        <v>62</v>
      </c>
      <c r="G67" s="18"/>
      <c r="H67" s="20"/>
      <c r="I67" s="20"/>
      <c r="J67" s="20"/>
      <c r="K67" s="3"/>
    </row>
    <row r="68" spans="1:11" s="7" customFormat="1">
      <c r="A68" s="3"/>
      <c r="B68" s="20"/>
      <c r="C68" s="22"/>
      <c r="D68" s="18" t="str">
        <f>$B$60&amp;Commodities!E54</f>
        <v>MINSGB</v>
      </c>
      <c r="E68" s="18" t="str">
        <f>"Mining technology - "&amp;Commodities!F54</f>
        <v>Mining technology - Sugar Beet</v>
      </c>
      <c r="F68" s="20" t="s">
        <v>62</v>
      </c>
      <c r="G68" s="18"/>
      <c r="H68" s="20"/>
      <c r="I68" s="20"/>
      <c r="J68" s="20"/>
      <c r="K68" s="3"/>
    </row>
    <row r="69" spans="1:11" s="7" customFormat="1">
      <c r="A69" s="3"/>
      <c r="B69" s="20"/>
      <c r="C69" s="22"/>
      <c r="D69" s="18" t="str">
        <f>$B$60&amp;Commodities!E55</f>
        <v>MINDLI</v>
      </c>
      <c r="E69" s="18" t="str">
        <f>"Mining technology - "&amp;Commodities!F55</f>
        <v>Mining technology - Deep Litter</v>
      </c>
      <c r="F69" s="20" t="s">
        <v>62</v>
      </c>
      <c r="G69" s="18"/>
      <c r="H69" s="20"/>
      <c r="I69" s="20"/>
      <c r="J69" s="20"/>
      <c r="K69" s="3"/>
    </row>
    <row r="70" spans="1:11" s="7" customFormat="1">
      <c r="A70" s="3"/>
      <c r="B70" s="20"/>
      <c r="C70" s="22"/>
      <c r="D70" s="18" t="str">
        <f>$B$60&amp;Commodities!E56</f>
        <v>MINMNR</v>
      </c>
      <c r="E70" s="18" t="str">
        <f>"Mining technology - "&amp;Commodities!F56</f>
        <v>Mining technology - Manure (Gylle)</v>
      </c>
      <c r="F70" s="20" t="s">
        <v>62</v>
      </c>
      <c r="G70" s="18"/>
      <c r="H70" s="20"/>
      <c r="I70" s="20"/>
      <c r="J70" s="20"/>
      <c r="K70" s="3"/>
    </row>
    <row r="71" spans="1:11" s="7" customFormat="1">
      <c r="A71" s="3"/>
      <c r="B71" s="20"/>
      <c r="C71" s="22"/>
      <c r="D71" s="18" t="str">
        <f>$B$60&amp;RIGHT(Commodities!E57,3)</f>
        <v>MINNGA</v>
      </c>
      <c r="E71" s="18" t="str">
        <f>"Mining technology - "&amp;Commodities!F57</f>
        <v>Mining technology - Mining Natural Gas</v>
      </c>
      <c r="F71" s="20" t="s">
        <v>62</v>
      </c>
      <c r="G71" s="18"/>
      <c r="H71" s="20"/>
      <c r="I71" s="20"/>
      <c r="J71" s="20"/>
      <c r="K71" s="3"/>
    </row>
    <row r="72" spans="1:11" s="7" customFormat="1">
      <c r="A72" s="3"/>
      <c r="B72" s="20"/>
      <c r="C72" s="22"/>
      <c r="D72" s="18" t="str">
        <f>$B$60&amp;RIGHT(Commodities!E58,3)</f>
        <v>MINCRD</v>
      </c>
      <c r="E72" s="18" t="str">
        <f>"Mining technology - "&amp;Commodities!F58</f>
        <v>Mining technology - Mining Crude Oil</v>
      </c>
      <c r="F72" s="20" t="s">
        <v>62</v>
      </c>
      <c r="G72" s="18"/>
      <c r="H72" s="20"/>
      <c r="I72" s="20"/>
      <c r="J72" s="20"/>
      <c r="K72" s="3"/>
    </row>
    <row r="73" spans="1:11" s="7" customFormat="1">
      <c r="A73" s="3"/>
      <c r="B73" s="20"/>
      <c r="C73" s="22"/>
      <c r="D73" s="18" t="str">
        <f>$B$60&amp;Commodities!E59</f>
        <v>MINWIN</v>
      </c>
      <c r="E73" s="18" t="str">
        <f>"Mining technology - "&amp;Commodities!F59</f>
        <v>Mining technology - Wind</v>
      </c>
      <c r="F73" s="20" t="s">
        <v>62</v>
      </c>
      <c r="G73" s="18"/>
      <c r="H73" s="20"/>
      <c r="I73" s="20"/>
      <c r="J73" s="20"/>
      <c r="K73" s="3"/>
    </row>
    <row r="74" spans="1:11" s="7" customFormat="1">
      <c r="A74" s="3"/>
      <c r="B74" s="20"/>
      <c r="C74" s="22"/>
      <c r="D74" s="18" t="str">
        <f>$B$60&amp;Commodities!E60</f>
        <v>MINHYD</v>
      </c>
      <c r="E74" s="18" t="str">
        <f>"Mining technology - "&amp;Commodities!F60</f>
        <v>Mining technology - Hydro</v>
      </c>
      <c r="F74" s="20" t="s">
        <v>62</v>
      </c>
      <c r="G74" s="18"/>
      <c r="H74" s="20"/>
      <c r="I74" s="20"/>
      <c r="J74" s="20"/>
      <c r="K74" s="3"/>
    </row>
    <row r="75" spans="1:11" s="7" customFormat="1">
      <c r="A75" s="3"/>
      <c r="B75" s="20"/>
      <c r="C75" s="22"/>
      <c r="D75" s="18" t="str">
        <f>$B$60&amp;Commodities!E61</f>
        <v>MINSOL</v>
      </c>
      <c r="E75" s="18" t="str">
        <f>"Mining technology - "&amp;Commodities!F61</f>
        <v>Mining technology - Solar</v>
      </c>
      <c r="F75" s="20" t="s">
        <v>62</v>
      </c>
      <c r="G75" s="18"/>
      <c r="H75" s="20"/>
      <c r="I75" s="20"/>
      <c r="J75" s="20"/>
      <c r="K75" s="3"/>
    </row>
    <row r="76" spans="1:11" s="7" customFormat="1">
      <c r="A76" s="3"/>
      <c r="B76" s="20"/>
      <c r="C76" s="22"/>
      <c r="D76" s="18" t="str">
        <f>$B$60&amp;Commodities!E62</f>
        <v>MINGEO</v>
      </c>
      <c r="E76" s="18" t="str">
        <f>"Mining technology - "&amp;Commodities!F62</f>
        <v>Mining technology - Geothermal</v>
      </c>
      <c r="F76" s="20" t="s">
        <v>62</v>
      </c>
      <c r="G76" s="18"/>
      <c r="H76" s="20"/>
      <c r="I76" s="20"/>
      <c r="J76" s="20"/>
      <c r="K76" s="3"/>
    </row>
    <row r="77" spans="1:11" s="7" customFormat="1">
      <c r="A77" s="3"/>
      <c r="B77" s="20"/>
      <c r="C77" s="22"/>
      <c r="D77" s="18" t="str">
        <f>$B$60&amp;Commodities!E63</f>
        <v>MINWAV</v>
      </c>
      <c r="E77" s="18" t="str">
        <f>"Mining technology - "&amp;Commodities!F63</f>
        <v>Mining technology - Wave</v>
      </c>
      <c r="F77" s="20" t="s">
        <v>62</v>
      </c>
      <c r="G77" s="18"/>
      <c r="H77" s="20"/>
      <c r="I77" s="20"/>
      <c r="J77" s="20"/>
      <c r="K77" s="3"/>
    </row>
    <row r="78" spans="1:11" s="7" customFormat="1">
      <c r="A78" s="3"/>
      <c r="B78" s="522"/>
      <c r="C78" s="551"/>
      <c r="D78" s="544" t="str">
        <f>$B$60&amp;Commodities!E64</f>
        <v>MINMOV</v>
      </c>
      <c r="E78" s="544" t="str">
        <f>"Mining technology - "&amp;Commodities!F64</f>
        <v>Mining technology - Movement - Dummy commodity for bike and walk</v>
      </c>
      <c r="F78" s="522" t="s">
        <v>62</v>
      </c>
      <c r="G78" s="544"/>
      <c r="H78" s="522"/>
      <c r="I78" s="522"/>
      <c r="J78" s="20"/>
      <c r="K78" s="3"/>
    </row>
    <row r="79" spans="1:11" s="7" customFormat="1">
      <c r="A79" s="3"/>
      <c r="B79" s="20" t="s">
        <v>298</v>
      </c>
      <c r="C79" s="22"/>
      <c r="D79" s="18" t="str">
        <f>$B$79&amp;Commodities!E12</f>
        <v>EXPCOA</v>
      </c>
      <c r="E79" s="18" t="str">
        <f>"Export technology - "&amp;Commodities!F12</f>
        <v>Export technology - Coal</v>
      </c>
      <c r="F79" s="20" t="s">
        <v>62</v>
      </c>
      <c r="G79" s="18"/>
      <c r="H79" s="20"/>
      <c r="I79" s="20"/>
      <c r="J79" s="20"/>
      <c r="K79" s="3"/>
    </row>
    <row r="80" spans="1:11" s="7" customFormat="1">
      <c r="A80" s="3"/>
      <c r="B80" s="20"/>
      <c r="C80" s="22"/>
      <c r="D80" s="18" t="str">
        <f>$B$79&amp;Commodities!E13</f>
        <v>EXPNGA</v>
      </c>
      <c r="E80" s="18" t="str">
        <f>"Export technology - "&amp;Commodities!F13</f>
        <v>Export technology - Natural Gas</v>
      </c>
      <c r="F80" s="20" t="s">
        <v>62</v>
      </c>
      <c r="G80" s="18"/>
      <c r="H80" s="20"/>
      <c r="I80" s="20"/>
      <c r="J80" s="20"/>
      <c r="K80" s="3"/>
    </row>
    <row r="81" spans="1:11" s="7" customFormat="1">
      <c r="A81" s="3"/>
      <c r="B81" s="20"/>
      <c r="C81" s="22"/>
      <c r="D81" s="18" t="str">
        <f>$B$79&amp;Commodities!E14</f>
        <v>EXPCRD</v>
      </c>
      <c r="E81" s="18" t="str">
        <f>"Export technology - "&amp;Commodities!F14</f>
        <v>Export technology - Crude Oil</v>
      </c>
      <c r="F81" s="20" t="s">
        <v>62</v>
      </c>
      <c r="G81" s="18"/>
      <c r="H81" s="20"/>
      <c r="I81" s="20"/>
      <c r="J81" s="20"/>
      <c r="K81" s="3"/>
    </row>
    <row r="82" spans="1:11" s="7" customFormat="1">
      <c r="A82" s="3"/>
      <c r="B82" s="20"/>
      <c r="C82" s="22"/>
      <c r="D82" s="18" t="str">
        <f>$B$79&amp;Commodities!E15</f>
        <v>EXPLPG</v>
      </c>
      <c r="E82" s="18" t="str">
        <f>"Export technology - "&amp;Commodities!F15</f>
        <v>Export technology - Liquid petrol gas</v>
      </c>
      <c r="F82" s="20" t="s">
        <v>62</v>
      </c>
      <c r="G82" s="18"/>
      <c r="H82" s="20"/>
      <c r="I82" s="20"/>
      <c r="J82" s="20"/>
      <c r="K82" s="3"/>
    </row>
    <row r="83" spans="1:11" s="7" customFormat="1">
      <c r="A83" s="3"/>
      <c r="B83" s="20"/>
      <c r="C83" s="22"/>
      <c r="D83" s="18" t="str">
        <f>$B$79&amp;Commodities!E16</f>
        <v>EXPLVN</v>
      </c>
      <c r="E83" s="18" t="str">
        <f>"Export technology - "&amp;Commodities!F16</f>
        <v>Export technology - Naphtha (Petroleoum)</v>
      </c>
      <c r="F83" s="20" t="s">
        <v>62</v>
      </c>
      <c r="G83" s="18"/>
      <c r="H83" s="20"/>
      <c r="I83" s="20"/>
      <c r="J83" s="20"/>
      <c r="K83" s="3"/>
    </row>
    <row r="84" spans="1:11" s="7" customFormat="1">
      <c r="A84" s="3"/>
      <c r="B84" s="20"/>
      <c r="C84" s="22"/>
      <c r="D84" s="18" t="str">
        <f>$B$79&amp;Commodities!E17</f>
        <v>EXPGSL</v>
      </c>
      <c r="E84" s="18" t="str">
        <f>"Export technology - "&amp;Commodities!F17</f>
        <v>Export technology - Gasoline</v>
      </c>
      <c r="F84" s="20" t="s">
        <v>62</v>
      </c>
      <c r="G84" s="18"/>
      <c r="H84" s="20"/>
      <c r="I84" s="20"/>
      <c r="J84" s="20"/>
      <c r="K84" s="3"/>
    </row>
    <row r="85" spans="1:11" s="7" customFormat="1">
      <c r="A85" s="3"/>
      <c r="B85" s="20"/>
      <c r="C85" s="22"/>
      <c r="D85" s="18" t="str">
        <f>$B$79&amp;Commodities!E18</f>
        <v>EXPKER</v>
      </c>
      <c r="E85" s="18" t="str">
        <f>"Export technology - "&amp;Commodities!F18</f>
        <v>Export technology - Kerosene</v>
      </c>
      <c r="F85" s="20" t="s">
        <v>62</v>
      </c>
      <c r="G85" s="18"/>
      <c r="H85" s="20"/>
      <c r="I85" s="20"/>
      <c r="J85" s="20"/>
      <c r="K85" s="3"/>
    </row>
    <row r="86" spans="1:11" s="7" customFormat="1">
      <c r="A86" s="3"/>
      <c r="B86" s="20"/>
      <c r="C86" s="22"/>
      <c r="D86" s="18" t="str">
        <f>$B$79&amp;Commodities!E19</f>
        <v>EXPDSL</v>
      </c>
      <c r="E86" s="18" t="str">
        <f>"Export technology - "&amp;Commodities!F19</f>
        <v>Export technology - Diesel</v>
      </c>
      <c r="F86" s="20" t="s">
        <v>62</v>
      </c>
      <c r="G86" s="18"/>
      <c r="H86" s="20"/>
      <c r="I86" s="20"/>
      <c r="J86" s="20"/>
      <c r="K86" s="3"/>
    </row>
    <row r="87" spans="1:11" s="7" customFormat="1">
      <c r="A87" s="3"/>
      <c r="B87" s="20"/>
      <c r="C87" s="22"/>
      <c r="D87" s="18" t="str">
        <f>$B$79&amp;Commodities!E20</f>
        <v>EXPHFO</v>
      </c>
      <c r="E87" s="18" t="str">
        <f>"Export technology - "&amp;Commodities!F20</f>
        <v>Export technology - Heavy Fuel Oil</v>
      </c>
      <c r="F87" s="20" t="s">
        <v>62</v>
      </c>
      <c r="G87" s="18"/>
      <c r="H87" s="20"/>
      <c r="I87" s="20"/>
      <c r="J87" s="20"/>
      <c r="K87" s="3"/>
    </row>
    <row r="88" spans="1:11" s="7" customFormat="1">
      <c r="A88" s="3"/>
      <c r="B88" s="20"/>
      <c r="C88" s="22"/>
      <c r="D88" s="18" t="str">
        <f>$B$79&amp;Commodities!E21</f>
        <v>EXPMGO</v>
      </c>
      <c r="E88" s="18" t="str">
        <f>"Export technology - "&amp;Commodities!F21</f>
        <v>Export technology - Marine Gas Oil</v>
      </c>
      <c r="F88" s="20" t="s">
        <v>62</v>
      </c>
      <c r="G88" s="18"/>
      <c r="H88" s="20"/>
      <c r="I88" s="20"/>
      <c r="J88" s="20"/>
      <c r="K88" s="3"/>
    </row>
    <row r="89" spans="1:11" s="7" customFormat="1">
      <c r="A89" s="3"/>
      <c r="B89" s="20"/>
      <c r="C89" s="22"/>
      <c r="D89" s="18" t="str">
        <f>$B$79&amp;Commodities!E22</f>
        <v>EXPAGSL</v>
      </c>
      <c r="E89" s="18" t="str">
        <f>"Export technology - "&amp;Commodities!F22</f>
        <v>Export technology - Aviation gasoline</v>
      </c>
      <c r="F89" s="20" t="s">
        <v>62</v>
      </c>
      <c r="G89" s="18"/>
      <c r="H89" s="20"/>
      <c r="I89" s="20"/>
      <c r="J89" s="20"/>
      <c r="K89" s="3"/>
    </row>
    <row r="90" spans="1:11" s="7" customFormat="1">
      <c r="A90" s="3"/>
      <c r="B90" s="20"/>
      <c r="C90" s="22"/>
      <c r="D90" s="18" t="str">
        <f>$B$79&amp;Commodities!E23</f>
        <v>EXPBGA</v>
      </c>
      <c r="E90" s="18" t="str">
        <f>"Export technology - "&amp;Commodities!F23</f>
        <v>Export technology - Biogas</v>
      </c>
      <c r="F90" s="20" t="s">
        <v>62</v>
      </c>
      <c r="G90" s="18"/>
      <c r="H90" s="20"/>
      <c r="I90" s="20"/>
      <c r="J90" s="20"/>
      <c r="K90" s="3"/>
    </row>
    <row r="91" spans="1:11" s="7" customFormat="1">
      <c r="A91" s="3"/>
      <c r="B91" s="20"/>
      <c r="C91" s="22"/>
      <c r="D91" s="18" t="str">
        <f>$B$79&amp;Commodities!E24</f>
        <v>EXPHFB</v>
      </c>
      <c r="E91" s="18" t="str">
        <f>"Export technology - "&amp;Commodities!F24</f>
        <v>Export technology - Heavy Fuel Bio Oil</v>
      </c>
      <c r="F91" s="20" t="s">
        <v>62</v>
      </c>
      <c r="G91" s="18"/>
      <c r="H91" s="20"/>
      <c r="I91" s="20"/>
      <c r="J91" s="20"/>
      <c r="K91" s="3"/>
    </row>
    <row r="92" spans="1:11" s="7" customFormat="1">
      <c r="A92" s="3"/>
      <c r="B92" s="20"/>
      <c r="C92" s="22"/>
      <c r="D92" s="18" t="str">
        <f>$B$79&amp;Commodities!E25</f>
        <v>EXPDDGS</v>
      </c>
      <c r="E92" s="18" t="str">
        <f>"Export technology - "&amp;Commodities!F25</f>
        <v>Export technology - Ethanol</v>
      </c>
      <c r="F92" s="20" t="s">
        <v>62</v>
      </c>
      <c r="G92" s="18"/>
      <c r="H92" s="20"/>
      <c r="I92" s="20"/>
      <c r="J92" s="20"/>
      <c r="K92" s="3"/>
    </row>
    <row r="93" spans="1:11" s="7" customFormat="1">
      <c r="A93" s="3"/>
      <c r="B93" s="20"/>
      <c r="C93" s="22"/>
      <c r="D93" s="18" t="str">
        <f>$B$79&amp;Commodities!E26</f>
        <v>EXPH2</v>
      </c>
      <c r="E93" s="18" t="str">
        <f>"Export technology - "&amp;Commodities!F26</f>
        <v>Export technology - Hydrogen</v>
      </c>
      <c r="F93" s="20" t="s">
        <v>62</v>
      </c>
      <c r="G93" s="18"/>
      <c r="H93" s="20"/>
      <c r="I93" s="20"/>
      <c r="J93" s="20"/>
      <c r="K93" s="3"/>
    </row>
    <row r="94" spans="1:11" s="7" customFormat="1">
      <c r="A94" s="3"/>
      <c r="B94" s="20"/>
      <c r="C94" s="22"/>
      <c r="D94" s="18" t="str">
        <f>$B$79&amp;Commodities!E27</f>
        <v>EXPH2G</v>
      </c>
      <c r="E94" s="18" t="str">
        <f>"Export technology - "&amp;Commodities!F27</f>
        <v>Export technology - Hydrogen Gas</v>
      </c>
      <c r="F94" s="20" t="s">
        <v>62</v>
      </c>
      <c r="G94" s="18"/>
      <c r="H94" s="20"/>
      <c r="I94" s="20"/>
      <c r="J94" s="20"/>
      <c r="K94" s="3"/>
    </row>
    <row r="95" spans="1:11" s="7" customFormat="1">
      <c r="A95" s="3"/>
      <c r="B95" s="20"/>
      <c r="C95" s="22"/>
      <c r="D95" s="18" t="str">
        <f>$B$79&amp;Commodities!E28</f>
        <v>EXPAMM</v>
      </c>
      <c r="E95" s="18" t="str">
        <f>"Export technology - "&amp;Commodities!F28</f>
        <v>Export technology - Ammonia (Liquid)</v>
      </c>
      <c r="F95" s="20" t="s">
        <v>62</v>
      </c>
      <c r="G95" s="18"/>
      <c r="H95" s="20"/>
      <c r="I95" s="20"/>
      <c r="J95" s="20"/>
      <c r="K95" s="3"/>
    </row>
    <row r="96" spans="1:11" s="7" customFormat="1">
      <c r="A96" s="3"/>
      <c r="B96" s="20"/>
      <c r="C96" s="22"/>
      <c r="D96" s="18" t="str">
        <f>$B$79&amp;Commodities!E29</f>
        <v>EXPDME</v>
      </c>
      <c r="E96" s="18" t="str">
        <f>"Export technology - "&amp;Commodities!F29</f>
        <v>Export technology - Dimethyl ether</v>
      </c>
      <c r="F96" s="20" t="s">
        <v>62</v>
      </c>
      <c r="G96" s="18"/>
      <c r="H96" s="20"/>
      <c r="I96" s="20"/>
      <c r="J96" s="20"/>
      <c r="K96" s="3"/>
    </row>
    <row r="97" spans="1:11" s="7" customFormat="1">
      <c r="A97" s="3"/>
      <c r="B97" s="20"/>
      <c r="C97" s="22"/>
      <c r="D97" s="18" t="str">
        <f>$B$79&amp;Commodities!E30</f>
        <v>EXPKRB1</v>
      </c>
      <c r="E97" s="18" t="str">
        <f>"Export technology - "&amp;Commodities!F30</f>
        <v>Export technology - Bio Kerosene G1</v>
      </c>
      <c r="F97" s="20" t="s">
        <v>62</v>
      </c>
      <c r="G97" s="18"/>
      <c r="H97" s="20"/>
      <c r="I97" s="20"/>
      <c r="J97" s="20"/>
      <c r="K97" s="3"/>
    </row>
    <row r="98" spans="1:11" s="7" customFormat="1">
      <c r="A98" s="3"/>
      <c r="B98" s="20"/>
      <c r="C98" s="22"/>
      <c r="D98" s="18" t="str">
        <f>$B$79&amp;Commodities!E31</f>
        <v>EXPKRB2</v>
      </c>
      <c r="E98" s="18" t="str">
        <f>"Export technology - "&amp;Commodities!F31</f>
        <v>Export technology - Bio Kerosene G2</v>
      </c>
      <c r="F98" s="20" t="s">
        <v>62</v>
      </c>
      <c r="G98" s="18"/>
      <c r="H98" s="20"/>
      <c r="I98" s="20"/>
      <c r="J98" s="20"/>
      <c r="K98" s="3"/>
    </row>
    <row r="99" spans="1:11" s="7" customFormat="1">
      <c r="A99" s="3"/>
      <c r="B99" s="20"/>
      <c r="C99" s="22"/>
      <c r="D99" s="18" t="str">
        <f>$B$79&amp;Commodities!E32</f>
        <v>EXPKRE</v>
      </c>
      <c r="E99" s="18" t="str">
        <f>"Export technology - "&amp;Commodities!F32</f>
        <v>Export technology - Electro Kerosene</v>
      </c>
      <c r="F99" s="20" t="s">
        <v>62</v>
      </c>
      <c r="G99" s="18"/>
      <c r="H99" s="20"/>
      <c r="I99" s="20"/>
      <c r="J99" s="20"/>
      <c r="K99" s="3"/>
    </row>
    <row r="100" spans="1:11" s="7" customFormat="1">
      <c r="A100" s="3"/>
      <c r="B100" s="20"/>
      <c r="C100" s="22"/>
      <c r="D100" s="18" t="str">
        <f>$B$79&amp;Commodities!E33</f>
        <v>EXPSNG1</v>
      </c>
      <c r="E100" s="18" t="str">
        <f>"Export technology - "&amp;Commodities!F33</f>
        <v>Export technology - Bio Synt. Nat. Gas G1</v>
      </c>
      <c r="F100" s="20" t="s">
        <v>62</v>
      </c>
      <c r="G100" s="18"/>
      <c r="H100" s="20"/>
      <c r="I100" s="20"/>
      <c r="J100" s="20"/>
      <c r="K100" s="3"/>
    </row>
    <row r="101" spans="1:11" s="7" customFormat="1">
      <c r="A101" s="3"/>
      <c r="B101" s="20"/>
      <c r="C101" s="22"/>
      <c r="D101" s="18" t="str">
        <f>$B$79&amp;Commodities!E34</f>
        <v>EXPSNG2</v>
      </c>
      <c r="E101" s="18" t="str">
        <f>"Export technology - "&amp;Commodities!F34</f>
        <v>Export technology - Bio Synt. Nat. Gas G2</v>
      </c>
      <c r="F101" s="20" t="s">
        <v>62</v>
      </c>
      <c r="G101" s="18"/>
      <c r="H101" s="20"/>
      <c r="I101" s="20"/>
      <c r="J101" s="20"/>
      <c r="K101" s="3"/>
    </row>
    <row r="102" spans="1:11" s="7" customFormat="1">
      <c r="A102" s="3"/>
      <c r="B102" s="20"/>
      <c r="C102" s="22"/>
      <c r="D102" s="18" t="str">
        <f>$B$79&amp;Commodities!E35</f>
        <v>EXPSNE</v>
      </c>
      <c r="E102" s="18" t="str">
        <f>"Export technology - "&amp;Commodities!F35</f>
        <v>Export technology - Electro Synt. Nat. Gas</v>
      </c>
      <c r="F102" s="20" t="s">
        <v>62</v>
      </c>
      <c r="G102" s="18"/>
      <c r="H102" s="20"/>
      <c r="I102" s="20"/>
      <c r="J102" s="20"/>
      <c r="K102" s="3"/>
    </row>
    <row r="103" spans="1:11" s="7" customFormat="1">
      <c r="A103" s="3"/>
      <c r="B103" s="20"/>
      <c r="C103" s="22"/>
      <c r="D103" s="18" t="str">
        <f>$B$79&amp;Commodities!E36</f>
        <v>EXPDSB1</v>
      </c>
      <c r="E103" s="18" t="str">
        <f>"Export technology - "&amp;Commodities!F36</f>
        <v>Export technology - Biodiesel G1</v>
      </c>
      <c r="F103" s="20" t="s">
        <v>62</v>
      </c>
      <c r="G103" s="18"/>
      <c r="H103" s="20"/>
      <c r="I103" s="20"/>
      <c r="J103" s="20"/>
      <c r="K103" s="3"/>
    </row>
    <row r="104" spans="1:11" s="7" customFormat="1">
      <c r="A104" s="3"/>
      <c r="B104" s="20"/>
      <c r="C104" s="22"/>
      <c r="D104" s="18" t="str">
        <f>$B$79&amp;Commodities!E37</f>
        <v>EXPDSB2</v>
      </c>
      <c r="E104" s="18" t="str">
        <f>"Export technology - "&amp;Commodities!F37</f>
        <v>Export technology - Biodiesel G2</v>
      </c>
      <c r="F104" s="20" t="s">
        <v>62</v>
      </c>
      <c r="G104" s="18"/>
      <c r="H104" s="20"/>
      <c r="I104" s="20"/>
      <c r="J104" s="20"/>
      <c r="K104" s="3"/>
    </row>
    <row r="105" spans="1:11" s="7" customFormat="1">
      <c r="A105" s="3"/>
      <c r="B105" s="20"/>
      <c r="C105" s="22"/>
      <c r="D105" s="18" t="str">
        <f>$B$79&amp;Commodities!E38</f>
        <v>EXPDSE</v>
      </c>
      <c r="E105" s="18" t="str">
        <f>"Export technology - "&amp;Commodities!F38</f>
        <v>Export technology - Electro Diesel</v>
      </c>
      <c r="F105" s="20" t="s">
        <v>62</v>
      </c>
      <c r="G105" s="18"/>
      <c r="H105" s="20"/>
      <c r="I105" s="20"/>
      <c r="J105" s="20"/>
      <c r="K105" s="3"/>
    </row>
    <row r="106" spans="1:11" s="7" customFormat="1">
      <c r="A106" s="3"/>
      <c r="B106" s="20"/>
      <c r="C106" s="22"/>
      <c r="D106" s="18" t="str">
        <f>$B$79&amp;Commodities!E39</f>
        <v>EXPGSB1</v>
      </c>
      <c r="E106" s="18" t="str">
        <f>"Export technology - "&amp;Commodities!F39</f>
        <v>Export technology - Bioethanol G1</v>
      </c>
      <c r="F106" s="20" t="s">
        <v>62</v>
      </c>
      <c r="G106" s="18"/>
      <c r="H106" s="20"/>
      <c r="I106" s="20"/>
      <c r="J106" s="20"/>
      <c r="K106" s="3"/>
    </row>
    <row r="107" spans="1:11" s="7" customFormat="1">
      <c r="A107" s="3"/>
      <c r="B107" s="20"/>
      <c r="C107" s="22"/>
      <c r="D107" s="18" t="str">
        <f>$B$79&amp;Commodities!E40</f>
        <v>EXPGSB2</v>
      </c>
      <c r="E107" s="18" t="str">
        <f>"Export technology - "&amp;Commodities!F40</f>
        <v>Export technology - Bioethanol G2</v>
      </c>
      <c r="F107" s="20" t="s">
        <v>62</v>
      </c>
      <c r="G107" s="18"/>
      <c r="H107" s="20"/>
      <c r="I107" s="20"/>
      <c r="J107" s="20"/>
      <c r="K107" s="3"/>
    </row>
    <row r="108" spans="1:11" s="7" customFormat="1">
      <c r="A108" s="3"/>
      <c r="B108" s="20"/>
      <c r="C108" s="22"/>
      <c r="D108" s="18" t="str">
        <f>$B$79&amp;Commodities!E41</f>
        <v>EXPGSE</v>
      </c>
      <c r="E108" s="18" t="str">
        <f>"Export technology - "&amp;Commodities!F41</f>
        <v>Export technology - Electro Gasoline</v>
      </c>
      <c r="F108" s="20" t="s">
        <v>62</v>
      </c>
      <c r="G108" s="18"/>
      <c r="H108" s="20"/>
      <c r="I108" s="20"/>
      <c r="J108" s="20"/>
      <c r="K108" s="3"/>
    </row>
    <row r="109" spans="1:11" s="7" customFormat="1">
      <c r="A109" s="3"/>
      <c r="B109" s="20"/>
      <c r="C109" s="22"/>
      <c r="D109" s="18" t="str">
        <f>$B$79&amp;Commodities!E42</f>
        <v>EXPMOB1</v>
      </c>
      <c r="E109" s="18" t="str">
        <f>"Export technology - "&amp;Commodities!F42</f>
        <v>Export technology - Bio Methanol G1</v>
      </c>
      <c r="F109" s="20" t="s">
        <v>62</v>
      </c>
      <c r="G109" s="18"/>
      <c r="H109" s="20"/>
      <c r="I109" s="20"/>
      <c r="J109" s="20"/>
      <c r="K109" s="3"/>
    </row>
    <row r="110" spans="1:11" s="7" customFormat="1">
      <c r="A110" s="3"/>
      <c r="B110" s="20"/>
      <c r="C110" s="22"/>
      <c r="D110" s="18" t="str">
        <f>$B$79&amp;Commodities!E43</f>
        <v>EXPMOB2</v>
      </c>
      <c r="E110" s="18" t="str">
        <f>"Export technology - "&amp;Commodities!F43</f>
        <v>Export technology - Bio Methanol G2</v>
      </c>
      <c r="F110" s="20" t="s">
        <v>62</v>
      </c>
      <c r="G110" s="18"/>
      <c r="H110" s="20"/>
      <c r="I110" s="20"/>
      <c r="J110" s="20"/>
      <c r="K110" s="3"/>
    </row>
    <row r="111" spans="1:11" s="7" customFormat="1">
      <c r="A111" s="3"/>
      <c r="B111" s="20"/>
      <c r="C111" s="22"/>
      <c r="D111" s="18" t="str">
        <f>$B$79&amp;Commodities!E44</f>
        <v>EXPMOE</v>
      </c>
      <c r="E111" s="18" t="str">
        <f>"Export technology - "&amp;Commodities!F44</f>
        <v>Export technology - Electro Methanol</v>
      </c>
      <c r="F111" s="20" t="s">
        <v>62</v>
      </c>
      <c r="G111" s="18"/>
      <c r="H111" s="20"/>
      <c r="I111" s="20"/>
      <c r="J111" s="20"/>
      <c r="K111" s="3"/>
    </row>
    <row r="112" spans="1:11" s="7" customFormat="1">
      <c r="A112" s="3"/>
      <c r="B112" s="20"/>
      <c r="C112" s="22"/>
      <c r="D112" s="18" t="str">
        <f>$B$79&amp;Commodities!E66</f>
        <v>EXPLNB</v>
      </c>
      <c r="E112" s="18" t="str">
        <f>"Export technology - "&amp;Commodities!F66</f>
        <v>Export technology - Bio Naphtha (Petroleoum)</v>
      </c>
      <c r="F112" s="20" t="s">
        <v>62</v>
      </c>
      <c r="G112" s="18"/>
      <c r="H112" s="20"/>
      <c r="I112" s="20"/>
      <c r="J112" s="20"/>
      <c r="K112" s="3"/>
    </row>
    <row r="113" spans="1:11" s="7" customFormat="1">
      <c r="A113" s="3"/>
      <c r="B113" s="20"/>
      <c r="C113" s="22"/>
      <c r="D113" s="18" t="str">
        <f>$B$79&amp;Commodities!E67</f>
        <v>EXPGLY</v>
      </c>
      <c r="E113" s="18" t="str">
        <f>"Export technology - "&amp;Commodities!F67</f>
        <v>Export technology - Glycerol</v>
      </c>
      <c r="F113" s="20" t="s">
        <v>62</v>
      </c>
      <c r="G113" s="18"/>
      <c r="H113" s="20"/>
      <c r="I113" s="20"/>
      <c r="J113" s="20"/>
      <c r="K113" s="3"/>
    </row>
    <row r="114" spans="1:11" s="7" customFormat="1">
      <c r="A114" s="3"/>
      <c r="B114" s="20"/>
      <c r="C114" s="22"/>
      <c r="D114" s="18" t="str">
        <f>$B$79&amp;Commodities!E68</f>
        <v>EXPRPC</v>
      </c>
      <c r="E114" s="18" t="str">
        <f>"Export technology - "&amp;Commodities!F68</f>
        <v>Export technology - Rape Cake</v>
      </c>
      <c r="F114" s="20" t="s">
        <v>62</v>
      </c>
      <c r="G114" s="18"/>
      <c r="H114" s="20"/>
      <c r="I114" s="20"/>
      <c r="J114" s="20"/>
      <c r="K114" s="3"/>
    </row>
    <row r="115" spans="1:11" s="7" customFormat="1">
      <c r="A115" s="3"/>
      <c r="B115" s="20"/>
      <c r="C115" s="22"/>
      <c r="D115" s="18" t="str">
        <f>$B$79&amp;Commodities!E69</f>
        <v>EXPSGP</v>
      </c>
      <c r="E115" s="18" t="str">
        <f>"Export technology - "&amp;Commodities!F69</f>
        <v>Export technology - Sugar Beet Pulp</v>
      </c>
      <c r="F115" s="20" t="s">
        <v>62</v>
      </c>
      <c r="G115" s="18"/>
      <c r="H115" s="20"/>
      <c r="I115" s="20"/>
      <c r="J115" s="20"/>
      <c r="K115" s="3"/>
    </row>
    <row r="116" spans="1:11" s="7" customFormat="1">
      <c r="A116" s="3"/>
      <c r="B116" s="20"/>
      <c r="C116" s="22"/>
      <c r="D116" s="18" t="str">
        <f>$B$79&amp;Commodities!E65</f>
        <v>EXPOTH</v>
      </c>
      <c r="E116" s="18" t="str">
        <f>"Export technology - "&amp;Commodities!F65</f>
        <v>Export technology - Other non energy related commodities</v>
      </c>
      <c r="F116" s="20" t="s">
        <v>62</v>
      </c>
      <c r="G116" s="18"/>
      <c r="H116" s="20"/>
      <c r="I116" s="20"/>
      <c r="J116" s="20"/>
      <c r="K116" s="3"/>
    </row>
    <row r="117" spans="1:11" s="7" customFormat="1">
      <c r="A117" s="3"/>
      <c r="B117" s="20"/>
      <c r="C117" s="22"/>
      <c r="D117" s="398" t="s">
        <v>1828</v>
      </c>
      <c r="E117" s="398" t="s">
        <v>1816</v>
      </c>
      <c r="F117" s="20" t="s">
        <v>62</v>
      </c>
      <c r="G117" s="18"/>
      <c r="H117" s="20" t="s">
        <v>1696</v>
      </c>
      <c r="I117" s="20"/>
      <c r="J117" s="20"/>
      <c r="K117" s="3"/>
    </row>
    <row r="118" spans="1:11" s="7" customFormat="1">
      <c r="A118" s="3"/>
      <c r="B118" s="20"/>
      <c r="C118" s="22"/>
      <c r="D118" s="398" t="s">
        <v>1829</v>
      </c>
      <c r="E118" s="398" t="s">
        <v>1817</v>
      </c>
      <c r="F118" s="20" t="s">
        <v>62</v>
      </c>
      <c r="G118" s="18"/>
      <c r="H118" s="20" t="s">
        <v>1696</v>
      </c>
      <c r="I118" s="20"/>
      <c r="J118" s="20"/>
      <c r="K118" s="3"/>
    </row>
    <row r="119" spans="1:11" s="7" customFormat="1">
      <c r="A119" s="3"/>
      <c r="B119" s="20"/>
      <c r="C119" s="22"/>
      <c r="D119" s="398" t="s">
        <v>1830</v>
      </c>
      <c r="E119" s="398" t="s">
        <v>1818</v>
      </c>
      <c r="F119" s="20" t="s">
        <v>62</v>
      </c>
      <c r="G119" s="18"/>
      <c r="H119" s="20" t="s">
        <v>1696</v>
      </c>
      <c r="I119" s="20"/>
      <c r="J119" s="20"/>
      <c r="K119" s="3"/>
    </row>
    <row r="120" spans="1:11" s="7" customFormat="1">
      <c r="A120" s="3"/>
      <c r="B120" s="522"/>
      <c r="C120" s="551"/>
      <c r="D120" s="521" t="s">
        <v>1831</v>
      </c>
      <c r="E120" s="521" t="s">
        <v>1819</v>
      </c>
      <c r="F120" s="522" t="s">
        <v>62</v>
      </c>
      <c r="G120" s="544"/>
      <c r="H120" s="522" t="s">
        <v>1696</v>
      </c>
      <c r="I120" s="522"/>
      <c r="J120" s="20"/>
      <c r="K120" s="3"/>
    </row>
    <row r="121" spans="1:11" s="7" customFormat="1">
      <c r="A121" s="3"/>
      <c r="B121" s="398" t="s">
        <v>143</v>
      </c>
      <c r="C121" s="22"/>
      <c r="D121" s="484" t="str">
        <f>"FT-"&amp;Commodities!E81</f>
        <v>FT-SUPELC</v>
      </c>
      <c r="E121" s="484" t="str">
        <f>"FT technology - "&amp;Commodities!F81</f>
        <v>FT technology - Supply electricity</v>
      </c>
      <c r="F121" s="398" t="s">
        <v>62</v>
      </c>
      <c r="G121" s="18"/>
      <c r="H121" s="481" t="s">
        <v>1696</v>
      </c>
      <c r="I121" s="20"/>
      <c r="J121" s="20"/>
      <c r="K121" s="3"/>
    </row>
    <row r="122" spans="1:11" s="7" customFormat="1">
      <c r="A122" s="3"/>
      <c r="B122" s="20"/>
      <c r="C122" s="22"/>
      <c r="D122" s="484" t="str">
        <f>"FT-"&amp;Commodities!E82</f>
        <v>FT-SUPHETC</v>
      </c>
      <c r="E122" s="484" t="str">
        <f>"FT technology - "&amp;Commodities!F82</f>
        <v>FT technology - Supply Decentral district heating</v>
      </c>
      <c r="F122" s="398" t="s">
        <v>62</v>
      </c>
      <c r="G122" s="18"/>
      <c r="H122" s="481" t="s">
        <v>1696</v>
      </c>
      <c r="I122" s="20"/>
      <c r="J122" s="20"/>
      <c r="K122" s="3"/>
    </row>
    <row r="123" spans="1:11" s="7" customFormat="1">
      <c r="A123" s="3"/>
      <c r="B123" s="522"/>
      <c r="C123" s="551"/>
      <c r="D123" s="525" t="str">
        <f>"FT-"&amp;Commodities!E83</f>
        <v>FT-SUPHETD</v>
      </c>
      <c r="E123" s="525" t="str">
        <f>"FT technology - "&amp;Commodities!F83</f>
        <v>FT technology - Supply Central district heating</v>
      </c>
      <c r="F123" s="521" t="s">
        <v>62</v>
      </c>
      <c r="G123" s="544"/>
      <c r="H123" s="481" t="s">
        <v>1696</v>
      </c>
      <c r="I123" s="522"/>
      <c r="J123" s="20"/>
      <c r="K123" s="3"/>
    </row>
    <row r="124" spans="1:11" s="7" customFormat="1">
      <c r="A124" s="3"/>
      <c r="B124" s="398"/>
      <c r="C124" s="22"/>
      <c r="D124" s="484" t="str">
        <f>"FT-"&amp;Commodities!E84</f>
        <v>FT-SUPCOA</v>
      </c>
      <c r="E124" s="484" t="str">
        <f>"FT technology - "&amp;Commodities!F84</f>
        <v>FT technology - Supply Coal</v>
      </c>
      <c r="F124" s="398" t="s">
        <v>62</v>
      </c>
      <c r="G124" s="18"/>
      <c r="H124" s="20"/>
      <c r="I124" s="20"/>
      <c r="J124" s="20"/>
      <c r="K124" s="3"/>
    </row>
    <row r="125" spans="1:11" s="7" customFormat="1">
      <c r="A125" s="3"/>
      <c r="B125" s="20"/>
      <c r="C125" s="22"/>
      <c r="D125" s="484" t="str">
        <f>"FT-"&amp;Commodities!E85</f>
        <v>FT-SUPNGA</v>
      </c>
      <c r="E125" s="484" t="str">
        <f>"FT technology - "&amp;Commodities!F85</f>
        <v>FT technology - Supply Natural Gas</v>
      </c>
      <c r="F125" s="398" t="s">
        <v>62</v>
      </c>
      <c r="G125" s="18"/>
      <c r="H125" s="20"/>
      <c r="I125" s="20"/>
      <c r="J125" s="20"/>
      <c r="K125" s="3"/>
    </row>
    <row r="126" spans="1:11" s="7" customFormat="1">
      <c r="A126" s="3"/>
      <c r="B126" s="20"/>
      <c r="C126" s="22"/>
      <c r="D126" s="484" t="str">
        <f>"FT-"&amp;Commodities!E86</f>
        <v>FT-SUPCRD</v>
      </c>
      <c r="E126" s="484" t="str">
        <f>"FT technology - "&amp;Commodities!F86</f>
        <v>FT technology - Supply Crude Oil</v>
      </c>
      <c r="F126" s="398" t="s">
        <v>62</v>
      </c>
      <c r="G126" s="18"/>
      <c r="H126" s="20"/>
      <c r="I126" s="20"/>
      <c r="J126" s="20"/>
      <c r="K126" s="3"/>
    </row>
    <row r="127" spans="1:11" s="7" customFormat="1">
      <c r="A127" s="3"/>
      <c r="B127" s="20"/>
      <c r="C127" s="22"/>
      <c r="D127" s="484" t="str">
        <f>"FT-"&amp;Commodities!E87</f>
        <v>FT-SUPLPG</v>
      </c>
      <c r="E127" s="484" t="str">
        <f>"FT technology - "&amp;Commodities!F87</f>
        <v>FT technology - Supply Liquid petrol gas</v>
      </c>
      <c r="F127" s="398" t="s">
        <v>62</v>
      </c>
      <c r="G127" s="18"/>
      <c r="H127" s="20"/>
      <c r="I127" s="20"/>
      <c r="J127" s="20"/>
      <c r="K127" s="3"/>
    </row>
    <row r="128" spans="1:11" s="7" customFormat="1">
      <c r="A128" s="3"/>
      <c r="B128" s="20"/>
      <c r="C128" s="22"/>
      <c r="D128" s="484" t="str">
        <f>"FT-"&amp;Commodities!E88</f>
        <v>FT-SUPLVN</v>
      </c>
      <c r="E128" s="484" t="str">
        <f>"FT technology - "&amp;Commodities!F88</f>
        <v>FT technology - Supply Naphtha (Petroleoum)</v>
      </c>
      <c r="F128" s="398" t="s">
        <v>62</v>
      </c>
      <c r="G128" s="18"/>
      <c r="H128" s="20"/>
      <c r="I128" s="20"/>
      <c r="J128" s="20"/>
      <c r="K128" s="3"/>
    </row>
    <row r="129" spans="1:11" s="7" customFormat="1">
      <c r="A129" s="3"/>
      <c r="B129" s="20"/>
      <c r="C129" s="22"/>
      <c r="D129" s="484" t="str">
        <f>"FT-"&amp;Commodities!E89</f>
        <v>FT-SUPGSL</v>
      </c>
      <c r="E129" s="484" t="str">
        <f>"FT technology - "&amp;Commodities!F89</f>
        <v>FT technology - Supply Gasoline</v>
      </c>
      <c r="F129" s="398" t="s">
        <v>62</v>
      </c>
      <c r="G129" s="18"/>
      <c r="H129" s="20"/>
      <c r="I129" s="20"/>
      <c r="J129" s="20"/>
      <c r="K129" s="3"/>
    </row>
    <row r="130" spans="1:11" s="7" customFormat="1">
      <c r="A130" s="3"/>
      <c r="B130" s="20"/>
      <c r="C130" s="22"/>
      <c r="D130" s="484" t="str">
        <f>"FT-"&amp;Commodities!E90</f>
        <v>FT-SUPKER</v>
      </c>
      <c r="E130" s="484" t="str">
        <f>"FT technology - "&amp;Commodities!F90</f>
        <v>FT technology - Supply Kerosene</v>
      </c>
      <c r="F130" s="398" t="s">
        <v>62</v>
      </c>
      <c r="G130" s="18"/>
      <c r="H130" s="20"/>
      <c r="I130" s="20"/>
      <c r="J130" s="20"/>
      <c r="K130" s="3"/>
    </row>
    <row r="131" spans="1:11" s="7" customFormat="1">
      <c r="A131" s="3"/>
      <c r="B131" s="20"/>
      <c r="C131" s="22"/>
      <c r="D131" s="484" t="str">
        <f>"FT-"&amp;Commodities!E91</f>
        <v>FT-SUPDSL</v>
      </c>
      <c r="E131" s="484" t="str">
        <f>"FT technology - "&amp;Commodities!F91</f>
        <v>FT technology - Supply Diesel</v>
      </c>
      <c r="F131" s="398" t="s">
        <v>62</v>
      </c>
      <c r="G131" s="18"/>
      <c r="H131" s="20"/>
      <c r="I131" s="20"/>
      <c r="J131" s="20"/>
      <c r="K131" s="3"/>
    </row>
    <row r="132" spans="1:11" s="7" customFormat="1">
      <c r="A132" s="3"/>
      <c r="B132" s="20"/>
      <c r="C132" s="22"/>
      <c r="D132" s="484" t="str">
        <f>"FT-"&amp;Commodities!E92</f>
        <v>FT-SUPHFO</v>
      </c>
      <c r="E132" s="484" t="str">
        <f>"FT technology - "&amp;Commodities!F92</f>
        <v>FT technology - Supply Heavy Fuel Oil</v>
      </c>
      <c r="F132" s="398" t="s">
        <v>62</v>
      </c>
      <c r="G132" s="18"/>
      <c r="H132" s="20"/>
      <c r="I132" s="20"/>
      <c r="J132" s="20"/>
      <c r="K132" s="3"/>
    </row>
    <row r="133" spans="1:11">
      <c r="D133" s="484" t="str">
        <f>"FT-"&amp;Commodities!E93</f>
        <v>FT-SUPMGO</v>
      </c>
      <c r="E133" s="484" t="str">
        <f>"FT technology - "&amp;Commodities!F93</f>
        <v>FT technology - Supply Marine Gas Oil</v>
      </c>
      <c r="F133" s="398" t="s">
        <v>62</v>
      </c>
      <c r="G133" s="18"/>
      <c r="H133" s="15"/>
      <c r="I133" s="15"/>
      <c r="J133" s="15"/>
    </row>
    <row r="134" spans="1:11">
      <c r="D134" s="484" t="str">
        <f>"FT-"&amp;Commodities!E94</f>
        <v>FT-SUPAGSL</v>
      </c>
      <c r="E134" s="484" t="str">
        <f>"FT technology - "&amp;Commodities!F94</f>
        <v>FT technology - Supply Aviation gasoline</v>
      </c>
      <c r="F134" s="398" t="s">
        <v>62</v>
      </c>
      <c r="G134" s="18"/>
      <c r="H134" s="15"/>
      <c r="I134" s="15"/>
      <c r="J134" s="15"/>
    </row>
    <row r="135" spans="1:11">
      <c r="D135" s="484" t="str">
        <f>"FT-"&amp;Commodities!E95</f>
        <v>FT-SUPWST</v>
      </c>
      <c r="E135" s="484" t="str">
        <f>"FT technology - "&amp;Commodities!F95</f>
        <v>FT technology - Supply Waste</v>
      </c>
      <c r="F135" s="398" t="s">
        <v>62</v>
      </c>
      <c r="G135" s="18"/>
      <c r="H135" s="15"/>
      <c r="I135" s="15"/>
      <c r="J135" s="15"/>
    </row>
    <row r="136" spans="1:11">
      <c r="D136" s="484" t="str">
        <f>"FT-"&amp;Commodities!E96</f>
        <v>FT-SUPSTR</v>
      </c>
      <c r="E136" s="484" t="str">
        <f>"FT technology - "&amp;Commodities!F96</f>
        <v>FT technology - Supply Straw</v>
      </c>
      <c r="F136" s="398" t="s">
        <v>62</v>
      </c>
      <c r="G136" s="18"/>
      <c r="H136" s="15"/>
      <c r="I136" s="15"/>
      <c r="J136" s="15"/>
    </row>
    <row r="137" spans="1:11">
      <c r="D137" s="484" t="str">
        <f>"FT-"&amp;Commodities!E97</f>
        <v>FT-SUPGRS</v>
      </c>
      <c r="E137" s="484" t="str">
        <f>"FT technology - "&amp;Commodities!F97</f>
        <v>FT technology - Supply Grass</v>
      </c>
      <c r="F137" s="398" t="s">
        <v>62</v>
      </c>
      <c r="G137" s="18"/>
      <c r="H137" s="15"/>
      <c r="I137" s="15"/>
      <c r="J137" s="15"/>
    </row>
    <row r="138" spans="1:11">
      <c r="D138" s="484" t="str">
        <f>"FT-"&amp;Commodities!E98</f>
        <v>FT-SUPWPE</v>
      </c>
      <c r="E138" s="484" t="str">
        <f>"FT technology - "&amp;Commodities!F98</f>
        <v>FT technology - Supply Wood pellets</v>
      </c>
      <c r="F138" s="398" t="s">
        <v>62</v>
      </c>
      <c r="G138" s="18"/>
      <c r="H138" s="15"/>
      <c r="I138" s="15"/>
      <c r="J138" s="15"/>
    </row>
    <row r="139" spans="1:11">
      <c r="D139" s="484" t="str">
        <f>"FT-"&amp;Commodities!E99</f>
        <v>FT-SUPWCH</v>
      </c>
      <c r="E139" s="484" t="str">
        <f>"FT technology - "&amp;Commodities!F99</f>
        <v>FT technology - Supply Wood chips and wood waste</v>
      </c>
      <c r="F139" s="398" t="s">
        <v>62</v>
      </c>
      <c r="G139" s="18"/>
      <c r="H139" s="15"/>
      <c r="I139" s="15"/>
      <c r="J139" s="15"/>
    </row>
    <row r="140" spans="1:11">
      <c r="D140" s="484" t="str">
        <f>"FT-"&amp;Commodities!E100</f>
        <v>FT-SUPFIW</v>
      </c>
      <c r="E140" s="484" t="str">
        <f>"FT technology - "&amp;Commodities!F100</f>
        <v>FT technology - Supply Firewood</v>
      </c>
      <c r="F140" s="398" t="s">
        <v>62</v>
      </c>
      <c r="G140" s="18"/>
      <c r="H140" s="15"/>
      <c r="I140" s="15"/>
      <c r="J140" s="15"/>
    </row>
    <row r="141" spans="1:11">
      <c r="D141" s="484" t="str">
        <f>"FT-"&amp;Commodities!E101</f>
        <v>FT-SUPCRN</v>
      </c>
      <c r="E141" s="484" t="str">
        <f>"FT technology - "&amp;Commodities!F101</f>
        <v>FT technology - Supply Corn</v>
      </c>
      <c r="F141" s="398" t="s">
        <v>62</v>
      </c>
      <c r="G141" s="18"/>
      <c r="H141" s="15"/>
      <c r="I141" s="15"/>
      <c r="J141" s="15"/>
    </row>
    <row r="142" spans="1:11">
      <c r="D142" s="484" t="str">
        <f>"FT-"&amp;Commodities!E102</f>
        <v>FT-SUPRPS</v>
      </c>
      <c r="E142" s="484" t="str">
        <f>"FT technology - "&amp;Commodities!F102</f>
        <v>FT technology - Supply Rapeseed</v>
      </c>
      <c r="F142" s="398" t="s">
        <v>62</v>
      </c>
      <c r="G142" s="18"/>
      <c r="H142" s="15"/>
      <c r="I142" s="15"/>
      <c r="J142" s="15"/>
    </row>
    <row r="143" spans="1:11" s="404" customFormat="1">
      <c r="D143" s="484" t="str">
        <f>"FT-"&amp;Commodities!E103</f>
        <v>FT-SUPSGB</v>
      </c>
      <c r="E143" s="484" t="str">
        <f>"FT technology - "&amp;Commodities!F103</f>
        <v>FT technology - Supply Sugar Beet</v>
      </c>
      <c r="F143" s="398" t="s">
        <v>62</v>
      </c>
      <c r="G143" s="18"/>
      <c r="H143" s="481"/>
      <c r="I143" s="481"/>
      <c r="J143" s="481"/>
      <c r="K143" s="1"/>
    </row>
    <row r="144" spans="1:11">
      <c r="D144" s="484" t="str">
        <f>"FT-"&amp;Commodities!E104</f>
        <v>FT-SUPDLI</v>
      </c>
      <c r="E144" s="484" t="str">
        <f>"FT technology - "&amp;Commodities!F104</f>
        <v>FT technology - Supply Deep Litter</v>
      </c>
      <c r="F144" s="398" t="s">
        <v>62</v>
      </c>
      <c r="G144" s="18"/>
      <c r="H144" s="481"/>
      <c r="I144" s="481"/>
      <c r="J144" s="481"/>
      <c r="K144" s="1"/>
    </row>
    <row r="145" spans="1:11">
      <c r="D145" s="484" t="str">
        <f>"FT-"&amp;Commodities!E105</f>
        <v>FT-SUPMNR</v>
      </c>
      <c r="E145" s="484" t="str">
        <f>"FT technology - "&amp;Commodities!F105</f>
        <v>FT technology - Supply Manure (Gylle)</v>
      </c>
      <c r="F145" s="398" t="s">
        <v>62</v>
      </c>
      <c r="G145" s="18"/>
      <c r="H145" s="481"/>
      <c r="I145" s="481"/>
      <c r="J145" s="481"/>
      <c r="K145" s="1"/>
    </row>
    <row r="146" spans="1:11" s="484" customFormat="1">
      <c r="D146" s="484" t="str">
        <f>"FT-"&amp;Commodities!E106</f>
        <v>FT-SUPBGA</v>
      </c>
      <c r="E146" s="484" t="str">
        <f>"FT technology - "&amp;Commodities!F106</f>
        <v>FT technology - Supply Biogas</v>
      </c>
      <c r="F146" s="398" t="s">
        <v>62</v>
      </c>
      <c r="G146" s="398"/>
      <c r="H146" s="481"/>
      <c r="I146" s="481"/>
      <c r="J146" s="481"/>
      <c r="K146" s="1"/>
    </row>
    <row r="147" spans="1:11">
      <c r="D147" s="484" t="str">
        <f>"FT-"&amp;Commodities!E107</f>
        <v>FT-SUPHFB</v>
      </c>
      <c r="E147" s="484" t="str">
        <f>"FT technology - "&amp;Commodities!F107</f>
        <v>FT technology - Supply Heavy Fuel Bio Oil</v>
      </c>
      <c r="F147" s="398" t="s">
        <v>62</v>
      </c>
      <c r="G147" s="18"/>
      <c r="H147" s="481"/>
      <c r="I147" s="481"/>
      <c r="J147" s="481"/>
      <c r="K147" s="1"/>
    </row>
    <row r="148" spans="1:11" s="1" customFormat="1">
      <c r="D148" s="484" t="str">
        <f>"FT-"&amp;Commodities!E108</f>
        <v>FT-SUPDDGS</v>
      </c>
      <c r="E148" s="484" t="str">
        <f>"FT technology - "&amp;Commodities!F108</f>
        <v>FT technology - Supply Ethanol</v>
      </c>
      <c r="F148" s="398" t="s">
        <v>62</v>
      </c>
      <c r="G148" s="18"/>
      <c r="H148" s="481"/>
      <c r="I148" s="481"/>
      <c r="J148" s="481"/>
    </row>
    <row r="149" spans="1:11" s="1" customFormat="1">
      <c r="D149" s="484" t="str">
        <f>"FT-"&amp;Commodities!E109</f>
        <v>FT-SUPH2</v>
      </c>
      <c r="E149" s="484" t="str">
        <f>"FT technology - "&amp;Commodities!F109</f>
        <v>FT technology - Supply Hydrogen</v>
      </c>
      <c r="F149" s="398" t="s">
        <v>62</v>
      </c>
      <c r="G149" s="18"/>
      <c r="H149" s="481"/>
      <c r="I149" s="481"/>
      <c r="J149" s="481"/>
    </row>
    <row r="150" spans="1:11" s="1" customFormat="1">
      <c r="A150" s="3"/>
      <c r="D150" s="484" t="str">
        <f>"FT-"&amp;Commodities!E110</f>
        <v>FT-SUPH2G</v>
      </c>
      <c r="E150" s="484" t="str">
        <f>"FT technology - "&amp;Commodities!F110</f>
        <v>FT technology - Supply Hydrogen Gas</v>
      </c>
      <c r="F150" s="398" t="s">
        <v>62</v>
      </c>
      <c r="G150" s="18"/>
      <c r="H150" s="481"/>
      <c r="I150" s="481"/>
      <c r="J150" s="481"/>
    </row>
    <row r="151" spans="1:11" s="1" customFormat="1">
      <c r="A151" s="3"/>
      <c r="D151" s="484" t="str">
        <f>"FT-"&amp;Commodities!E111</f>
        <v>FT-SUPAMM</v>
      </c>
      <c r="E151" s="484" t="str">
        <f>"FT technology - "&amp;Commodities!F111</f>
        <v>FT technology - Supply Ammonia (Liquid)</v>
      </c>
      <c r="F151" s="398" t="s">
        <v>62</v>
      </c>
      <c r="G151" s="18"/>
      <c r="H151" s="481"/>
      <c r="I151" s="481"/>
      <c r="J151" s="481"/>
    </row>
    <row r="152" spans="1:11" s="1" customFormat="1">
      <c r="A152" s="3"/>
      <c r="D152" s="484" t="str">
        <f>"FT-"&amp;Commodities!E112</f>
        <v>FT-SUPDME</v>
      </c>
      <c r="E152" s="484" t="str">
        <f>"FT technology - "&amp;Commodities!F112</f>
        <v>FT technology - Supply Dimethyl ether</v>
      </c>
      <c r="F152" s="398" t="s">
        <v>62</v>
      </c>
      <c r="G152" s="18"/>
      <c r="H152" s="481"/>
      <c r="I152" s="481"/>
      <c r="J152" s="481"/>
    </row>
    <row r="153" spans="1:11" s="1" customFormat="1">
      <c r="A153" s="3"/>
      <c r="D153" s="484" t="str">
        <f>"FT-"&amp;Commodities!E113</f>
        <v>FT-SUPKRB</v>
      </c>
      <c r="E153" s="484" t="str">
        <f>"FT technology - "&amp;Commodities!F113</f>
        <v>FT technology - Supply Bio Kerosene</v>
      </c>
      <c r="F153" s="398" t="s">
        <v>62</v>
      </c>
      <c r="G153" s="18"/>
      <c r="H153" s="481"/>
      <c r="I153" s="481"/>
      <c r="J153" s="481"/>
    </row>
    <row r="154" spans="1:11" s="1" customFormat="1">
      <c r="A154" s="3"/>
      <c r="D154" s="484" t="str">
        <f>"FT-"&amp;Commodities!E114</f>
        <v>FT-SUPSNG</v>
      </c>
      <c r="E154" s="484" t="str">
        <f>"FT technology - "&amp;Commodities!F114</f>
        <v>FT technology - Supply Bio Synt. Nat. Gas</v>
      </c>
      <c r="F154" s="398" t="s">
        <v>62</v>
      </c>
      <c r="G154" s="18"/>
      <c r="H154" s="481"/>
      <c r="I154" s="481"/>
      <c r="J154" s="481"/>
    </row>
    <row r="155" spans="1:11">
      <c r="D155" s="484" t="str">
        <f>"FT-"&amp;Commodities!E115</f>
        <v>FT-SUPDSB</v>
      </c>
      <c r="E155" s="484" t="str">
        <f>"FT technology - "&amp;Commodities!F115</f>
        <v>FT technology - Supply Biodiesel</v>
      </c>
      <c r="F155" s="398" t="s">
        <v>62</v>
      </c>
      <c r="G155" s="18"/>
      <c r="H155" s="481"/>
      <c r="I155" s="481"/>
      <c r="J155" s="481"/>
      <c r="K155" s="1"/>
    </row>
    <row r="156" spans="1:11">
      <c r="D156" s="484" t="str">
        <f>"FT-"&amp;Commodities!E116</f>
        <v>FT-SUPGSB</v>
      </c>
      <c r="E156" s="484" t="str">
        <f>"FT technology - "&amp;Commodities!F116</f>
        <v>FT technology - Supply Bioethanol</v>
      </c>
      <c r="F156" s="398" t="s">
        <v>62</v>
      </c>
      <c r="G156" s="18"/>
      <c r="H156" s="481"/>
      <c r="I156" s="481"/>
      <c r="J156" s="481"/>
      <c r="K156" s="1"/>
    </row>
    <row r="157" spans="1:11">
      <c r="D157" s="484" t="str">
        <f>"FT-"&amp;Commodities!E117</f>
        <v>FT-SUPMOB</v>
      </c>
      <c r="E157" s="484" t="str">
        <f>"FT technology - "&amp;Commodities!F117</f>
        <v>FT technology - Supply Bio Methanol</v>
      </c>
      <c r="F157" s="398" t="s">
        <v>62</v>
      </c>
      <c r="G157" s="18"/>
      <c r="H157" s="481"/>
      <c r="I157" s="481"/>
      <c r="J157" s="481"/>
      <c r="K157" s="1"/>
    </row>
    <row r="158" spans="1:11">
      <c r="D158" s="588" t="s">
        <v>737</v>
      </c>
      <c r="E158" s="484" t="str">
        <f>"FT technology - "&amp;Commodities!F57</f>
        <v>FT technology - Mining Natural Gas</v>
      </c>
      <c r="F158" s="398" t="s">
        <v>62</v>
      </c>
      <c r="G158" s="18"/>
      <c r="H158" s="19"/>
      <c r="I158" s="19"/>
      <c r="J158" s="19"/>
    </row>
    <row r="159" spans="1:11">
      <c r="B159" s="1048"/>
      <c r="C159" s="1048"/>
      <c r="D159" s="1049" t="s">
        <v>738</v>
      </c>
      <c r="E159" s="1048" t="str">
        <f>"FT technology - "&amp;Commodities!F58</f>
        <v>FT technology - Mining Crude Oil</v>
      </c>
      <c r="F159" s="1050" t="s">
        <v>62</v>
      </c>
      <c r="G159" s="1051"/>
      <c r="H159" s="1052"/>
      <c r="I159" s="1052"/>
      <c r="J159" s="19"/>
    </row>
    <row r="160" spans="1:11" s="602" customFormat="1">
      <c r="B160" s="1"/>
      <c r="C160" s="1"/>
      <c r="D160" s="588" t="s">
        <v>1624</v>
      </c>
      <c r="E160" s="602" t="str">
        <f>E156 &amp;" 2020"</f>
        <v>FT technology - Supply Bioethanol 2020</v>
      </c>
      <c r="F160" s="398" t="s">
        <v>62</v>
      </c>
      <c r="G160" s="18"/>
      <c r="H160" s="481"/>
      <c r="I160" s="481"/>
      <c r="J160" s="481"/>
    </row>
    <row r="161" spans="2:11" s="602" customFormat="1">
      <c r="B161" s="1"/>
      <c r="C161" s="1"/>
      <c r="D161" s="1049" t="s">
        <v>1625</v>
      </c>
      <c r="E161" s="602" t="str">
        <f>E157 &amp;" 2020"</f>
        <v>FT technology - Supply Bio Methanol 2020</v>
      </c>
      <c r="F161" s="1050" t="s">
        <v>62</v>
      </c>
      <c r="G161" s="18"/>
      <c r="H161" s="481"/>
      <c r="I161" s="481"/>
      <c r="J161" s="481"/>
    </row>
    <row r="162" spans="2:11" s="602" customFormat="1">
      <c r="B162" s="1"/>
      <c r="C162" s="1"/>
      <c r="D162" s="588" t="s">
        <v>1634</v>
      </c>
      <c r="E162" s="602" t="str">
        <f>E158 &amp;" Electric"</f>
        <v>FT technology - Mining Natural Gas Electric</v>
      </c>
      <c r="F162" s="398" t="s">
        <v>62</v>
      </c>
      <c r="G162" s="18"/>
      <c r="H162" s="481"/>
      <c r="I162" s="481"/>
      <c r="J162" s="481"/>
    </row>
    <row r="163" spans="2:11" s="602" customFormat="1">
      <c r="B163" s="1"/>
      <c r="C163" s="1"/>
      <c r="D163" s="1049" t="s">
        <v>1635</v>
      </c>
      <c r="E163" s="602" t="str">
        <f>E159 &amp;" Electric"</f>
        <v>FT technology - Mining Crude Oil Electric</v>
      </c>
      <c r="F163" s="1050" t="s">
        <v>62</v>
      </c>
      <c r="G163" s="18"/>
      <c r="H163" s="481"/>
      <c r="I163" s="481"/>
      <c r="J163" s="481"/>
    </row>
    <row r="164" spans="2:11" s="602" customFormat="1">
      <c r="B164" s="1048"/>
      <c r="C164" s="1049" t="str">
        <f>Refineries!C8</f>
        <v>AZ1</v>
      </c>
      <c r="D164" s="1049" t="str">
        <f>Refineries!B8</f>
        <v>SREFAZ1</v>
      </c>
      <c r="E164" s="1049" t="str">
        <f>Refineries!D8</f>
        <v>Refinery Azerbaijan 1</v>
      </c>
      <c r="F164" s="1050" t="s">
        <v>62</v>
      </c>
      <c r="G164" s="1050" t="s">
        <v>1609</v>
      </c>
      <c r="H164" s="1048"/>
      <c r="I164" s="481"/>
      <c r="J164" s="481"/>
    </row>
    <row r="165" spans="2:11" s="602" customFormat="1">
      <c r="B165" s="1" t="s">
        <v>143</v>
      </c>
      <c r="C165" s="1"/>
      <c r="D165" s="402" t="str">
        <f>Distribution!B7</f>
        <v>FT-GRDELCHIGH</v>
      </c>
      <c r="E165" s="402" t="str">
        <f>Distribution!C7</f>
        <v>Power transmission line high voltage</v>
      </c>
      <c r="F165" s="398" t="s">
        <v>62</v>
      </c>
      <c r="G165" s="398" t="s">
        <v>1609</v>
      </c>
      <c r="H165" s="481" t="s">
        <v>1696</v>
      </c>
      <c r="I165" s="481"/>
      <c r="J165" s="481"/>
    </row>
    <row r="166" spans="2:11">
      <c r="D166" s="402" t="str">
        <f>Distribution!B8</f>
        <v>FT-GRDELCMID</v>
      </c>
      <c r="E166" s="402" t="str">
        <f>Distribution!C8</f>
        <v>Power transmission line medium voltage</v>
      </c>
      <c r="F166" s="398" t="s">
        <v>62</v>
      </c>
      <c r="G166" s="398" t="s">
        <v>1609</v>
      </c>
      <c r="H166" s="481" t="s">
        <v>1696</v>
      </c>
      <c r="I166" s="19"/>
      <c r="J166" s="19"/>
    </row>
    <row r="167" spans="2:11">
      <c r="D167" s="402" t="str">
        <f>Distribution!B9</f>
        <v>FT-GRDELCLOW</v>
      </c>
      <c r="E167" s="402" t="str">
        <f>Distribution!C9</f>
        <v>Power transmission line low voltage</v>
      </c>
      <c r="F167" s="398" t="s">
        <v>62</v>
      </c>
      <c r="G167" s="398" t="s">
        <v>1609</v>
      </c>
      <c r="H167" s="481" t="s">
        <v>1696</v>
      </c>
      <c r="I167" s="481"/>
      <c r="J167" s="481"/>
      <c r="K167" s="1"/>
    </row>
    <row r="168" spans="2:11" s="602" customFormat="1">
      <c r="D168" s="402" t="str">
        <f>Distribution!B10</f>
        <v>FT-GRDNGAT</v>
      </c>
      <c r="E168" s="402" t="str">
        <f>Distribution!C10</f>
        <v>Gas distribution grid transmission lines</v>
      </c>
      <c r="F168" s="398" t="s">
        <v>62</v>
      </c>
      <c r="G168" s="398" t="s">
        <v>1609</v>
      </c>
      <c r="H168" s="481"/>
      <c r="I168" s="481"/>
      <c r="J168" s="481"/>
      <c r="K168" s="1"/>
    </row>
    <row r="169" spans="2:11">
      <c r="D169" s="402" t="str">
        <f>Distribution!B11</f>
        <v>FT-GRDNGAD</v>
      </c>
      <c r="E169" s="402" t="str">
        <f>Distribution!C11</f>
        <v>Gas distribution grid distribution lines</v>
      </c>
      <c r="F169" s="398" t="s">
        <v>62</v>
      </c>
      <c r="G169" s="398" t="s">
        <v>1609</v>
      </c>
      <c r="H169" s="481"/>
      <c r="I169" s="481"/>
      <c r="J169" s="481"/>
      <c r="K169" s="1"/>
    </row>
    <row r="170" spans="2:11">
      <c r="D170" s="402" t="str">
        <f>Distribution!B12</f>
        <v>FT-GRDHETUPE</v>
      </c>
      <c r="E170" s="402" t="str">
        <f>Distribution!C12</f>
        <v>District heating distribution grid Urban lines existing</v>
      </c>
      <c r="F170" s="398" t="s">
        <v>62</v>
      </c>
      <c r="G170" s="398" t="s">
        <v>1609</v>
      </c>
      <c r="H170" s="481" t="s">
        <v>1696</v>
      </c>
      <c r="I170" s="481"/>
      <c r="J170" s="481"/>
      <c r="K170" s="1"/>
    </row>
    <row r="171" spans="2:11">
      <c r="D171" s="402" t="str">
        <f>Distribution!B13</f>
        <v>FT-GRDHETSPE</v>
      </c>
      <c r="E171" s="402" t="str">
        <f>Distribution!C13</f>
        <v>District heating distribution grid Suburban lines existing</v>
      </c>
      <c r="F171" s="398" t="s">
        <v>62</v>
      </c>
      <c r="G171" s="398" t="s">
        <v>1609</v>
      </c>
      <c r="H171" s="481" t="s">
        <v>1696</v>
      </c>
      <c r="I171" s="481"/>
      <c r="J171" s="481"/>
      <c r="K171" s="1"/>
    </row>
    <row r="172" spans="2:11">
      <c r="D172" s="402" t="str">
        <f>Distribution!B14</f>
        <v>FT-GRDHETRPE</v>
      </c>
      <c r="E172" s="402" t="str">
        <f>Distribution!C14</f>
        <v>District heating distribution grid Rural lines existing</v>
      </c>
      <c r="F172" s="398" t="s">
        <v>62</v>
      </c>
      <c r="G172" s="398" t="s">
        <v>1609</v>
      </c>
      <c r="H172" s="481" t="s">
        <v>1696</v>
      </c>
      <c r="I172" s="481"/>
      <c r="J172" s="481"/>
      <c r="K172" s="1"/>
    </row>
    <row r="173" spans="2:11">
      <c r="F173" s="1"/>
      <c r="G173" s="18"/>
      <c r="H173" s="481"/>
      <c r="I173" s="481"/>
      <c r="J173" s="481"/>
      <c r="K173" s="1"/>
    </row>
    <row r="174" spans="2:11">
      <c r="F174" s="1"/>
      <c r="G174" s="18"/>
      <c r="H174" s="481"/>
      <c r="I174" s="481"/>
      <c r="J174" s="481"/>
      <c r="K174" s="1"/>
    </row>
    <row r="175" spans="2:11">
      <c r="F175" s="1"/>
      <c r="G175" s="18"/>
      <c r="H175" s="481"/>
      <c r="I175" s="481"/>
      <c r="J175" s="481"/>
      <c r="K175" s="1"/>
    </row>
    <row r="176" spans="2:11">
      <c r="F176" s="1"/>
      <c r="G176" s="18"/>
      <c r="H176" s="481"/>
      <c r="I176" s="481"/>
      <c r="J176" s="481"/>
      <c r="K176" s="1"/>
    </row>
    <row r="177" spans="6:11">
      <c r="F177" s="1"/>
      <c r="G177" s="18"/>
      <c r="H177" s="481"/>
      <c r="I177" s="481"/>
      <c r="J177" s="481"/>
      <c r="K177" s="1"/>
    </row>
    <row r="178" spans="6:11">
      <c r="F178" s="1"/>
      <c r="G178" s="18"/>
      <c r="H178" s="481"/>
      <c r="I178" s="481"/>
      <c r="J178" s="481"/>
      <c r="K178" s="1"/>
    </row>
    <row r="179" spans="6:11">
      <c r="F179" s="1"/>
      <c r="G179" s="481"/>
      <c r="H179" s="481"/>
      <c r="I179" s="481"/>
      <c r="J179" s="481"/>
      <c r="K179" s="1"/>
    </row>
    <row r="180" spans="6:11">
      <c r="F180" s="1"/>
      <c r="G180" s="481"/>
      <c r="H180" s="481"/>
      <c r="I180" s="481"/>
      <c r="J180" s="481"/>
      <c r="K180" s="1"/>
    </row>
    <row r="181" spans="6:11">
      <c r="F181" s="1"/>
      <c r="G181" s="481"/>
      <c r="H181" s="481"/>
      <c r="I181" s="481"/>
      <c r="J181" s="481"/>
      <c r="K181" s="1"/>
    </row>
    <row r="182" spans="6:11">
      <c r="F182" s="1"/>
      <c r="G182" s="481"/>
      <c r="H182" s="481"/>
      <c r="I182" s="481"/>
      <c r="J182" s="481"/>
      <c r="K182" s="1"/>
    </row>
    <row r="183" spans="6:11">
      <c r="F183" s="1"/>
      <c r="G183" s="481"/>
      <c r="H183" s="481"/>
      <c r="I183" s="481"/>
      <c r="J183" s="481"/>
      <c r="K183" s="1"/>
    </row>
    <row r="184" spans="6:11">
      <c r="F184" s="1"/>
      <c r="G184" s="481"/>
      <c r="H184" s="481"/>
      <c r="I184" s="481"/>
      <c r="J184" s="481"/>
      <c r="K184" s="1"/>
    </row>
    <row r="185" spans="6:11">
      <c r="F185" s="1"/>
      <c r="G185" s="481"/>
      <c r="H185" s="481"/>
      <c r="I185" s="481"/>
      <c r="J185" s="481"/>
      <c r="K185" s="1"/>
    </row>
    <row r="186" spans="6:11">
      <c r="F186" s="1"/>
      <c r="G186" s="481"/>
      <c r="H186" s="481"/>
      <c r="I186" s="481"/>
      <c r="J186" s="481"/>
      <c r="K186" s="1"/>
    </row>
    <row r="187" spans="6:11">
      <c r="F187" s="1"/>
      <c r="G187" s="481"/>
      <c r="H187" s="481"/>
      <c r="I187" s="481"/>
      <c r="J187" s="481"/>
      <c r="K187" s="1"/>
    </row>
    <row r="188" spans="6:11">
      <c r="F188" s="1"/>
      <c r="G188" s="481"/>
      <c r="H188" s="481"/>
      <c r="I188" s="481"/>
      <c r="J188" s="481"/>
      <c r="K188" s="1"/>
    </row>
    <row r="189" spans="6:11">
      <c r="F189" s="1"/>
      <c r="G189" s="481"/>
      <c r="H189" s="481"/>
      <c r="I189" s="481"/>
      <c r="J189" s="481"/>
      <c r="K189" s="1"/>
    </row>
    <row r="190" spans="6:11">
      <c r="F190" s="1"/>
      <c r="G190" s="1"/>
      <c r="H190" s="1"/>
      <c r="I190" s="1"/>
      <c r="J190" s="1"/>
      <c r="K190" s="1"/>
    </row>
    <row r="191" spans="6:11">
      <c r="F191" s="1"/>
      <c r="G191" s="1"/>
      <c r="H191" s="1"/>
      <c r="I191" s="1"/>
      <c r="J191" s="1"/>
      <c r="K191" s="1"/>
    </row>
    <row r="192" spans="6:11">
      <c r="F192" s="1"/>
      <c r="G192" s="1"/>
      <c r="H192" s="1"/>
      <c r="I192" s="1"/>
      <c r="J192" s="1"/>
      <c r="K192" s="1"/>
    </row>
    <row r="193" spans="6:11">
      <c r="F193" s="1"/>
      <c r="G193" s="1"/>
      <c r="H193" s="1"/>
      <c r="I193" s="1"/>
      <c r="J193" s="1"/>
      <c r="K193" s="1"/>
    </row>
    <row r="194" spans="6:11">
      <c r="F194" s="1"/>
      <c r="G194" s="1"/>
      <c r="H194" s="1"/>
      <c r="I194" s="1"/>
      <c r="J194" s="1"/>
      <c r="K194" s="1"/>
    </row>
    <row r="195" spans="6:11">
      <c r="F195" s="1"/>
      <c r="G195" s="1"/>
      <c r="H195" s="1"/>
      <c r="I195" s="1"/>
      <c r="J195" s="1"/>
      <c r="K195" s="1"/>
    </row>
    <row r="196" spans="6:11">
      <c r="F196" s="1"/>
      <c r="G196" s="1"/>
      <c r="H196" s="1"/>
      <c r="I196" s="1"/>
      <c r="J196" s="1"/>
      <c r="K196" s="1"/>
    </row>
    <row r="197" spans="6:11">
      <c r="F197" s="1"/>
      <c r="G197" s="1"/>
      <c r="H197" s="1"/>
      <c r="I197" s="1"/>
      <c r="J197" s="1"/>
      <c r="K197" s="1"/>
    </row>
    <row r="198" spans="6:11">
      <c r="F198" s="1"/>
      <c r="G198" s="1"/>
      <c r="H198" s="1"/>
      <c r="I198" s="1"/>
      <c r="J198" s="1"/>
      <c r="K198" s="1"/>
    </row>
    <row r="199" spans="6:11">
      <c r="F199" s="1"/>
      <c r="G199" s="1"/>
      <c r="H199" s="1"/>
      <c r="I199" s="1"/>
      <c r="J199" s="1"/>
      <c r="K199" s="1"/>
    </row>
    <row r="200" spans="6:11">
      <c r="F200" s="1"/>
      <c r="G200" s="1"/>
      <c r="H200" s="1"/>
      <c r="I200" s="1"/>
      <c r="J200" s="1"/>
      <c r="K200" s="1"/>
    </row>
    <row r="201" spans="6:11">
      <c r="F201" s="1"/>
      <c r="G201" s="1"/>
      <c r="H201" s="1"/>
      <c r="I201" s="1"/>
      <c r="J201" s="1"/>
      <c r="K201" s="1"/>
    </row>
    <row r="202" spans="6:11">
      <c r="F202" s="1"/>
      <c r="G202" s="1"/>
      <c r="H202" s="1"/>
      <c r="I202" s="1"/>
      <c r="J202" s="1"/>
      <c r="K202" s="1"/>
    </row>
    <row r="203" spans="6:11">
      <c r="F203" s="1"/>
      <c r="G203" s="1"/>
      <c r="H203" s="1"/>
      <c r="I203" s="1"/>
      <c r="J203" s="1"/>
      <c r="K203" s="1"/>
    </row>
    <row r="204" spans="6:11">
      <c r="F204" s="1"/>
      <c r="G204" s="1"/>
      <c r="H204" s="1"/>
      <c r="I204" s="1"/>
      <c r="J204" s="1"/>
      <c r="K204" s="1"/>
    </row>
    <row r="205" spans="6:11">
      <c r="F205" s="1"/>
      <c r="G205" s="1"/>
      <c r="H205" s="1"/>
      <c r="I205" s="1"/>
      <c r="J205" s="1"/>
      <c r="K205" s="1"/>
    </row>
    <row r="206" spans="6:11">
      <c r="F206" s="1"/>
      <c r="G206" s="1"/>
      <c r="H206" s="1"/>
      <c r="I206" s="1"/>
      <c r="J206" s="1"/>
      <c r="K206" s="1"/>
    </row>
    <row r="207" spans="6:11">
      <c r="F207" s="1"/>
      <c r="G207" s="1"/>
      <c r="H207" s="1"/>
      <c r="I207" s="1"/>
      <c r="J207" s="1"/>
      <c r="K207" s="1"/>
    </row>
    <row r="208" spans="6:11">
      <c r="F208" s="1"/>
      <c r="G208" s="1"/>
      <c r="H208" s="1"/>
      <c r="I208" s="1"/>
      <c r="J208" s="1"/>
      <c r="K208" s="1"/>
    </row>
    <row r="209" spans="6:11">
      <c r="F209" s="1"/>
      <c r="G209" s="1"/>
      <c r="H209" s="1"/>
      <c r="I209" s="1"/>
      <c r="J209" s="1"/>
      <c r="K209" s="1"/>
    </row>
    <row r="210" spans="6:11">
      <c r="F210" s="1"/>
      <c r="G210" s="1"/>
      <c r="H210" s="1"/>
      <c r="I210" s="1"/>
      <c r="J210" s="1"/>
      <c r="K210" s="1"/>
    </row>
    <row r="211" spans="6:11">
      <c r="F211" s="1"/>
      <c r="G211" s="1"/>
      <c r="H211" s="1"/>
      <c r="I211" s="1"/>
      <c r="J211" s="1"/>
      <c r="K211" s="1"/>
    </row>
  </sheetData>
  <phoneticPr fontId="3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tabSelected="1" zoomScale="70" zoomScaleNormal="70" workbookViewId="0">
      <pane xSplit="2" ySplit="6" topLeftCell="Z59" activePane="bottomRight" state="frozen"/>
      <selection pane="topRight" activeCell="C1" sqref="C1"/>
      <selection pane="bottomLeft" activeCell="A6" sqref="A6"/>
      <selection pane="bottomRight" activeCell="BH6" sqref="BH6"/>
    </sheetView>
  </sheetViews>
  <sheetFormatPr defaultColWidth="8.5546875" defaultRowHeight="13.2"/>
  <cols>
    <col min="1" max="1" width="3.44140625" style="484" customWidth="1"/>
    <col min="2" max="2" width="14.109375" style="484" customWidth="1"/>
    <col min="3" max="3" width="42.5546875" style="484" customWidth="1"/>
    <col min="4" max="4" width="37.109375" style="484" bestFit="1" customWidth="1"/>
    <col min="5" max="5" width="22.554687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546875" style="602"/>
    <col min="77" max="77" width="8.5546875" style="484"/>
    <col min="78" max="78" width="8.5546875" style="484" customWidth="1"/>
    <col min="79" max="16384" width="8.554687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1646</v>
      </c>
      <c r="AX5" s="594" t="s">
        <v>1647</v>
      </c>
      <c r="AY5" s="594" t="s">
        <v>1796</v>
      </c>
      <c r="AZ5" s="594" t="s">
        <v>1928</v>
      </c>
      <c r="BA5" s="594" t="s">
        <v>1667</v>
      </c>
      <c r="BB5" s="594" t="s">
        <v>1668</v>
      </c>
      <c r="BC5" s="594" t="s">
        <v>1797</v>
      </c>
      <c r="BD5" s="594" t="s">
        <v>1929</v>
      </c>
      <c r="BE5" s="594" t="s">
        <v>1669</v>
      </c>
      <c r="BF5" s="594" t="s">
        <v>1670</v>
      </c>
      <c r="BG5" s="594" t="s">
        <v>1798</v>
      </c>
      <c r="BH5" s="594" t="s">
        <v>1930</v>
      </c>
      <c r="BI5" s="1137"/>
      <c r="BJ5" s="1177"/>
      <c r="BK5" s="1177"/>
      <c r="BL5" s="1177"/>
      <c r="BM5" s="1177"/>
      <c r="BN5" s="1177"/>
      <c r="BO5" s="1177"/>
      <c r="BP5" s="1177"/>
      <c r="BQ5" s="1177"/>
      <c r="BR5" s="1177"/>
      <c r="BS5" s="1177"/>
      <c r="BT5" s="1177"/>
      <c r="BU5" s="1177"/>
      <c r="BV5" s="1177"/>
      <c r="BW5" s="1177"/>
      <c r="BX5" s="1177"/>
      <c r="BY5" s="1177"/>
      <c r="BZ5" s="1177"/>
      <c r="CA5" s="1177"/>
      <c r="CB5" s="1177"/>
      <c r="CC5" s="1177"/>
      <c r="CD5" s="1177"/>
      <c r="CE5" s="1177"/>
      <c r="CF5" s="1177"/>
      <c r="CG5" s="1177"/>
      <c r="CH5" s="1177"/>
      <c r="CI5" s="1177"/>
      <c r="CJ5" s="1177"/>
      <c r="CK5" s="1177"/>
      <c r="CL5" s="1177"/>
      <c r="CM5" s="1177"/>
      <c r="CN5" s="1177"/>
      <c r="CO5" s="1177"/>
      <c r="CP5" s="1177"/>
      <c r="CQ5" s="1177"/>
      <c r="CR5" s="1177"/>
      <c r="CS5" s="1177"/>
      <c r="CT5" s="1177"/>
      <c r="CU5" s="1177"/>
      <c r="CV5" s="1177"/>
      <c r="CW5" s="1177"/>
      <c r="CX5" s="1177"/>
    </row>
    <row r="6" spans="2:102"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8"/>
      <c r="BJ6" s="1178"/>
      <c r="BK6" s="1178"/>
      <c r="BL6" s="1178"/>
      <c r="BM6" s="1178"/>
      <c r="BN6" s="1178"/>
      <c r="BO6" s="1178"/>
      <c r="BP6" s="1178"/>
      <c r="BQ6" s="1178"/>
      <c r="BR6" s="1178"/>
      <c r="BS6" s="1178"/>
      <c r="BT6" s="1178"/>
      <c r="BU6" s="1178"/>
      <c r="BV6" s="1178"/>
      <c r="BW6" s="1178"/>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Processes!D60</f>
        <v>MINWST</v>
      </c>
      <c r="C57" s="8" t="str">
        <f>Processes!E60</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Processes!D61</f>
        <v>MINSTR</v>
      </c>
      <c r="C58" s="8" t="str">
        <f>Processes!E61</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Processes!D62</f>
        <v>MINGRS</v>
      </c>
      <c r="C59" s="8" t="str">
        <f>Processes!E62</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Processes!D63</f>
        <v>MINWPE</v>
      </c>
      <c r="C60" s="8" t="str">
        <f>Processes!E63</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Processes!D64</f>
        <v>MINWCH</v>
      </c>
      <c r="C61" s="8" t="str">
        <f>Processes!E64</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Processes!D65</f>
        <v>MINFIW</v>
      </c>
      <c r="C62" s="8" t="str">
        <f>Processes!E65</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Processes!D66</f>
        <v>MINCRN</v>
      </c>
      <c r="C63" s="8" t="str">
        <f>Processes!E66</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4">
      <c r="B64" s="8" t="str">
        <f>Processes!D67</f>
        <v>MINRPS</v>
      </c>
      <c r="C64" s="8" t="str">
        <f>Processes!E67</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4">
      <c r="B65" s="8" t="str">
        <f>Processes!D68</f>
        <v>MINSGB</v>
      </c>
      <c r="C65" s="8" t="str">
        <f>Processes!E68</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4">
      <c r="B66" s="8" t="str">
        <f>Processes!D69</f>
        <v>MINDLI</v>
      </c>
      <c r="C66" s="8" t="str">
        <f>Processes!E69</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4">
      <c r="B67" s="8" t="str">
        <f>Processes!D70</f>
        <v>MINMNR</v>
      </c>
      <c r="C67" s="8" t="str">
        <f>Processes!E70</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4">
      <c r="B68" s="8" t="str">
        <f>Processes!D71</f>
        <v>MINNGA</v>
      </c>
      <c r="C68" s="8" t="str">
        <f>Processes!E71</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4">
      <c r="B69" s="8" t="str">
        <f>Processes!D72</f>
        <v>MINCRD</v>
      </c>
      <c r="C69" s="8" t="str">
        <f>Processes!E72</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4">
      <c r="B70" s="8" t="str">
        <f>Processes!D73</f>
        <v>MINWIN</v>
      </c>
      <c r="C70" s="8" t="str">
        <f>Processes!E73</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4">
      <c r="B71" s="8" t="str">
        <f>Processes!D74</f>
        <v>MINHYD</v>
      </c>
      <c r="C71" s="8" t="str">
        <f>Processes!E74</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4">
      <c r="B72" s="8" t="str">
        <f>Processes!D75</f>
        <v>MINSOL</v>
      </c>
      <c r="C72" s="8" t="str">
        <f>Processes!E75</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4">
      <c r="B73" s="8" t="str">
        <f>Processes!D76</f>
        <v>MINGEO</v>
      </c>
      <c r="C73" s="8" t="str">
        <f>Processes!E76</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4">
      <c r="B74" s="8" t="str">
        <f>Processes!D77</f>
        <v>MINWAV</v>
      </c>
      <c r="C74" s="8" t="str">
        <f>Processes!E77</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4">
      <c r="B75" s="560" t="str">
        <f>Processes!D78</f>
        <v>MINMOV</v>
      </c>
      <c r="C75" s="560" t="str">
        <f>Processes!E78</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4">
      <c r="B76" s="8" t="str">
        <f>Processes!D79</f>
        <v>EXPCOA</v>
      </c>
      <c r="C76" s="8" t="str">
        <f>Processes!E79</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4">
      <c r="B77" s="8" t="str">
        <f>Processes!D80</f>
        <v>EXPNGA</v>
      </c>
      <c r="C77" s="8" t="str">
        <f>Processes!E80</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4">
      <c r="B78" s="8" t="str">
        <f>Processes!D81</f>
        <v>EXPCRD</v>
      </c>
      <c r="C78" s="8" t="str">
        <f>Processes!E81</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4">
      <c r="B79" s="8" t="str">
        <f>Processes!D82</f>
        <v>EXPLPG</v>
      </c>
      <c r="C79" s="8" t="str">
        <f>Processes!E82</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4">
      <c r="B80" s="8" t="str">
        <f>Processes!D83</f>
        <v>EXPLVN</v>
      </c>
      <c r="C80" s="8" t="str">
        <f>Processes!E83</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4">
      <c r="B81" s="8" t="str">
        <f>Processes!D84</f>
        <v>EXPGSL</v>
      </c>
      <c r="C81" s="8" t="str">
        <f>Processes!E84</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4">
      <c r="B82" s="8" t="str">
        <f>Processes!D85</f>
        <v>EXPKER</v>
      </c>
      <c r="C82" s="8" t="str">
        <f>Processes!E85</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4">
      <c r="B83" s="8" t="str">
        <f>Processes!D86</f>
        <v>EXPDSL</v>
      </c>
      <c r="C83" s="8" t="str">
        <f>Processes!E86</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4">
      <c r="B84" s="8" t="str">
        <f>Processes!D87</f>
        <v>EXPHFO</v>
      </c>
      <c r="C84" s="8" t="str">
        <f>Processes!E87</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4">
      <c r="B85" s="8" t="str">
        <f>Processes!D88</f>
        <v>EXPMGO</v>
      </c>
      <c r="C85" s="8" t="str">
        <f>Processes!E88</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4">
      <c r="B86" s="8" t="str">
        <f>Processes!D89</f>
        <v>EXPAGSL</v>
      </c>
      <c r="C86" s="8" t="str">
        <f>Processes!E89</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4">
      <c r="B87" s="8" t="str">
        <f>Processes!D90</f>
        <v>EXPBGA</v>
      </c>
      <c r="C87" s="8" t="str">
        <f>Processes!E90</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4">
      <c r="B88" s="8" t="str">
        <f>Processes!D91</f>
        <v>EXPHFB</v>
      </c>
      <c r="C88" s="8" t="str">
        <f>Processes!E91</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4">
      <c r="B89" s="8" t="str">
        <f>Processes!D92</f>
        <v>EXPDDGS</v>
      </c>
      <c r="C89" s="8" t="str">
        <f>Processes!E92</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4">
      <c r="B90" s="8" t="str">
        <f>Processes!D93</f>
        <v>EXPH2</v>
      </c>
      <c r="C90" s="8" t="str">
        <f>Processes!E93</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4">
      <c r="B91" s="8" t="str">
        <f>Processes!D94</f>
        <v>EXPH2G</v>
      </c>
      <c r="C91" s="8" t="str">
        <f>Processes!E94</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4">
      <c r="B92" s="8" t="str">
        <f>Processes!D95</f>
        <v>EXPAMM</v>
      </c>
      <c r="C92" s="8" t="str">
        <f>Processes!E95</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4">
      <c r="B93" s="8" t="str">
        <f>Processes!D96</f>
        <v>EXPDME</v>
      </c>
      <c r="C93" s="8" t="str">
        <f>Processes!E96</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4">
      <c r="B94" s="8" t="str">
        <f>Processes!D97</f>
        <v>EXPKRB1</v>
      </c>
      <c r="C94" s="8" t="str">
        <f>Processes!E97</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4">
      <c r="B95" s="8" t="str">
        <f>Processes!D98</f>
        <v>EXPKRB2</v>
      </c>
      <c r="C95" s="8" t="str">
        <f>Processes!E98</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4">
      <c r="B96" s="8" t="str">
        <f>Processes!D99</f>
        <v>EXPKRE</v>
      </c>
      <c r="C96" s="8" t="str">
        <f>Processes!E99</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4">
      <c r="B97" s="8" t="str">
        <f>Processes!D100</f>
        <v>EXPSNG1</v>
      </c>
      <c r="C97" s="8" t="str">
        <f>Processes!E100</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4">
      <c r="B98" s="8" t="str">
        <f>Processes!D101</f>
        <v>EXPSNG2</v>
      </c>
      <c r="C98" s="8" t="str">
        <f>Processes!E101</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4">
      <c r="B99" s="8" t="str">
        <f>Processes!D102</f>
        <v>EXPSNE</v>
      </c>
      <c r="C99" s="8" t="str">
        <f>Processes!E102</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4">
      <c r="B100" s="8" t="str">
        <f>Processes!D103</f>
        <v>EXPDSB1</v>
      </c>
      <c r="C100" s="8" t="str">
        <f>Processes!E103</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4">
      <c r="B101" s="8" t="str">
        <f>Processes!D104</f>
        <v>EXPDSB2</v>
      </c>
      <c r="C101" s="8" t="str">
        <f>Processes!E104</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4">
      <c r="B102" s="8" t="str">
        <f>Processes!D105</f>
        <v>EXPDSE</v>
      </c>
      <c r="C102" s="8" t="str">
        <f>Processes!E105</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4">
      <c r="B103" s="8" t="str">
        <f>Processes!D106</f>
        <v>EXPGSB1</v>
      </c>
      <c r="C103" s="8" t="str">
        <f>Processes!E106</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4">
      <c r="B104" s="8" t="str">
        <f>Processes!D107</f>
        <v>EXPGSB2</v>
      </c>
      <c r="C104" s="8" t="str">
        <f>Processes!E107</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4">
      <c r="B105" s="8" t="str">
        <f>Processes!D108</f>
        <v>EXPGSE</v>
      </c>
      <c r="C105" s="8" t="str">
        <f>Processes!E108</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4">
      <c r="B106" s="8" t="str">
        <f>Processes!D109</f>
        <v>EXPMOB1</v>
      </c>
      <c r="C106" s="8" t="str">
        <f>Processes!E109</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4">
      <c r="B107" s="8" t="str">
        <f>Processes!D110</f>
        <v>EXPMOB2</v>
      </c>
      <c r="C107" s="8" t="str">
        <f>Processes!E110</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4">
      <c r="B108" s="8" t="str">
        <f>Processes!D111</f>
        <v>EXPMOE</v>
      </c>
      <c r="C108" s="8" t="str">
        <f>Processes!E111</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4">
      <c r="B109" s="8" t="str">
        <f>Processes!D112</f>
        <v>EXPLNB</v>
      </c>
      <c r="C109" s="8" t="str">
        <f>Processes!E112</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4">
      <c r="B110" s="8" t="str">
        <f>Processes!D113</f>
        <v>EXPGLY</v>
      </c>
      <c r="C110" s="8" t="str">
        <f>Processes!E113</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4">
      <c r="B111" s="8" t="str">
        <f>Processes!D114</f>
        <v>EXPRPC</v>
      </c>
      <c r="C111" s="8" t="str">
        <f>Processes!E114</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4">
      <c r="B112" s="8" t="str">
        <f>Processes!D115</f>
        <v>EXPSGP</v>
      </c>
      <c r="C112" s="8" t="str">
        <f>Processes!E115</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4">
      <c r="B113" s="8" t="str">
        <f>Processes!D116</f>
        <v>EXPOTH</v>
      </c>
      <c r="C113" s="8" t="str">
        <f>Processes!E116</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4">
      <c r="B114" s="8"/>
      <c r="C114" s="8"/>
      <c r="D114" s="216"/>
      <c r="F114" s="100"/>
      <c r="G114" s="483"/>
      <c r="H114" s="483"/>
      <c r="I114" s="483"/>
      <c r="J114" s="483"/>
      <c r="K114" s="483"/>
      <c r="L114" s="483"/>
      <c r="M114" s="483"/>
      <c r="N114" s="483"/>
      <c r="O114" s="483"/>
      <c r="P114" s="483"/>
      <c r="Q114" s="483"/>
      <c r="R114" s="483"/>
      <c r="S114" s="483"/>
      <c r="T114" s="483"/>
      <c r="U114" s="483"/>
    </row>
    <row r="115" spans="2:60" ht="14.4">
      <c r="B115" s="8"/>
      <c r="C115" s="8"/>
      <c r="D115" s="216"/>
      <c r="F115" s="100"/>
      <c r="G115" s="483"/>
      <c r="H115" s="483"/>
      <c r="I115" s="483"/>
      <c r="J115" s="483"/>
      <c r="K115" s="483"/>
      <c r="L115" s="483"/>
      <c r="M115" s="483"/>
      <c r="N115" s="483"/>
      <c r="O115" s="483"/>
      <c r="P115" s="483"/>
      <c r="Q115" s="483"/>
      <c r="R115" s="483"/>
      <c r="S115" s="483"/>
      <c r="T115" s="483"/>
      <c r="U115" s="483"/>
    </row>
    <row r="116" spans="2:60" ht="14.4">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268" t="s">
        <v>838</v>
      </c>
      <c r="D117" s="1268"/>
      <c r="E117" s="1268"/>
      <c r="F117" s="1268"/>
      <c r="G117" s="1268"/>
      <c r="H117" s="1268"/>
      <c r="I117" s="1268"/>
      <c r="J117" s="1268"/>
      <c r="K117" s="1268"/>
      <c r="L117" s="1268"/>
    </row>
    <row r="118" spans="2:60">
      <c r="B118" s="8"/>
      <c r="C118" s="1268"/>
      <c r="D118" s="1268"/>
      <c r="E118" s="1268"/>
      <c r="F118" s="1268"/>
      <c r="G118" s="1268"/>
      <c r="H118" s="1268"/>
      <c r="I118" s="1268"/>
      <c r="J118" s="1268"/>
      <c r="K118" s="1268"/>
      <c r="L118" s="1268"/>
    </row>
    <row r="119" spans="2:60" s="602" customFormat="1" ht="20.399999999999999">
      <c r="B119" s="8"/>
      <c r="C119" s="1076"/>
      <c r="D119" s="1076"/>
      <c r="E119" s="1076"/>
      <c r="F119" s="1076"/>
      <c r="G119" s="1076"/>
      <c r="H119" s="1076"/>
      <c r="I119" s="1076"/>
      <c r="J119" s="1076"/>
      <c r="K119" s="1076"/>
      <c r="L119" s="1076"/>
    </row>
    <row r="120" spans="2:60">
      <c r="B120" s="8"/>
      <c r="C120" s="8"/>
      <c r="D120" s="216"/>
      <c r="E120" s="397"/>
      <c r="F120" s="100"/>
    </row>
    <row r="121" spans="2:60"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1924</v>
      </c>
      <c r="D188" s="588" t="str">
        <f>E188*100&amp;"% of imported biomass"</f>
        <v>95% of imported biomass</v>
      </c>
      <c r="E188" s="1259">
        <v>0.95</v>
      </c>
      <c r="F188" s="557"/>
      <c r="G188" s="557" t="s">
        <v>605</v>
      </c>
      <c r="H188" s="588"/>
      <c r="I188" s="210"/>
    </row>
    <row r="189" spans="2:53">
      <c r="B189" s="602"/>
      <c r="C189" s="219" t="s">
        <v>326</v>
      </c>
      <c r="D189" s="588" t="str">
        <f>E189*100&amp;"% of imported crude oil cost"</f>
        <v>50% of imported crude oil cost</v>
      </c>
      <c r="E189" s="1259">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59">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63" t="s">
        <v>827</v>
      </c>
      <c r="D255" s="1265" t="s">
        <v>828</v>
      </c>
      <c r="E255" s="1266"/>
      <c r="F255" s="1266"/>
      <c r="G255" s="1266"/>
      <c r="H255" s="1266"/>
      <c r="I255" s="1266"/>
      <c r="J255" s="1266"/>
      <c r="K255" s="1266"/>
      <c r="L255" s="1266"/>
      <c r="M255" s="1266"/>
      <c r="N255" s="126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6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7"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5546875" defaultRowHeight="14.4"/>
  <cols>
    <col min="1" max="1" width="1.5546875" style="393" customWidth="1"/>
    <col min="2" max="2" width="8.554687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5546875" style="393" bestFit="1" customWidth="1"/>
    <col min="259" max="259" width="13.44140625" style="393" bestFit="1" customWidth="1"/>
    <col min="260" max="260" width="5.109375" style="393" bestFit="1" customWidth="1"/>
    <col min="261" max="262" width="10.5546875" style="393" customWidth="1"/>
    <col min="263" max="302" width="9.44140625" style="393" bestFit="1" customWidth="1"/>
    <col min="303" max="512" width="9.109375" style="393"/>
    <col min="513" max="513" width="10.109375" style="393" bestFit="1" customWidth="1"/>
    <col min="514" max="514" width="8.5546875" style="393" bestFit="1" customWidth="1"/>
    <col min="515" max="515" width="13.44140625" style="393" bestFit="1" customWidth="1"/>
    <col min="516" max="516" width="5.109375" style="393" bestFit="1" customWidth="1"/>
    <col min="517" max="518" width="10.5546875" style="393" customWidth="1"/>
    <col min="519" max="558" width="9.44140625" style="393" bestFit="1" customWidth="1"/>
    <col min="559" max="768" width="9.109375" style="393"/>
    <col min="769" max="769" width="10.109375" style="393" bestFit="1" customWidth="1"/>
    <col min="770" max="770" width="8.5546875" style="393" bestFit="1" customWidth="1"/>
    <col min="771" max="771" width="13.44140625" style="393" bestFit="1" customWidth="1"/>
    <col min="772" max="772" width="5.109375" style="393" bestFit="1" customWidth="1"/>
    <col min="773" max="774" width="10.5546875" style="393" customWidth="1"/>
    <col min="775" max="814" width="9.44140625" style="393" bestFit="1" customWidth="1"/>
    <col min="815" max="1024" width="9.109375" style="393"/>
    <col min="1025" max="1025" width="10.109375" style="393" bestFit="1" customWidth="1"/>
    <col min="1026" max="1026" width="8.5546875" style="393" bestFit="1" customWidth="1"/>
    <col min="1027" max="1027" width="13.44140625" style="393" bestFit="1" customWidth="1"/>
    <col min="1028" max="1028" width="5.109375" style="393" bestFit="1" customWidth="1"/>
    <col min="1029" max="1030" width="10.5546875" style="393" customWidth="1"/>
    <col min="1031" max="1070" width="9.44140625" style="393" bestFit="1" customWidth="1"/>
    <col min="1071" max="1280" width="9.109375" style="393"/>
    <col min="1281" max="1281" width="10.109375" style="393" bestFit="1" customWidth="1"/>
    <col min="1282" max="1282" width="8.5546875" style="393" bestFit="1" customWidth="1"/>
    <col min="1283" max="1283" width="13.44140625" style="393" bestFit="1" customWidth="1"/>
    <col min="1284" max="1284" width="5.109375" style="393" bestFit="1" customWidth="1"/>
    <col min="1285" max="1286" width="10.5546875" style="393" customWidth="1"/>
    <col min="1287" max="1326" width="9.44140625" style="393" bestFit="1" customWidth="1"/>
    <col min="1327" max="1536" width="9.109375" style="393"/>
    <col min="1537" max="1537" width="10.109375" style="393" bestFit="1" customWidth="1"/>
    <col min="1538" max="1538" width="8.5546875" style="393" bestFit="1" customWidth="1"/>
    <col min="1539" max="1539" width="13.44140625" style="393" bestFit="1" customWidth="1"/>
    <col min="1540" max="1540" width="5.109375" style="393" bestFit="1" customWidth="1"/>
    <col min="1541" max="1542" width="10.5546875" style="393" customWidth="1"/>
    <col min="1543" max="1582" width="9.44140625" style="393" bestFit="1" customWidth="1"/>
    <col min="1583" max="1792" width="9.109375" style="393"/>
    <col min="1793" max="1793" width="10.109375" style="393" bestFit="1" customWidth="1"/>
    <col min="1794" max="1794" width="8.5546875" style="393" bestFit="1" customWidth="1"/>
    <col min="1795" max="1795" width="13.44140625" style="393" bestFit="1" customWidth="1"/>
    <col min="1796" max="1796" width="5.109375" style="393" bestFit="1" customWidth="1"/>
    <col min="1797" max="1798" width="10.5546875" style="393" customWidth="1"/>
    <col min="1799" max="1838" width="9.44140625" style="393" bestFit="1" customWidth="1"/>
    <col min="1839" max="2048" width="9.109375" style="393"/>
    <col min="2049" max="2049" width="10.109375" style="393" bestFit="1" customWidth="1"/>
    <col min="2050" max="2050" width="8.5546875" style="393" bestFit="1" customWidth="1"/>
    <col min="2051" max="2051" width="13.44140625" style="393" bestFit="1" customWidth="1"/>
    <col min="2052" max="2052" width="5.109375" style="393" bestFit="1" customWidth="1"/>
    <col min="2053" max="2054" width="10.5546875" style="393" customWidth="1"/>
    <col min="2055" max="2094" width="9.44140625" style="393" bestFit="1" customWidth="1"/>
    <col min="2095" max="2304" width="9.109375" style="393"/>
    <col min="2305" max="2305" width="10.109375" style="393" bestFit="1" customWidth="1"/>
    <col min="2306" max="2306" width="8.5546875" style="393" bestFit="1" customWidth="1"/>
    <col min="2307" max="2307" width="13.44140625" style="393" bestFit="1" customWidth="1"/>
    <col min="2308" max="2308" width="5.109375" style="393" bestFit="1" customWidth="1"/>
    <col min="2309" max="2310" width="10.5546875" style="393" customWidth="1"/>
    <col min="2311" max="2350" width="9.44140625" style="393" bestFit="1" customWidth="1"/>
    <col min="2351" max="2560" width="9.109375" style="393"/>
    <col min="2561" max="2561" width="10.109375" style="393" bestFit="1" customWidth="1"/>
    <col min="2562" max="2562" width="8.5546875" style="393" bestFit="1" customWidth="1"/>
    <col min="2563" max="2563" width="13.44140625" style="393" bestFit="1" customWidth="1"/>
    <col min="2564" max="2564" width="5.109375" style="393" bestFit="1" customWidth="1"/>
    <col min="2565" max="2566" width="10.5546875" style="393" customWidth="1"/>
    <col min="2567" max="2606" width="9.44140625" style="393" bestFit="1" customWidth="1"/>
    <col min="2607" max="2816" width="9.109375" style="393"/>
    <col min="2817" max="2817" width="10.109375" style="393" bestFit="1" customWidth="1"/>
    <col min="2818" max="2818" width="8.5546875" style="393" bestFit="1" customWidth="1"/>
    <col min="2819" max="2819" width="13.44140625" style="393" bestFit="1" customWidth="1"/>
    <col min="2820" max="2820" width="5.109375" style="393" bestFit="1" customWidth="1"/>
    <col min="2821" max="2822" width="10.5546875" style="393" customWidth="1"/>
    <col min="2823" max="2862" width="9.44140625" style="393" bestFit="1" customWidth="1"/>
    <col min="2863" max="3072" width="9.109375" style="393"/>
    <col min="3073" max="3073" width="10.109375" style="393" bestFit="1" customWidth="1"/>
    <col min="3074" max="3074" width="8.5546875" style="393" bestFit="1" customWidth="1"/>
    <col min="3075" max="3075" width="13.44140625" style="393" bestFit="1" customWidth="1"/>
    <col min="3076" max="3076" width="5.109375" style="393" bestFit="1" customWidth="1"/>
    <col min="3077" max="3078" width="10.5546875" style="393" customWidth="1"/>
    <col min="3079" max="3118" width="9.44140625" style="393" bestFit="1" customWidth="1"/>
    <col min="3119" max="3328" width="9.109375" style="393"/>
    <col min="3329" max="3329" width="10.109375" style="393" bestFit="1" customWidth="1"/>
    <col min="3330" max="3330" width="8.5546875" style="393" bestFit="1" customWidth="1"/>
    <col min="3331" max="3331" width="13.44140625" style="393" bestFit="1" customWidth="1"/>
    <col min="3332" max="3332" width="5.109375" style="393" bestFit="1" customWidth="1"/>
    <col min="3333" max="3334" width="10.5546875" style="393" customWidth="1"/>
    <col min="3335" max="3374" width="9.44140625" style="393" bestFit="1" customWidth="1"/>
    <col min="3375" max="3584" width="9.109375" style="393"/>
    <col min="3585" max="3585" width="10.109375" style="393" bestFit="1" customWidth="1"/>
    <col min="3586" max="3586" width="8.5546875" style="393" bestFit="1" customWidth="1"/>
    <col min="3587" max="3587" width="13.44140625" style="393" bestFit="1" customWidth="1"/>
    <col min="3588" max="3588" width="5.109375" style="393" bestFit="1" customWidth="1"/>
    <col min="3589" max="3590" width="10.5546875" style="393" customWidth="1"/>
    <col min="3591" max="3630" width="9.44140625" style="393" bestFit="1" customWidth="1"/>
    <col min="3631" max="3840" width="9.109375" style="393"/>
    <col min="3841" max="3841" width="10.109375" style="393" bestFit="1" customWidth="1"/>
    <col min="3842" max="3842" width="8.5546875" style="393" bestFit="1" customWidth="1"/>
    <col min="3843" max="3843" width="13.44140625" style="393" bestFit="1" customWidth="1"/>
    <col min="3844" max="3844" width="5.109375" style="393" bestFit="1" customWidth="1"/>
    <col min="3845" max="3846" width="10.5546875" style="393" customWidth="1"/>
    <col min="3847" max="3886" width="9.44140625" style="393" bestFit="1" customWidth="1"/>
    <col min="3887" max="4096" width="9.109375" style="393"/>
    <col min="4097" max="4097" width="10.109375" style="393" bestFit="1" customWidth="1"/>
    <col min="4098" max="4098" width="8.5546875" style="393" bestFit="1" customWidth="1"/>
    <col min="4099" max="4099" width="13.44140625" style="393" bestFit="1" customWidth="1"/>
    <col min="4100" max="4100" width="5.109375" style="393" bestFit="1" customWidth="1"/>
    <col min="4101" max="4102" width="10.5546875" style="393" customWidth="1"/>
    <col min="4103" max="4142" width="9.44140625" style="393" bestFit="1" customWidth="1"/>
    <col min="4143" max="4352" width="9.109375" style="393"/>
    <col min="4353" max="4353" width="10.109375" style="393" bestFit="1" customWidth="1"/>
    <col min="4354" max="4354" width="8.5546875" style="393" bestFit="1" customWidth="1"/>
    <col min="4355" max="4355" width="13.44140625" style="393" bestFit="1" customWidth="1"/>
    <col min="4356" max="4356" width="5.109375" style="393" bestFit="1" customWidth="1"/>
    <col min="4357" max="4358" width="10.5546875" style="393" customWidth="1"/>
    <col min="4359" max="4398" width="9.44140625" style="393" bestFit="1" customWidth="1"/>
    <col min="4399" max="4608" width="9.109375" style="393"/>
    <col min="4609" max="4609" width="10.109375" style="393" bestFit="1" customWidth="1"/>
    <col min="4610" max="4610" width="8.5546875" style="393" bestFit="1" customWidth="1"/>
    <col min="4611" max="4611" width="13.44140625" style="393" bestFit="1" customWidth="1"/>
    <col min="4612" max="4612" width="5.109375" style="393" bestFit="1" customWidth="1"/>
    <col min="4613" max="4614" width="10.5546875" style="393" customWidth="1"/>
    <col min="4615" max="4654" width="9.44140625" style="393" bestFit="1" customWidth="1"/>
    <col min="4655" max="4864" width="9.109375" style="393"/>
    <col min="4865" max="4865" width="10.109375" style="393" bestFit="1" customWidth="1"/>
    <col min="4866" max="4866" width="8.5546875" style="393" bestFit="1" customWidth="1"/>
    <col min="4867" max="4867" width="13.44140625" style="393" bestFit="1" customWidth="1"/>
    <col min="4868" max="4868" width="5.109375" style="393" bestFit="1" customWidth="1"/>
    <col min="4869" max="4870" width="10.5546875" style="393" customWidth="1"/>
    <col min="4871" max="4910" width="9.44140625" style="393" bestFit="1" customWidth="1"/>
    <col min="4911" max="5120" width="9.109375" style="393"/>
    <col min="5121" max="5121" width="10.109375" style="393" bestFit="1" customWidth="1"/>
    <col min="5122" max="5122" width="8.5546875" style="393" bestFit="1" customWidth="1"/>
    <col min="5123" max="5123" width="13.44140625" style="393" bestFit="1" customWidth="1"/>
    <col min="5124" max="5124" width="5.109375" style="393" bestFit="1" customWidth="1"/>
    <col min="5125" max="5126" width="10.5546875" style="393" customWidth="1"/>
    <col min="5127" max="5166" width="9.44140625" style="393" bestFit="1" customWidth="1"/>
    <col min="5167" max="5376" width="9.109375" style="393"/>
    <col min="5377" max="5377" width="10.109375" style="393" bestFit="1" customWidth="1"/>
    <col min="5378" max="5378" width="8.5546875" style="393" bestFit="1" customWidth="1"/>
    <col min="5379" max="5379" width="13.44140625" style="393" bestFit="1" customWidth="1"/>
    <col min="5380" max="5380" width="5.109375" style="393" bestFit="1" customWidth="1"/>
    <col min="5381" max="5382" width="10.5546875" style="393" customWidth="1"/>
    <col min="5383" max="5422" width="9.44140625" style="393" bestFit="1" customWidth="1"/>
    <col min="5423" max="5632" width="9.109375" style="393"/>
    <col min="5633" max="5633" width="10.109375" style="393" bestFit="1" customWidth="1"/>
    <col min="5634" max="5634" width="8.5546875" style="393" bestFit="1" customWidth="1"/>
    <col min="5635" max="5635" width="13.44140625" style="393" bestFit="1" customWidth="1"/>
    <col min="5636" max="5636" width="5.109375" style="393" bestFit="1" customWidth="1"/>
    <col min="5637" max="5638" width="10.5546875" style="393" customWidth="1"/>
    <col min="5639" max="5678" width="9.44140625" style="393" bestFit="1" customWidth="1"/>
    <col min="5679" max="5888" width="9.109375" style="393"/>
    <col min="5889" max="5889" width="10.109375" style="393" bestFit="1" customWidth="1"/>
    <col min="5890" max="5890" width="8.5546875" style="393" bestFit="1" customWidth="1"/>
    <col min="5891" max="5891" width="13.44140625" style="393" bestFit="1" customWidth="1"/>
    <col min="5892" max="5892" width="5.109375" style="393" bestFit="1" customWidth="1"/>
    <col min="5893" max="5894" width="10.5546875" style="393" customWidth="1"/>
    <col min="5895" max="5934" width="9.44140625" style="393" bestFit="1" customWidth="1"/>
    <col min="5935" max="6144" width="9.109375" style="393"/>
    <col min="6145" max="6145" width="10.109375" style="393" bestFit="1" customWidth="1"/>
    <col min="6146" max="6146" width="8.5546875" style="393" bestFit="1" customWidth="1"/>
    <col min="6147" max="6147" width="13.44140625" style="393" bestFit="1" customWidth="1"/>
    <col min="6148" max="6148" width="5.109375" style="393" bestFit="1" customWidth="1"/>
    <col min="6149" max="6150" width="10.5546875" style="393" customWidth="1"/>
    <col min="6151" max="6190" width="9.44140625" style="393" bestFit="1" customWidth="1"/>
    <col min="6191" max="6400" width="9.109375" style="393"/>
    <col min="6401" max="6401" width="10.109375" style="393" bestFit="1" customWidth="1"/>
    <col min="6402" max="6402" width="8.5546875" style="393" bestFit="1" customWidth="1"/>
    <col min="6403" max="6403" width="13.44140625" style="393" bestFit="1" customWidth="1"/>
    <col min="6404" max="6404" width="5.109375" style="393" bestFit="1" customWidth="1"/>
    <col min="6405" max="6406" width="10.5546875" style="393" customWidth="1"/>
    <col min="6407" max="6446" width="9.44140625" style="393" bestFit="1" customWidth="1"/>
    <col min="6447" max="6656" width="9.109375" style="393"/>
    <col min="6657" max="6657" width="10.109375" style="393" bestFit="1" customWidth="1"/>
    <col min="6658" max="6658" width="8.5546875" style="393" bestFit="1" customWidth="1"/>
    <col min="6659" max="6659" width="13.44140625" style="393" bestFit="1" customWidth="1"/>
    <col min="6660" max="6660" width="5.109375" style="393" bestFit="1" customWidth="1"/>
    <col min="6661" max="6662" width="10.5546875" style="393" customWidth="1"/>
    <col min="6663" max="6702" width="9.44140625" style="393" bestFit="1" customWidth="1"/>
    <col min="6703" max="6912" width="9.109375" style="393"/>
    <col min="6913" max="6913" width="10.109375" style="393" bestFit="1" customWidth="1"/>
    <col min="6914" max="6914" width="8.5546875" style="393" bestFit="1" customWidth="1"/>
    <col min="6915" max="6915" width="13.44140625" style="393" bestFit="1" customWidth="1"/>
    <col min="6916" max="6916" width="5.109375" style="393" bestFit="1" customWidth="1"/>
    <col min="6917" max="6918" width="10.5546875" style="393" customWidth="1"/>
    <col min="6919" max="6958" width="9.44140625" style="393" bestFit="1" customWidth="1"/>
    <col min="6959" max="7168" width="9.109375" style="393"/>
    <col min="7169" max="7169" width="10.109375" style="393" bestFit="1" customWidth="1"/>
    <col min="7170" max="7170" width="8.5546875" style="393" bestFit="1" customWidth="1"/>
    <col min="7171" max="7171" width="13.44140625" style="393" bestFit="1" customWidth="1"/>
    <col min="7172" max="7172" width="5.109375" style="393" bestFit="1" customWidth="1"/>
    <col min="7173" max="7174" width="10.5546875" style="393" customWidth="1"/>
    <col min="7175" max="7214" width="9.44140625" style="393" bestFit="1" customWidth="1"/>
    <col min="7215" max="7424" width="9.109375" style="393"/>
    <col min="7425" max="7425" width="10.109375" style="393" bestFit="1" customWidth="1"/>
    <col min="7426" max="7426" width="8.5546875" style="393" bestFit="1" customWidth="1"/>
    <col min="7427" max="7427" width="13.44140625" style="393" bestFit="1" customWidth="1"/>
    <col min="7428" max="7428" width="5.109375" style="393" bestFit="1" customWidth="1"/>
    <col min="7429" max="7430" width="10.5546875" style="393" customWidth="1"/>
    <col min="7431" max="7470" width="9.44140625" style="393" bestFit="1" customWidth="1"/>
    <col min="7471" max="7680" width="9.109375" style="393"/>
    <col min="7681" max="7681" width="10.109375" style="393" bestFit="1" customWidth="1"/>
    <col min="7682" max="7682" width="8.5546875" style="393" bestFit="1" customWidth="1"/>
    <col min="7683" max="7683" width="13.44140625" style="393" bestFit="1" customWidth="1"/>
    <col min="7684" max="7684" width="5.109375" style="393" bestFit="1" customWidth="1"/>
    <col min="7685" max="7686" width="10.5546875" style="393" customWidth="1"/>
    <col min="7687" max="7726" width="9.44140625" style="393" bestFit="1" customWidth="1"/>
    <col min="7727" max="7936" width="9.109375" style="393"/>
    <col min="7937" max="7937" width="10.109375" style="393" bestFit="1" customWidth="1"/>
    <col min="7938" max="7938" width="8.5546875" style="393" bestFit="1" customWidth="1"/>
    <col min="7939" max="7939" width="13.44140625" style="393" bestFit="1" customWidth="1"/>
    <col min="7940" max="7940" width="5.109375" style="393" bestFit="1" customWidth="1"/>
    <col min="7941" max="7942" width="10.5546875" style="393" customWidth="1"/>
    <col min="7943" max="7982" width="9.44140625" style="393" bestFit="1" customWidth="1"/>
    <col min="7983" max="8192" width="9.109375" style="393"/>
    <col min="8193" max="8193" width="10.109375" style="393" bestFit="1" customWidth="1"/>
    <col min="8194" max="8194" width="8.5546875" style="393" bestFit="1" customWidth="1"/>
    <col min="8195" max="8195" width="13.44140625" style="393" bestFit="1" customWidth="1"/>
    <col min="8196" max="8196" width="5.109375" style="393" bestFit="1" customWidth="1"/>
    <col min="8197" max="8198" width="10.5546875" style="393" customWidth="1"/>
    <col min="8199" max="8238" width="9.44140625" style="393" bestFit="1" customWidth="1"/>
    <col min="8239" max="8448" width="9.109375" style="393"/>
    <col min="8449" max="8449" width="10.109375" style="393" bestFit="1" customWidth="1"/>
    <col min="8450" max="8450" width="8.5546875" style="393" bestFit="1" customWidth="1"/>
    <col min="8451" max="8451" width="13.44140625" style="393" bestFit="1" customWidth="1"/>
    <col min="8452" max="8452" width="5.109375" style="393" bestFit="1" customWidth="1"/>
    <col min="8453" max="8454" width="10.5546875" style="393" customWidth="1"/>
    <col min="8455" max="8494" width="9.44140625" style="393" bestFit="1" customWidth="1"/>
    <col min="8495" max="8704" width="9.109375" style="393"/>
    <col min="8705" max="8705" width="10.109375" style="393" bestFit="1" customWidth="1"/>
    <col min="8706" max="8706" width="8.5546875" style="393" bestFit="1" customWidth="1"/>
    <col min="8707" max="8707" width="13.44140625" style="393" bestFit="1" customWidth="1"/>
    <col min="8708" max="8708" width="5.109375" style="393" bestFit="1" customWidth="1"/>
    <col min="8709" max="8710" width="10.5546875" style="393" customWidth="1"/>
    <col min="8711" max="8750" width="9.44140625" style="393" bestFit="1" customWidth="1"/>
    <col min="8751" max="8960" width="9.109375" style="393"/>
    <col min="8961" max="8961" width="10.109375" style="393" bestFit="1" customWidth="1"/>
    <col min="8962" max="8962" width="8.5546875" style="393" bestFit="1" customWidth="1"/>
    <col min="8963" max="8963" width="13.44140625" style="393" bestFit="1" customWidth="1"/>
    <col min="8964" max="8964" width="5.109375" style="393" bestFit="1" customWidth="1"/>
    <col min="8965" max="8966" width="10.5546875" style="393" customWidth="1"/>
    <col min="8967" max="9006" width="9.44140625" style="393" bestFit="1" customWidth="1"/>
    <col min="9007" max="9216" width="9.109375" style="393"/>
    <col min="9217" max="9217" width="10.109375" style="393" bestFit="1" customWidth="1"/>
    <col min="9218" max="9218" width="8.5546875" style="393" bestFit="1" customWidth="1"/>
    <col min="9219" max="9219" width="13.44140625" style="393" bestFit="1" customWidth="1"/>
    <col min="9220" max="9220" width="5.109375" style="393" bestFit="1" customWidth="1"/>
    <col min="9221" max="9222" width="10.5546875" style="393" customWidth="1"/>
    <col min="9223" max="9262" width="9.44140625" style="393" bestFit="1" customWidth="1"/>
    <col min="9263" max="9472" width="9.109375" style="393"/>
    <col min="9473" max="9473" width="10.109375" style="393" bestFit="1" customWidth="1"/>
    <col min="9474" max="9474" width="8.5546875" style="393" bestFit="1" customWidth="1"/>
    <col min="9475" max="9475" width="13.44140625" style="393" bestFit="1" customWidth="1"/>
    <col min="9476" max="9476" width="5.109375" style="393" bestFit="1" customWidth="1"/>
    <col min="9477" max="9478" width="10.5546875" style="393" customWidth="1"/>
    <col min="9479" max="9518" width="9.44140625" style="393" bestFit="1" customWidth="1"/>
    <col min="9519" max="9728" width="9.109375" style="393"/>
    <col min="9729" max="9729" width="10.109375" style="393" bestFit="1" customWidth="1"/>
    <col min="9730" max="9730" width="8.5546875" style="393" bestFit="1" customWidth="1"/>
    <col min="9731" max="9731" width="13.44140625" style="393" bestFit="1" customWidth="1"/>
    <col min="9732" max="9732" width="5.109375" style="393" bestFit="1" customWidth="1"/>
    <col min="9733" max="9734" width="10.5546875" style="393" customWidth="1"/>
    <col min="9735" max="9774" width="9.44140625" style="393" bestFit="1" customWidth="1"/>
    <col min="9775" max="9984" width="9.109375" style="393"/>
    <col min="9985" max="9985" width="10.109375" style="393" bestFit="1" customWidth="1"/>
    <col min="9986" max="9986" width="8.5546875" style="393" bestFit="1" customWidth="1"/>
    <col min="9987" max="9987" width="13.44140625" style="393" bestFit="1" customWidth="1"/>
    <col min="9988" max="9988" width="5.109375" style="393" bestFit="1" customWidth="1"/>
    <col min="9989" max="9990" width="10.5546875" style="393" customWidth="1"/>
    <col min="9991" max="10030" width="9.44140625" style="393" bestFit="1" customWidth="1"/>
    <col min="10031" max="10240" width="9.109375" style="393"/>
    <col min="10241" max="10241" width="10.109375" style="393" bestFit="1" customWidth="1"/>
    <col min="10242" max="10242" width="8.5546875" style="393" bestFit="1" customWidth="1"/>
    <col min="10243" max="10243" width="13.44140625" style="393" bestFit="1" customWidth="1"/>
    <col min="10244" max="10244" width="5.109375" style="393" bestFit="1" customWidth="1"/>
    <col min="10245" max="10246" width="10.5546875" style="393" customWidth="1"/>
    <col min="10247" max="10286" width="9.44140625" style="393" bestFit="1" customWidth="1"/>
    <col min="10287" max="10496" width="9.109375" style="393"/>
    <col min="10497" max="10497" width="10.109375" style="393" bestFit="1" customWidth="1"/>
    <col min="10498" max="10498" width="8.5546875" style="393" bestFit="1" customWidth="1"/>
    <col min="10499" max="10499" width="13.44140625" style="393" bestFit="1" customWidth="1"/>
    <col min="10500" max="10500" width="5.109375" style="393" bestFit="1" customWidth="1"/>
    <col min="10501" max="10502" width="10.5546875" style="393" customWidth="1"/>
    <col min="10503" max="10542" width="9.44140625" style="393" bestFit="1" customWidth="1"/>
    <col min="10543" max="10752" width="9.109375" style="393"/>
    <col min="10753" max="10753" width="10.109375" style="393" bestFit="1" customWidth="1"/>
    <col min="10754" max="10754" width="8.5546875" style="393" bestFit="1" customWidth="1"/>
    <col min="10755" max="10755" width="13.44140625" style="393" bestFit="1" customWidth="1"/>
    <col min="10756" max="10756" width="5.109375" style="393" bestFit="1" customWidth="1"/>
    <col min="10757" max="10758" width="10.5546875" style="393" customWidth="1"/>
    <col min="10759" max="10798" width="9.44140625" style="393" bestFit="1" customWidth="1"/>
    <col min="10799" max="11008" width="9.109375" style="393"/>
    <col min="11009" max="11009" width="10.109375" style="393" bestFit="1" customWidth="1"/>
    <col min="11010" max="11010" width="8.5546875" style="393" bestFit="1" customWidth="1"/>
    <col min="11011" max="11011" width="13.44140625" style="393" bestFit="1" customWidth="1"/>
    <col min="11012" max="11012" width="5.109375" style="393" bestFit="1" customWidth="1"/>
    <col min="11013" max="11014" width="10.5546875" style="393" customWidth="1"/>
    <col min="11015" max="11054" width="9.44140625" style="393" bestFit="1" customWidth="1"/>
    <col min="11055" max="11264" width="9.109375" style="393"/>
    <col min="11265" max="11265" width="10.109375" style="393" bestFit="1" customWidth="1"/>
    <col min="11266" max="11266" width="8.5546875" style="393" bestFit="1" customWidth="1"/>
    <col min="11267" max="11267" width="13.44140625" style="393" bestFit="1" customWidth="1"/>
    <col min="11268" max="11268" width="5.109375" style="393" bestFit="1" customWidth="1"/>
    <col min="11269" max="11270" width="10.5546875" style="393" customWidth="1"/>
    <col min="11271" max="11310" width="9.44140625" style="393" bestFit="1" customWidth="1"/>
    <col min="11311" max="11520" width="9.109375" style="393"/>
    <col min="11521" max="11521" width="10.109375" style="393" bestFit="1" customWidth="1"/>
    <col min="11522" max="11522" width="8.5546875" style="393" bestFit="1" customWidth="1"/>
    <col min="11523" max="11523" width="13.44140625" style="393" bestFit="1" customWidth="1"/>
    <col min="11524" max="11524" width="5.109375" style="393" bestFit="1" customWidth="1"/>
    <col min="11525" max="11526" width="10.5546875" style="393" customWidth="1"/>
    <col min="11527" max="11566" width="9.44140625" style="393" bestFit="1" customWidth="1"/>
    <col min="11567" max="11776" width="9.109375" style="393"/>
    <col min="11777" max="11777" width="10.109375" style="393" bestFit="1" customWidth="1"/>
    <col min="11778" max="11778" width="8.5546875" style="393" bestFit="1" customWidth="1"/>
    <col min="11779" max="11779" width="13.44140625" style="393" bestFit="1" customWidth="1"/>
    <col min="11780" max="11780" width="5.109375" style="393" bestFit="1" customWidth="1"/>
    <col min="11781" max="11782" width="10.5546875" style="393" customWidth="1"/>
    <col min="11783" max="11822" width="9.44140625" style="393" bestFit="1" customWidth="1"/>
    <col min="11823" max="12032" width="9.109375" style="393"/>
    <col min="12033" max="12033" width="10.109375" style="393" bestFit="1" customWidth="1"/>
    <col min="12034" max="12034" width="8.5546875" style="393" bestFit="1" customWidth="1"/>
    <col min="12035" max="12035" width="13.44140625" style="393" bestFit="1" customWidth="1"/>
    <col min="12036" max="12036" width="5.109375" style="393" bestFit="1" customWidth="1"/>
    <col min="12037" max="12038" width="10.5546875" style="393" customWidth="1"/>
    <col min="12039" max="12078" width="9.44140625" style="393" bestFit="1" customWidth="1"/>
    <col min="12079" max="12288" width="9.109375" style="393"/>
    <col min="12289" max="12289" width="10.109375" style="393" bestFit="1" customWidth="1"/>
    <col min="12290" max="12290" width="8.5546875" style="393" bestFit="1" customWidth="1"/>
    <col min="12291" max="12291" width="13.44140625" style="393" bestFit="1" customWidth="1"/>
    <col min="12292" max="12292" width="5.109375" style="393" bestFit="1" customWidth="1"/>
    <col min="12293" max="12294" width="10.5546875" style="393" customWidth="1"/>
    <col min="12295" max="12334" width="9.44140625" style="393" bestFit="1" customWidth="1"/>
    <col min="12335" max="12544" width="9.109375" style="393"/>
    <col min="12545" max="12545" width="10.109375" style="393" bestFit="1" customWidth="1"/>
    <col min="12546" max="12546" width="8.5546875" style="393" bestFit="1" customWidth="1"/>
    <col min="12547" max="12547" width="13.44140625" style="393" bestFit="1" customWidth="1"/>
    <col min="12548" max="12548" width="5.109375" style="393" bestFit="1" customWidth="1"/>
    <col min="12549" max="12550" width="10.5546875" style="393" customWidth="1"/>
    <col min="12551" max="12590" width="9.44140625" style="393" bestFit="1" customWidth="1"/>
    <col min="12591" max="12800" width="9.109375" style="393"/>
    <col min="12801" max="12801" width="10.109375" style="393" bestFit="1" customWidth="1"/>
    <col min="12802" max="12802" width="8.5546875" style="393" bestFit="1" customWidth="1"/>
    <col min="12803" max="12803" width="13.44140625" style="393" bestFit="1" customWidth="1"/>
    <col min="12804" max="12804" width="5.109375" style="393" bestFit="1" customWidth="1"/>
    <col min="12805" max="12806" width="10.5546875" style="393" customWidth="1"/>
    <col min="12807" max="12846" width="9.44140625" style="393" bestFit="1" customWidth="1"/>
    <col min="12847" max="13056" width="9.109375" style="393"/>
    <col min="13057" max="13057" width="10.109375" style="393" bestFit="1" customWidth="1"/>
    <col min="13058" max="13058" width="8.5546875" style="393" bestFit="1" customWidth="1"/>
    <col min="13059" max="13059" width="13.44140625" style="393" bestFit="1" customWidth="1"/>
    <col min="13060" max="13060" width="5.109375" style="393" bestFit="1" customWidth="1"/>
    <col min="13061" max="13062" width="10.5546875" style="393" customWidth="1"/>
    <col min="13063" max="13102" width="9.44140625" style="393" bestFit="1" customWidth="1"/>
    <col min="13103" max="13312" width="9.109375" style="393"/>
    <col min="13313" max="13313" width="10.109375" style="393" bestFit="1" customWidth="1"/>
    <col min="13314" max="13314" width="8.5546875" style="393" bestFit="1" customWidth="1"/>
    <col min="13315" max="13315" width="13.44140625" style="393" bestFit="1" customWidth="1"/>
    <col min="13316" max="13316" width="5.109375" style="393" bestFit="1" customWidth="1"/>
    <col min="13317" max="13318" width="10.5546875" style="393" customWidth="1"/>
    <col min="13319" max="13358" width="9.44140625" style="393" bestFit="1" customWidth="1"/>
    <col min="13359" max="13568" width="9.109375" style="393"/>
    <col min="13569" max="13569" width="10.109375" style="393" bestFit="1" customWidth="1"/>
    <col min="13570" max="13570" width="8.5546875" style="393" bestFit="1" customWidth="1"/>
    <col min="13571" max="13571" width="13.44140625" style="393" bestFit="1" customWidth="1"/>
    <col min="13572" max="13572" width="5.109375" style="393" bestFit="1" customWidth="1"/>
    <col min="13573" max="13574" width="10.5546875" style="393" customWidth="1"/>
    <col min="13575" max="13614" width="9.44140625" style="393" bestFit="1" customWidth="1"/>
    <col min="13615" max="13824" width="9.109375" style="393"/>
    <col min="13825" max="13825" width="10.109375" style="393" bestFit="1" customWidth="1"/>
    <col min="13826" max="13826" width="8.5546875" style="393" bestFit="1" customWidth="1"/>
    <col min="13827" max="13827" width="13.44140625" style="393" bestFit="1" customWidth="1"/>
    <col min="13828" max="13828" width="5.109375" style="393" bestFit="1" customWidth="1"/>
    <col min="13829" max="13830" width="10.5546875" style="393" customWidth="1"/>
    <col min="13831" max="13870" width="9.44140625" style="393" bestFit="1" customWidth="1"/>
    <col min="13871" max="14080" width="9.109375" style="393"/>
    <col min="14081" max="14081" width="10.109375" style="393" bestFit="1" customWidth="1"/>
    <col min="14082" max="14082" width="8.5546875" style="393" bestFit="1" customWidth="1"/>
    <col min="14083" max="14083" width="13.44140625" style="393" bestFit="1" customWidth="1"/>
    <col min="14084" max="14084" width="5.109375" style="393" bestFit="1" customWidth="1"/>
    <col min="14085" max="14086" width="10.5546875" style="393" customWidth="1"/>
    <col min="14087" max="14126" width="9.44140625" style="393" bestFit="1" customWidth="1"/>
    <col min="14127" max="14336" width="9.109375" style="393"/>
    <col min="14337" max="14337" width="10.109375" style="393" bestFit="1" customWidth="1"/>
    <col min="14338" max="14338" width="8.5546875" style="393" bestFit="1" customWidth="1"/>
    <col min="14339" max="14339" width="13.44140625" style="393" bestFit="1" customWidth="1"/>
    <col min="14340" max="14340" width="5.109375" style="393" bestFit="1" customWidth="1"/>
    <col min="14341" max="14342" width="10.5546875" style="393" customWidth="1"/>
    <col min="14343" max="14382" width="9.44140625" style="393" bestFit="1" customWidth="1"/>
    <col min="14383" max="14592" width="9.109375" style="393"/>
    <col min="14593" max="14593" width="10.109375" style="393" bestFit="1" customWidth="1"/>
    <col min="14594" max="14594" width="8.5546875" style="393" bestFit="1" customWidth="1"/>
    <col min="14595" max="14595" width="13.44140625" style="393" bestFit="1" customWidth="1"/>
    <col min="14596" max="14596" width="5.109375" style="393" bestFit="1" customWidth="1"/>
    <col min="14597" max="14598" width="10.5546875" style="393" customWidth="1"/>
    <col min="14599" max="14638" width="9.44140625" style="393" bestFit="1" customWidth="1"/>
    <col min="14639" max="14848" width="9.109375" style="393"/>
    <col min="14849" max="14849" width="10.109375" style="393" bestFit="1" customWidth="1"/>
    <col min="14850" max="14850" width="8.5546875" style="393" bestFit="1" customWidth="1"/>
    <col min="14851" max="14851" width="13.44140625" style="393" bestFit="1" customWidth="1"/>
    <col min="14852" max="14852" width="5.109375" style="393" bestFit="1" customWidth="1"/>
    <col min="14853" max="14854" width="10.5546875" style="393" customWidth="1"/>
    <col min="14855" max="14894" width="9.44140625" style="393" bestFit="1" customWidth="1"/>
    <col min="14895" max="15104" width="9.109375" style="393"/>
    <col min="15105" max="15105" width="10.109375" style="393" bestFit="1" customWidth="1"/>
    <col min="15106" max="15106" width="8.5546875" style="393" bestFit="1" customWidth="1"/>
    <col min="15107" max="15107" width="13.44140625" style="393" bestFit="1" customWidth="1"/>
    <col min="15108" max="15108" width="5.109375" style="393" bestFit="1" customWidth="1"/>
    <col min="15109" max="15110" width="10.5546875" style="393" customWidth="1"/>
    <col min="15111" max="15150" width="9.44140625" style="393" bestFit="1" customWidth="1"/>
    <col min="15151" max="15360" width="9.109375" style="393"/>
    <col min="15361" max="15361" width="10.109375" style="393" bestFit="1" customWidth="1"/>
    <col min="15362" max="15362" width="8.5546875" style="393" bestFit="1" customWidth="1"/>
    <col min="15363" max="15363" width="13.44140625" style="393" bestFit="1" customWidth="1"/>
    <col min="15364" max="15364" width="5.109375" style="393" bestFit="1" customWidth="1"/>
    <col min="15365" max="15366" width="10.5546875" style="393" customWidth="1"/>
    <col min="15367" max="15406" width="9.44140625" style="393" bestFit="1" customWidth="1"/>
    <col min="15407" max="15616" width="9.109375" style="393"/>
    <col min="15617" max="15617" width="10.109375" style="393" bestFit="1" customWidth="1"/>
    <col min="15618" max="15618" width="8.5546875" style="393" bestFit="1" customWidth="1"/>
    <col min="15619" max="15619" width="13.44140625" style="393" bestFit="1" customWidth="1"/>
    <col min="15620" max="15620" width="5.109375" style="393" bestFit="1" customWidth="1"/>
    <col min="15621" max="15622" width="10.5546875" style="393" customWidth="1"/>
    <col min="15623" max="15662" width="9.44140625" style="393" bestFit="1" customWidth="1"/>
    <col min="15663" max="15872" width="9.109375" style="393"/>
    <col min="15873" max="15873" width="10.109375" style="393" bestFit="1" customWidth="1"/>
    <col min="15874" max="15874" width="8.5546875" style="393" bestFit="1" customWidth="1"/>
    <col min="15875" max="15875" width="13.44140625" style="393" bestFit="1" customWidth="1"/>
    <col min="15876" max="15876" width="5.109375" style="393" bestFit="1" customWidth="1"/>
    <col min="15877" max="15878" width="10.5546875" style="393" customWidth="1"/>
    <col min="15879" max="15918" width="9.44140625" style="393" bestFit="1" customWidth="1"/>
    <col min="15919" max="16128" width="9.109375" style="393"/>
    <col min="16129" max="16129" width="10.109375" style="393" bestFit="1" customWidth="1"/>
    <col min="16130" max="16130" width="8.5546875" style="393" bestFit="1" customWidth="1"/>
    <col min="16131" max="16131" width="13.44140625" style="393" bestFit="1" customWidth="1"/>
    <col min="16132" max="16132" width="5.109375" style="393" bestFit="1" customWidth="1"/>
    <col min="16133" max="16134" width="10.554687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zoomScale="80" zoomScaleNormal="80" workbookViewId="0">
      <selection activeCell="J14" sqref="J14"/>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5546875" style="606" bestFit="1" customWidth="1"/>
    <col min="7" max="7" width="14.44140625" style="606" bestFit="1" customWidth="1"/>
    <col min="8" max="9" width="11.44140625" style="606" customWidth="1"/>
    <col min="10" max="10" width="10.44140625" style="606" customWidth="1"/>
    <col min="11" max="11" width="10.109375" style="606" customWidth="1"/>
    <col min="12" max="12" width="10" style="606" customWidth="1"/>
    <col min="13" max="13" width="10.44140625" style="606" customWidth="1"/>
    <col min="14" max="14" width="11.5546875" style="606" customWidth="1"/>
    <col min="15" max="15" width="8.109375" style="606" customWidth="1"/>
    <col min="16" max="16" width="8.554687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5546875" style="606" customWidth="1"/>
    <col min="32" max="32" width="10" style="606" customWidth="1"/>
    <col min="33" max="33" width="13.5546875" style="606" customWidth="1"/>
    <col min="34" max="34" width="13.44140625" style="606" customWidth="1"/>
    <col min="35" max="35" width="5.5546875" style="606" customWidth="1"/>
    <col min="36" max="36" width="6.109375" style="606" customWidth="1"/>
    <col min="37" max="37" width="16.109375" style="606" customWidth="1"/>
    <col min="38" max="38" width="16.44140625" style="606" customWidth="1"/>
    <col min="39" max="40" width="7.44140625" style="606" customWidth="1"/>
    <col min="41" max="41" width="3.554687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1807</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1648</v>
      </c>
      <c r="AA6" s="1062" t="s">
        <v>1649</v>
      </c>
      <c r="AB6" s="1063" t="s">
        <v>1808</v>
      </c>
      <c r="AC6" s="1062" t="s">
        <v>1650</v>
      </c>
      <c r="AD6" s="1063" t="s">
        <v>1651</v>
      </c>
      <c r="AE6" s="1063" t="s">
        <v>1652</v>
      </c>
      <c r="AF6" s="1063" t="s">
        <v>1653</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1654</v>
      </c>
      <c r="C8" s="606" t="s">
        <v>1655</v>
      </c>
      <c r="D8" s="618" t="s">
        <v>1666</v>
      </c>
      <c r="E8" s="618"/>
      <c r="F8" s="606" t="s">
        <v>93</v>
      </c>
      <c r="I8" s="619"/>
      <c r="J8" s="619"/>
      <c r="K8" s="619"/>
      <c r="L8" s="619"/>
      <c r="M8" s="619"/>
      <c r="N8" s="619"/>
      <c r="O8" s="619"/>
      <c r="P8" s="619"/>
      <c r="Q8" s="619"/>
      <c r="R8" s="619"/>
      <c r="S8" s="602">
        <v>1</v>
      </c>
      <c r="T8" s="602">
        <v>1</v>
      </c>
      <c r="U8" s="602">
        <v>1</v>
      </c>
      <c r="V8" s="602">
        <v>1</v>
      </c>
      <c r="W8" s="622"/>
      <c r="X8" s="620"/>
      <c r="Y8" s="608"/>
      <c r="Z8" s="1228">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269" t="s">
        <v>1656</v>
      </c>
      <c r="AS28" s="126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1657</v>
      </c>
      <c r="X29" s="610" t="s">
        <v>1658</v>
      </c>
      <c r="Y29" s="610" t="s">
        <v>1659</v>
      </c>
      <c r="Z29" s="610" t="s">
        <v>1660</v>
      </c>
      <c r="AA29" s="610" t="s">
        <v>1661</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1662</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1663</v>
      </c>
      <c r="X30" s="615" t="s">
        <v>1663</v>
      </c>
      <c r="Y30" s="615" t="s">
        <v>1663</v>
      </c>
      <c r="Z30" s="615" t="s">
        <v>1663</v>
      </c>
      <c r="AA30" s="615" t="s">
        <v>890</v>
      </c>
      <c r="AB30" s="615" t="s">
        <v>1663</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1655</v>
      </c>
      <c r="AW30" s="617" t="s">
        <v>893</v>
      </c>
    </row>
    <row r="31" spans="2:49">
      <c r="B31" s="618" t="str">
        <f>Processes!D166</f>
        <v>FT-GRDELCMID</v>
      </c>
      <c r="C31" s="618" t="str">
        <f>Processes!E166</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E26" sqref="E26"/>
    </sheetView>
  </sheetViews>
  <sheetFormatPr defaultColWidth="8.5546875" defaultRowHeight="13.2"/>
  <cols>
    <col min="5" max="5" width="8.554687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7"/>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8"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14"/>
  <sheetViews>
    <sheetView workbookViewId="0">
      <selection activeCell="D8" sqref="D8"/>
    </sheetView>
  </sheetViews>
  <sheetFormatPr defaultRowHeight="13.2"/>
  <cols>
    <col min="2" max="2" width="13.44140625" bestFit="1" customWidth="1"/>
    <col min="3" max="3" width="34.44140625" bestFit="1" customWidth="1"/>
    <col min="9" max="9" width="6.886718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1678</v>
      </c>
      <c r="H4" s="11" t="s">
        <v>1832</v>
      </c>
      <c r="I4" s="11" t="s">
        <v>1833</v>
      </c>
      <c r="J4" s="1249"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t="str">
        <f>Processes!D56</f>
        <v>IMPELC-AZRU</v>
      </c>
      <c r="C7" s="602" t="str">
        <f>Processes!E56</f>
        <v>Import technology - Electricity to Russia</v>
      </c>
      <c r="E7" t="s">
        <v>1679</v>
      </c>
      <c r="F7">
        <v>1</v>
      </c>
      <c r="G7">
        <v>50</v>
      </c>
      <c r="H7">
        <v>0.95</v>
      </c>
      <c r="I7" s="1144">
        <f t="shared" ref="I7:I14" si="0">3.6*8760/1000000</f>
        <v>3.1536000000000002E-2</v>
      </c>
      <c r="J7">
        <v>15</v>
      </c>
    </row>
    <row r="8" spans="2:10">
      <c r="B8" s="602" t="str">
        <f>Processes!D57</f>
        <v>IMPELC-AZIR</v>
      </c>
      <c r="C8" s="602" t="str">
        <f>Processes!E57</f>
        <v>Import technology - Electricity to Iran</v>
      </c>
      <c r="E8" s="602" t="s">
        <v>1679</v>
      </c>
      <c r="F8">
        <v>1</v>
      </c>
      <c r="G8" s="602">
        <v>50</v>
      </c>
      <c r="H8" s="602">
        <v>0.95</v>
      </c>
      <c r="I8" s="1144">
        <f t="shared" si="0"/>
        <v>3.1536000000000002E-2</v>
      </c>
      <c r="J8" s="602">
        <v>15</v>
      </c>
    </row>
    <row r="9" spans="2:10">
      <c r="B9" s="602" t="str">
        <f>Processes!D58</f>
        <v>IMPELC-AZTU</v>
      </c>
      <c r="C9" s="602" t="str">
        <f>Processes!E58</f>
        <v>Import technology - Electricity to Turkey</v>
      </c>
      <c r="E9" s="602" t="s">
        <v>1679</v>
      </c>
      <c r="F9">
        <v>1</v>
      </c>
      <c r="G9" s="602">
        <v>50</v>
      </c>
      <c r="H9" s="602">
        <v>0.95</v>
      </c>
      <c r="I9" s="1144">
        <f t="shared" si="0"/>
        <v>3.1536000000000002E-2</v>
      </c>
      <c r="J9" s="602">
        <v>15</v>
      </c>
    </row>
    <row r="10" spans="2:10">
      <c r="B10" s="602" t="str">
        <f>Processes!D59</f>
        <v>IMPELC-AZGE</v>
      </c>
      <c r="C10" s="602" t="str">
        <f>Processes!E59</f>
        <v>Import technology - Electricity to Georgia</v>
      </c>
      <c r="E10" s="602" t="s">
        <v>1679</v>
      </c>
      <c r="F10">
        <v>1</v>
      </c>
      <c r="G10" s="602">
        <v>50</v>
      </c>
      <c r="H10" s="602">
        <v>0.95</v>
      </c>
      <c r="I10" s="1144">
        <f t="shared" si="0"/>
        <v>3.1536000000000002E-2</v>
      </c>
      <c r="J10" s="602">
        <v>15</v>
      </c>
    </row>
    <row r="11" spans="2:10">
      <c r="B11" s="602" t="str">
        <f>Processes!D117</f>
        <v>EXPELC-AZRU</v>
      </c>
      <c r="C11" s="602" t="str">
        <f>Processes!E117</f>
        <v>Export technology - Electricity to Russia</v>
      </c>
      <c r="D11" s="602" t="s">
        <v>215</v>
      </c>
      <c r="F11">
        <v>1</v>
      </c>
      <c r="G11" s="602">
        <v>50</v>
      </c>
      <c r="H11" s="602">
        <v>0.95</v>
      </c>
      <c r="I11" s="1144">
        <f t="shared" si="0"/>
        <v>3.1536000000000002E-2</v>
      </c>
      <c r="J11" s="602">
        <v>10</v>
      </c>
    </row>
    <row r="12" spans="2:10">
      <c r="B12" s="602" t="str">
        <f>Processes!D118</f>
        <v>EXPELC-AZIR</v>
      </c>
      <c r="C12" s="602" t="str">
        <f>Processes!E118</f>
        <v>Export technology - Electricity to Iran</v>
      </c>
      <c r="D12" s="602" t="s">
        <v>215</v>
      </c>
      <c r="F12">
        <v>1</v>
      </c>
      <c r="G12" s="602">
        <v>50</v>
      </c>
      <c r="H12" s="602">
        <v>0.95</v>
      </c>
      <c r="I12" s="1144">
        <f t="shared" si="0"/>
        <v>3.1536000000000002E-2</v>
      </c>
      <c r="J12" s="602">
        <v>10</v>
      </c>
    </row>
    <row r="13" spans="2:10">
      <c r="B13" s="602" t="str">
        <f>Processes!D119</f>
        <v>EXPELC-AZTU</v>
      </c>
      <c r="C13" s="602" t="str">
        <f>Processes!E119</f>
        <v>Export technology - Electricity to Turkey</v>
      </c>
      <c r="D13" s="602" t="s">
        <v>215</v>
      </c>
      <c r="F13">
        <v>1</v>
      </c>
      <c r="G13" s="602">
        <v>50</v>
      </c>
      <c r="H13" s="602">
        <v>0.95</v>
      </c>
      <c r="I13" s="1144">
        <f t="shared" si="0"/>
        <v>3.1536000000000002E-2</v>
      </c>
      <c r="J13" s="602">
        <v>10</v>
      </c>
    </row>
    <row r="14" spans="2:10">
      <c r="B14" s="602" t="str">
        <f>Processes!D120</f>
        <v>EXPELC-AZGE</v>
      </c>
      <c r="C14" s="602" t="str">
        <f>Processes!E120</f>
        <v>Export technology - Electricity to Georgia</v>
      </c>
      <c r="D14" s="602" t="s">
        <v>215</v>
      </c>
      <c r="F14">
        <v>1</v>
      </c>
      <c r="G14" s="602">
        <v>50</v>
      </c>
      <c r="H14" s="602">
        <v>0.95</v>
      </c>
      <c r="I14" s="1144">
        <f t="shared" si="0"/>
        <v>3.1536000000000002E-2</v>
      </c>
      <c r="J14" s="60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defaultColWidth="8.5546875" defaultRowHeight="13.2"/>
  <cols>
    <col min="2" max="2" width="12.44140625" bestFit="1" customWidth="1"/>
    <col min="5" max="5" width="8.5546875" style="602"/>
    <col min="6" max="6" width="13.44140625" customWidth="1"/>
    <col min="10" max="11" width="8.554687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Processes!D121</f>
        <v>FT-SUPELC</v>
      </c>
      <c r="D6" s="588" t="s">
        <v>1679</v>
      </c>
      <c r="E6" s="23"/>
      <c r="F6" s="23" t="str">
        <f>Commodities!E81</f>
        <v>SUPELC</v>
      </c>
      <c r="G6" s="111">
        <v>1</v>
      </c>
    </row>
    <row r="7" spans="2:11">
      <c r="B7" s="484" t="str">
        <f>Processes!D122</f>
        <v>FT-SUPHETC</v>
      </c>
      <c r="D7" s="588" t="s">
        <v>1673</v>
      </c>
      <c r="E7" s="23"/>
      <c r="F7" s="23" t="str">
        <f>Commodities!E82</f>
        <v>SUPHETC</v>
      </c>
      <c r="G7" s="112">
        <v>1</v>
      </c>
    </row>
    <row r="8" spans="2:11">
      <c r="B8" s="525" t="str">
        <f>Processes!D123</f>
        <v>FT-SUPHETD</v>
      </c>
      <c r="C8" s="525"/>
      <c r="D8" s="1139" t="s">
        <v>1674</v>
      </c>
      <c r="E8" s="587"/>
      <c r="F8" s="587" t="str">
        <f>Commodities!E83</f>
        <v>SUPHETD</v>
      </c>
      <c r="G8" s="590">
        <v>1</v>
      </c>
    </row>
    <row r="9" spans="2:11">
      <c r="B9" s="484" t="str">
        <f>Processes!D124</f>
        <v>FT-SUPCOA</v>
      </c>
      <c r="C9" s="484"/>
      <c r="D9" s="484" t="str">
        <f>IF(LEN(F9)=6,RIGHT(F9,3),RIGHT(F9,4))</f>
        <v>COA</v>
      </c>
      <c r="F9" s="23" t="str">
        <f>Commodities!E84</f>
        <v>SUPCOA</v>
      </c>
      <c r="G9" s="484">
        <v>1</v>
      </c>
    </row>
    <row r="10" spans="2:11">
      <c r="B10" s="484" t="str">
        <f>Processes!D125</f>
        <v>FT-SUPNGA</v>
      </c>
      <c r="C10" s="484"/>
      <c r="D10" s="484" t="s">
        <v>1689</v>
      </c>
      <c r="F10" s="23" t="str">
        <f>Commodities!E85</f>
        <v>SUPNGA</v>
      </c>
      <c r="G10" s="484">
        <v>1</v>
      </c>
    </row>
    <row r="11" spans="2:11">
      <c r="B11" s="484" t="str">
        <f>Processes!D126</f>
        <v>FT-SUPCRD</v>
      </c>
      <c r="D11" s="484" t="str">
        <f t="shared" ref="D11:D37" si="0">IF(LEN(F11)=6,RIGHT(F11,3),RIGHT(F11,4))</f>
        <v>CRD</v>
      </c>
      <c r="F11" s="23" t="str">
        <f>Commodities!E86</f>
        <v>SUPCRD</v>
      </c>
      <c r="G11">
        <v>1</v>
      </c>
    </row>
    <row r="12" spans="2:11">
      <c r="B12" s="484" t="str">
        <f>Processes!D127</f>
        <v>FT-SUPLPG</v>
      </c>
      <c r="C12" s="484"/>
      <c r="D12" s="484" t="str">
        <f t="shared" si="0"/>
        <v>LPG</v>
      </c>
      <c r="F12" s="23" t="str">
        <f>Commodities!E87</f>
        <v>SUPLPG</v>
      </c>
      <c r="G12" s="484">
        <v>1</v>
      </c>
    </row>
    <row r="13" spans="2:11">
      <c r="B13" s="484" t="str">
        <f>Processes!D128</f>
        <v>FT-SUPLVN</v>
      </c>
      <c r="C13" s="484"/>
      <c r="D13" s="484" t="str">
        <f t="shared" si="0"/>
        <v>LVN</v>
      </c>
      <c r="F13" s="23" t="str">
        <f>Commodities!E88</f>
        <v>SUPLVN</v>
      </c>
      <c r="G13" s="484">
        <v>1</v>
      </c>
    </row>
    <row r="14" spans="2:11">
      <c r="B14" s="484" t="str">
        <f>Processes!D129</f>
        <v>FT-SUPGSL</v>
      </c>
      <c r="C14" s="484"/>
      <c r="D14" s="484" t="str">
        <f t="shared" si="0"/>
        <v>GSL</v>
      </c>
      <c r="F14" s="23" t="str">
        <f>Commodities!E89</f>
        <v>SUPGSL</v>
      </c>
      <c r="G14" s="484">
        <v>1</v>
      </c>
    </row>
    <row r="15" spans="2:11">
      <c r="B15" s="484" t="str">
        <f>Processes!D130</f>
        <v>FT-SUPKER</v>
      </c>
      <c r="C15" s="484"/>
      <c r="D15" s="484" t="str">
        <f t="shared" si="0"/>
        <v>KER</v>
      </c>
      <c r="F15" s="23" t="str">
        <f>Commodities!E90</f>
        <v>SUPKER</v>
      </c>
      <c r="G15" s="484">
        <v>1</v>
      </c>
    </row>
    <row r="16" spans="2:11">
      <c r="B16" s="484" t="str">
        <f>Processes!D131</f>
        <v>FT-SUPDSL</v>
      </c>
      <c r="C16" s="484"/>
      <c r="D16" s="484" t="str">
        <f t="shared" si="0"/>
        <v>DSL</v>
      </c>
      <c r="F16" s="23" t="str">
        <f>Commodities!E91</f>
        <v>SUPDSL</v>
      </c>
      <c r="G16" s="484">
        <v>1</v>
      </c>
    </row>
    <row r="17" spans="2:7">
      <c r="B17" s="484" t="str">
        <f>Processes!D132</f>
        <v>FT-SUPHFO</v>
      </c>
      <c r="C17" s="484"/>
      <c r="D17" s="484" t="str">
        <f t="shared" si="0"/>
        <v>HFO</v>
      </c>
      <c r="F17" s="23" t="str">
        <f>Commodities!E92</f>
        <v>SUPHFO</v>
      </c>
      <c r="G17" s="484">
        <v>1</v>
      </c>
    </row>
    <row r="18" spans="2:7">
      <c r="B18" s="484" t="str">
        <f>Processes!D133</f>
        <v>FT-SUPMGO</v>
      </c>
      <c r="C18" s="484"/>
      <c r="D18" s="484" t="str">
        <f t="shared" si="0"/>
        <v>MGO</v>
      </c>
      <c r="F18" s="23" t="str">
        <f>Commodities!E93</f>
        <v>SUPMGO</v>
      </c>
      <c r="G18" s="484">
        <v>1</v>
      </c>
    </row>
    <row r="19" spans="2:7">
      <c r="B19" s="484" t="str">
        <f>Processes!D134</f>
        <v>FT-SUPAGSL</v>
      </c>
      <c r="C19" s="484"/>
      <c r="D19" s="484" t="str">
        <f t="shared" si="0"/>
        <v>AGSL</v>
      </c>
      <c r="F19" s="23" t="str">
        <f>Commodities!E94</f>
        <v>SUPAGSL</v>
      </c>
      <c r="G19" s="484">
        <v>1</v>
      </c>
    </row>
    <row r="20" spans="2:7">
      <c r="B20" s="484" t="str">
        <f>Processes!D135</f>
        <v>FT-SUPWST</v>
      </c>
      <c r="C20" s="484"/>
      <c r="D20" s="484" t="str">
        <f t="shared" si="0"/>
        <v>WST</v>
      </c>
      <c r="F20" s="23" t="str">
        <f>Commodities!E95</f>
        <v>SUPWST</v>
      </c>
      <c r="G20" s="484">
        <v>1</v>
      </c>
    </row>
    <row r="21" spans="2:7">
      <c r="B21" s="484" t="str">
        <f>Processes!D136</f>
        <v>FT-SUPSTR</v>
      </c>
      <c r="C21" s="484"/>
      <c r="D21" s="484" t="str">
        <f t="shared" si="0"/>
        <v>STR</v>
      </c>
      <c r="F21" s="23" t="str">
        <f>Commodities!E96</f>
        <v>SUPSTR</v>
      </c>
      <c r="G21" s="484">
        <v>1</v>
      </c>
    </row>
    <row r="22" spans="2:7">
      <c r="B22" s="484" t="str">
        <f>Processes!D137</f>
        <v>FT-SUPGRS</v>
      </c>
      <c r="C22" s="484"/>
      <c r="D22" s="484" t="str">
        <f t="shared" si="0"/>
        <v>GRS</v>
      </c>
      <c r="F22" s="23" t="str">
        <f>Commodities!E97</f>
        <v>SUPGRS</v>
      </c>
      <c r="G22" s="484">
        <v>1</v>
      </c>
    </row>
    <row r="23" spans="2:7">
      <c r="B23" s="484" t="str">
        <f>Processes!D138</f>
        <v>FT-SUPWPE</v>
      </c>
      <c r="C23" s="484"/>
      <c r="D23" s="484" t="str">
        <f t="shared" si="0"/>
        <v>WPE</v>
      </c>
      <c r="F23" s="23" t="str">
        <f>Commodities!E98</f>
        <v>SUPWPE</v>
      </c>
      <c r="G23" s="484">
        <v>1</v>
      </c>
    </row>
    <row r="24" spans="2:7">
      <c r="B24" s="484" t="str">
        <f>Processes!D139</f>
        <v>FT-SUPWCH</v>
      </c>
      <c r="C24" s="484"/>
      <c r="D24" s="484" t="str">
        <f t="shared" si="0"/>
        <v>WCH</v>
      </c>
      <c r="F24" s="23" t="str">
        <f>Commodities!E99</f>
        <v>SUPWCH</v>
      </c>
      <c r="G24" s="484">
        <v>1</v>
      </c>
    </row>
    <row r="25" spans="2:7">
      <c r="B25" s="484" t="str">
        <f>Processes!D140</f>
        <v>FT-SUPFIW</v>
      </c>
      <c r="C25" s="484"/>
      <c r="D25" s="484" t="str">
        <f t="shared" si="0"/>
        <v>FIW</v>
      </c>
      <c r="F25" s="23" t="str">
        <f>Commodities!E100</f>
        <v>SUPFIW</v>
      </c>
      <c r="G25" s="484">
        <v>1</v>
      </c>
    </row>
    <row r="26" spans="2:7">
      <c r="B26" s="484" t="str">
        <f>Processes!D141</f>
        <v>FT-SUPCRN</v>
      </c>
      <c r="C26" s="484"/>
      <c r="D26" s="484" t="str">
        <f t="shared" si="0"/>
        <v>CRN</v>
      </c>
      <c r="F26" s="23" t="str">
        <f>Commodities!E101</f>
        <v>SUPCRN</v>
      </c>
      <c r="G26" s="484">
        <v>1</v>
      </c>
    </row>
    <row r="27" spans="2:7">
      <c r="B27" s="484" t="str">
        <f>Processes!D142</f>
        <v>FT-SUPRPS</v>
      </c>
      <c r="C27" s="484"/>
      <c r="D27" s="484" t="str">
        <f t="shared" si="0"/>
        <v>RPS</v>
      </c>
      <c r="F27" s="23" t="str">
        <f>Commodities!E102</f>
        <v>SUPRPS</v>
      </c>
      <c r="G27" s="484">
        <v>1</v>
      </c>
    </row>
    <row r="28" spans="2:7">
      <c r="B28" s="484" t="str">
        <f>Processes!D143</f>
        <v>FT-SUPSGB</v>
      </c>
      <c r="C28" s="484"/>
      <c r="D28" s="484" t="str">
        <f t="shared" si="0"/>
        <v>SGB</v>
      </c>
      <c r="F28" s="23" t="str">
        <f>Commodities!E103</f>
        <v>SUPSGB</v>
      </c>
      <c r="G28" s="484">
        <v>1</v>
      </c>
    </row>
    <row r="29" spans="2:7">
      <c r="B29" s="484" t="str">
        <f>Processes!D144</f>
        <v>FT-SUPDLI</v>
      </c>
      <c r="C29" s="484"/>
      <c r="D29" s="484" t="str">
        <f t="shared" si="0"/>
        <v>DLI</v>
      </c>
      <c r="F29" s="23" t="str">
        <f>Commodities!E104</f>
        <v>SUPDLI</v>
      </c>
      <c r="G29" s="484">
        <v>1</v>
      </c>
    </row>
    <row r="30" spans="2:7">
      <c r="B30" s="484" t="str">
        <f>Processes!D145</f>
        <v>FT-SUPMNR</v>
      </c>
      <c r="C30" s="484"/>
      <c r="D30" s="484" t="str">
        <f t="shared" si="0"/>
        <v>MNR</v>
      </c>
      <c r="F30" s="23" t="str">
        <f>Commodities!E105</f>
        <v>SUPMNR</v>
      </c>
      <c r="G30" s="484">
        <v>1</v>
      </c>
    </row>
    <row r="31" spans="2:7">
      <c r="B31" s="484" t="str">
        <f>Processes!D146</f>
        <v>FT-SUPBGA</v>
      </c>
      <c r="C31" s="484"/>
      <c r="D31" s="484" t="str">
        <f t="shared" si="0"/>
        <v>BGA</v>
      </c>
      <c r="F31" s="23" t="str">
        <f>Commodities!E106</f>
        <v>SUPBGA</v>
      </c>
      <c r="G31" s="484">
        <v>1</v>
      </c>
    </row>
    <row r="32" spans="2:7">
      <c r="B32" s="484" t="str">
        <f>Processes!D147</f>
        <v>FT-SUPHFB</v>
      </c>
      <c r="C32" s="484"/>
      <c r="D32" s="484" t="str">
        <f t="shared" si="0"/>
        <v>HFB</v>
      </c>
      <c r="F32" s="23" t="str">
        <f>Commodities!E107</f>
        <v>SUPHFB</v>
      </c>
      <c r="G32" s="484">
        <v>1</v>
      </c>
    </row>
    <row r="33" spans="2:7">
      <c r="B33" s="484" t="str">
        <f>Processes!D148</f>
        <v>FT-SUPDDGS</v>
      </c>
      <c r="C33" s="484"/>
      <c r="D33" s="484" t="str">
        <f t="shared" si="0"/>
        <v>DDGS</v>
      </c>
      <c r="F33" s="23" t="str">
        <f>Commodities!E108</f>
        <v>SUPDDGS</v>
      </c>
      <c r="G33" s="484">
        <v>1</v>
      </c>
    </row>
    <row r="34" spans="2:7">
      <c r="B34" s="484" t="str">
        <f>Processes!D149</f>
        <v>FT-SUPH2</v>
      </c>
      <c r="C34" s="484"/>
      <c r="D34" s="589" t="s">
        <v>755</v>
      </c>
      <c r="E34" s="589"/>
      <c r="F34" s="23" t="str">
        <f>Commodities!E109</f>
        <v>SUPH2</v>
      </c>
      <c r="G34" s="484">
        <v>1</v>
      </c>
    </row>
    <row r="35" spans="2:7">
      <c r="B35" s="484" t="str">
        <f>Processes!D150</f>
        <v>FT-SUPH2G</v>
      </c>
      <c r="C35" s="484"/>
      <c r="D35" s="484" t="str">
        <f t="shared" si="0"/>
        <v>H2G</v>
      </c>
      <c r="F35" s="23" t="str">
        <f>Commodities!E110</f>
        <v>SUPH2G</v>
      </c>
      <c r="G35" s="484">
        <v>1</v>
      </c>
    </row>
    <row r="36" spans="2:7">
      <c r="B36" s="484" t="str">
        <f>Processes!D151</f>
        <v>FT-SUPAMM</v>
      </c>
      <c r="C36" s="484"/>
      <c r="D36" s="484" t="str">
        <f t="shared" si="0"/>
        <v>AMM</v>
      </c>
      <c r="F36" s="23" t="str">
        <f>Commodities!E111</f>
        <v>SUPAMM</v>
      </c>
      <c r="G36" s="484">
        <v>1</v>
      </c>
    </row>
    <row r="37" spans="2:7">
      <c r="B37" s="484" t="str">
        <f>Processes!D152</f>
        <v>FT-SUPDME</v>
      </c>
      <c r="C37" s="484"/>
      <c r="D37" s="484" t="str">
        <f t="shared" si="0"/>
        <v>DME</v>
      </c>
      <c r="F37" s="23" t="str">
        <f>Commodities!E112</f>
        <v>SUPDME</v>
      </c>
      <c r="G37" s="484">
        <v>1</v>
      </c>
    </row>
    <row r="38" spans="2:7">
      <c r="B38" s="484" t="str">
        <f>Processes!D153</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Processes!D154</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Processes!D155</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Processes!D156</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Processes!D157</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Processes!D158</f>
        <v>FT-MINNGA</v>
      </c>
      <c r="C53" s="557"/>
      <c r="D53" s="557" t="s">
        <v>736</v>
      </c>
      <c r="E53" s="557"/>
      <c r="F53" s="557" t="s">
        <v>41</v>
      </c>
      <c r="G53" s="557">
        <v>1</v>
      </c>
      <c r="H53" s="557"/>
      <c r="I53" s="557"/>
      <c r="J53" s="557"/>
    </row>
    <row r="54" spans="2:23" s="602" customFormat="1">
      <c r="B54" s="557"/>
      <c r="C54" s="557"/>
      <c r="D54" s="557"/>
      <c r="E54" s="557" t="s">
        <v>729</v>
      </c>
      <c r="F54" s="557"/>
      <c r="G54" s="557"/>
      <c r="H54" s="1227">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27"/>
      <c r="I55" s="557"/>
      <c r="J55" s="557"/>
      <c r="K55" s="602">
        <f>H63*233*40.1</f>
        <v>16.907629870129874</v>
      </c>
      <c r="L55" s="602">
        <f>K55*76</f>
        <v>1284.9798701298705</v>
      </c>
      <c r="P55" s="1135"/>
    </row>
    <row r="56" spans="2:23" s="602" customFormat="1">
      <c r="B56" s="557"/>
      <c r="C56" s="557"/>
      <c r="D56" s="557"/>
      <c r="E56" s="557" t="s">
        <v>212</v>
      </c>
      <c r="F56" s="557"/>
      <c r="G56" s="557"/>
      <c r="H56" s="1227">
        <f>H68</f>
        <v>4.8123987970164622E-3</v>
      </c>
      <c r="I56" s="557"/>
      <c r="J56" s="557"/>
      <c r="K56" s="602">
        <f>H64*230*40.1</f>
        <v>44.38475410488283</v>
      </c>
      <c r="P56" s="1136" t="s">
        <v>1644</v>
      </c>
    </row>
    <row r="57" spans="2:23">
      <c r="B57" s="557" t="str">
        <f>Processes!D159</f>
        <v>FT-MINCRD</v>
      </c>
      <c r="C57" s="557"/>
      <c r="D57" s="557" t="s">
        <v>735</v>
      </c>
      <c r="E57" s="557"/>
      <c r="F57" s="557" t="s">
        <v>93</v>
      </c>
      <c r="G57" s="557">
        <v>1</v>
      </c>
      <c r="H57" s="557"/>
      <c r="I57" s="557"/>
      <c r="J57" s="557"/>
    </row>
    <row r="58" spans="2:23" ht="29.4" thickBot="1">
      <c r="B58" s="557"/>
      <c r="C58" s="557"/>
      <c r="D58" s="557"/>
      <c r="E58" s="557" t="s">
        <v>729</v>
      </c>
      <c r="F58" s="557"/>
      <c r="G58" s="557"/>
      <c r="H58" s="1227">
        <f>H54</f>
        <v>3.0232753332390731E-2</v>
      </c>
      <c r="I58" s="557"/>
      <c r="J58" s="557"/>
      <c r="K58" s="602">
        <f>1/H62</f>
        <v>44.078515346181291</v>
      </c>
      <c r="L58">
        <f>K58*K54</f>
        <v>9343.2999999999993</v>
      </c>
      <c r="O58" s="1130"/>
      <c r="P58" s="1130"/>
      <c r="Q58" s="1131" t="s">
        <v>305</v>
      </c>
      <c r="R58" s="1131" t="s">
        <v>1637</v>
      </c>
      <c r="S58" s="1131" t="s">
        <v>1638</v>
      </c>
      <c r="T58" s="1131" t="s">
        <v>56</v>
      </c>
      <c r="U58" s="1131" t="s">
        <v>247</v>
      </c>
      <c r="V58" s="1131" t="s">
        <v>1639</v>
      </c>
      <c r="W58" s="1131" t="s">
        <v>1640</v>
      </c>
    </row>
    <row r="59" spans="2:23" s="602" customFormat="1" ht="14.4">
      <c r="B59" s="557"/>
      <c r="C59" s="557"/>
      <c r="D59" s="557"/>
      <c r="E59" s="557" t="s">
        <v>1590</v>
      </c>
      <c r="F59" s="557"/>
      <c r="G59" s="557"/>
      <c r="H59" s="1227"/>
      <c r="I59" s="557"/>
      <c r="J59" s="557"/>
      <c r="O59" s="1270" t="s">
        <v>1641</v>
      </c>
      <c r="P59" s="1270"/>
      <c r="Q59" s="1132">
        <v>186.8</v>
      </c>
      <c r="R59" s="1132">
        <v>14.9</v>
      </c>
      <c r="S59" s="1129"/>
      <c r="T59" s="1129"/>
      <c r="U59" s="1132">
        <v>29</v>
      </c>
      <c r="V59" s="1129"/>
      <c r="W59" s="1132">
        <v>230.8</v>
      </c>
    </row>
    <row r="60" spans="2:23" ht="15" thickBot="1">
      <c r="B60" s="557"/>
      <c r="C60" s="557"/>
      <c r="D60" s="557"/>
      <c r="E60" s="557" t="s">
        <v>212</v>
      </c>
      <c r="F60" s="557"/>
      <c r="G60" s="557"/>
      <c r="H60" s="1227">
        <f>H64</f>
        <v>4.8123987970164622E-3</v>
      </c>
      <c r="I60" s="557"/>
      <c r="J60" s="557"/>
      <c r="L60" s="602"/>
      <c r="O60" s="1130" t="s">
        <v>1642</v>
      </c>
      <c r="P60" s="1130"/>
      <c r="Q60" s="1133">
        <v>0</v>
      </c>
      <c r="R60" s="1133">
        <v>21.1</v>
      </c>
      <c r="S60" s="1133"/>
      <c r="T60" s="1133"/>
      <c r="U60" s="1133">
        <v>1.8</v>
      </c>
      <c r="V60" s="1130"/>
      <c r="W60" s="1133">
        <v>23</v>
      </c>
    </row>
    <row r="61" spans="2:23" s="602" customFormat="1" ht="15" thickBot="1">
      <c r="B61" s="557" t="str">
        <f>Processes!D160</f>
        <v>FT-MINNGA2</v>
      </c>
      <c r="C61" s="557"/>
      <c r="D61" s="557" t="s">
        <v>736</v>
      </c>
      <c r="E61" s="557"/>
      <c r="F61" s="557" t="s">
        <v>41</v>
      </c>
      <c r="G61" s="557">
        <v>1</v>
      </c>
      <c r="H61" s="1227"/>
      <c r="I61" s="557"/>
      <c r="J61" s="557"/>
      <c r="O61" s="1134" t="s">
        <v>1643</v>
      </c>
      <c r="P61" s="1134"/>
      <c r="Q61" s="1133">
        <v>186.8</v>
      </c>
      <c r="R61" s="1133">
        <v>36</v>
      </c>
      <c r="S61" s="1133">
        <v>0</v>
      </c>
      <c r="T61" s="1133">
        <v>0</v>
      </c>
      <c r="U61" s="1133">
        <v>30.8</v>
      </c>
      <c r="V61" s="1133">
        <v>0</v>
      </c>
      <c r="W61" s="1133">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Processes!D161</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Processes!D162</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Processes!D163</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9D23-5B04-4D5C-BD29-2D37EBF90A1B}">
  <sheetPr>
    <tabColor rgb="FF92D050"/>
  </sheetPr>
  <dimension ref="B3:AN41"/>
  <sheetViews>
    <sheetView workbookViewId="0">
      <selection activeCell="O19" sqref="O19"/>
    </sheetView>
  </sheetViews>
  <sheetFormatPr defaultRowHeight="13.2"/>
  <cols>
    <col min="2" max="2" width="15.88671875" bestFit="1" customWidth="1"/>
    <col min="3" max="3" width="30.109375" bestFit="1" customWidth="1"/>
    <col min="6" max="6" width="8.44140625" bestFit="1" customWidth="1"/>
    <col min="8" max="9" width="6.77734375" customWidth="1"/>
    <col min="10" max="16" width="6.77734375" style="602" customWidth="1"/>
    <col min="18" max="18" width="12.44140625" style="602" bestFit="1" customWidth="1"/>
    <col min="19" max="19" width="9.5546875" bestFit="1" customWidth="1"/>
    <col min="20" max="20" width="17.5546875" style="602" customWidth="1"/>
    <col min="21" max="21" width="19.44140625" bestFit="1" customWidth="1"/>
    <col min="22" max="22" width="19.44140625" style="602" bestFit="1" customWidth="1"/>
    <col min="23" max="23" width="19.44140625" style="602" customWidth="1"/>
    <col min="25" max="25" width="9.6640625" style="602" customWidth="1"/>
    <col min="26" max="26" width="11.21875" style="602" customWidth="1"/>
  </cols>
  <sheetData>
    <row r="3" spans="2:40" ht="13.8">
      <c r="B3" s="9"/>
      <c r="C3" s="102"/>
      <c r="D3" s="102"/>
      <c r="F3" s="10" t="s">
        <v>7</v>
      </c>
      <c r="G3" s="602"/>
    </row>
    <row r="4" spans="2:40" ht="41.4">
      <c r="B4" s="11" t="s">
        <v>1</v>
      </c>
      <c r="C4" s="11" t="s">
        <v>21</v>
      </c>
      <c r="D4" s="11" t="s">
        <v>81</v>
      </c>
      <c r="E4" s="103" t="s">
        <v>13</v>
      </c>
      <c r="F4" s="1146" t="s">
        <v>205</v>
      </c>
      <c r="G4" s="54" t="s">
        <v>82</v>
      </c>
      <c r="H4" s="1120" t="s">
        <v>1914</v>
      </c>
      <c r="I4" s="1120" t="s">
        <v>1915</v>
      </c>
      <c r="J4" s="1120" t="s">
        <v>1916</v>
      </c>
      <c r="K4" s="1120" t="s">
        <v>1921</v>
      </c>
      <c r="L4" s="1120" t="s">
        <v>1922</v>
      </c>
      <c r="M4" s="1120" t="s">
        <v>1923</v>
      </c>
      <c r="N4" s="1120" t="s">
        <v>1925</v>
      </c>
      <c r="O4" s="1120" t="s">
        <v>1926</v>
      </c>
      <c r="P4" s="1120" t="s">
        <v>1927</v>
      </c>
      <c r="Q4" s="1145" t="s">
        <v>1678</v>
      </c>
      <c r="R4" s="1146" t="s">
        <v>1677</v>
      </c>
      <c r="S4" s="1140" t="s">
        <v>1676</v>
      </c>
      <c r="T4" s="1140" t="s">
        <v>1675</v>
      </c>
      <c r="U4" s="1140" t="s">
        <v>83</v>
      </c>
      <c r="V4" s="1141" t="s">
        <v>1904</v>
      </c>
      <c r="W4" s="1141" t="s">
        <v>1903</v>
      </c>
      <c r="X4" s="1141" t="s">
        <v>1902</v>
      </c>
      <c r="Y4" s="1141" t="s">
        <v>1917</v>
      </c>
      <c r="Z4" s="1141" t="s">
        <v>1918</v>
      </c>
      <c r="AB4" s="1220" t="s">
        <v>1794</v>
      </c>
      <c r="AC4" s="1221" t="s">
        <v>1697</v>
      </c>
      <c r="AD4" s="1222"/>
      <c r="AE4" s="1222"/>
      <c r="AF4" s="1220"/>
      <c r="AG4" s="1220"/>
      <c r="AH4" s="1220"/>
      <c r="AI4" s="1220"/>
      <c r="AJ4" s="602" t="s">
        <v>1690</v>
      </c>
    </row>
    <row r="5" spans="2:40" ht="24.6" thickBot="1">
      <c r="B5" s="104" t="s">
        <v>214</v>
      </c>
      <c r="C5" s="105"/>
      <c r="D5" s="105"/>
      <c r="E5" s="106"/>
      <c r="F5" s="105"/>
      <c r="G5" s="107"/>
      <c r="H5" s="107"/>
      <c r="I5" s="107"/>
      <c r="J5" s="107"/>
      <c r="K5" s="107"/>
      <c r="L5" s="107"/>
      <c r="M5" s="107"/>
      <c r="N5" s="107"/>
      <c r="O5" s="107"/>
      <c r="P5" s="107"/>
      <c r="Q5" s="107"/>
      <c r="R5" s="107" t="s">
        <v>1705</v>
      </c>
      <c r="S5" s="107"/>
      <c r="T5" s="107" t="s">
        <v>1699</v>
      </c>
      <c r="U5" s="107" t="s">
        <v>1706</v>
      </c>
      <c r="V5" s="107" t="s">
        <v>1793</v>
      </c>
      <c r="W5" s="107" t="s">
        <v>1793</v>
      </c>
      <c r="X5" s="107" t="s">
        <v>1793</v>
      </c>
      <c r="Y5" s="1261"/>
      <c r="Z5" s="1261"/>
      <c r="AB5" s="3"/>
      <c r="AC5" s="1223" t="s">
        <v>1698</v>
      </c>
      <c r="AD5" s="1224"/>
      <c r="AE5" s="1224"/>
      <c r="AF5" s="1224"/>
      <c r="AG5" s="1224"/>
      <c r="AH5" s="1224"/>
      <c r="AI5" s="1224"/>
    </row>
    <row r="6" spans="2:40" ht="13.8" thickBot="1">
      <c r="B6" s="108" t="s">
        <v>22</v>
      </c>
      <c r="C6" s="109"/>
      <c r="D6" s="109"/>
      <c r="E6" s="109"/>
      <c r="F6" s="1147"/>
      <c r="G6" s="110"/>
      <c r="H6" s="110"/>
      <c r="I6" s="110"/>
      <c r="J6" s="110"/>
      <c r="K6" s="110"/>
      <c r="L6" s="110"/>
      <c r="M6" s="110"/>
      <c r="N6" s="110"/>
      <c r="O6" s="110"/>
      <c r="P6" s="110"/>
      <c r="Q6" s="110"/>
      <c r="R6" s="1147"/>
      <c r="S6" s="109"/>
      <c r="T6" s="109" t="s">
        <v>1700</v>
      </c>
      <c r="U6" s="109" t="s">
        <v>1707</v>
      </c>
      <c r="V6" s="109" t="s">
        <v>1791</v>
      </c>
      <c r="W6" s="109" t="s">
        <v>1791</v>
      </c>
      <c r="X6" s="109" t="s">
        <v>1791</v>
      </c>
      <c r="Y6" s="1262"/>
      <c r="Z6" s="1262"/>
      <c r="AB6" s="1225" t="s">
        <v>1795</v>
      </c>
      <c r="AC6" s="1221" t="s">
        <v>89</v>
      </c>
      <c r="AD6" s="1225" t="s">
        <v>1805</v>
      </c>
      <c r="AE6" s="1225"/>
      <c r="AF6" s="1225"/>
      <c r="AG6" s="1225"/>
      <c r="AH6" s="1225"/>
      <c r="AI6" s="1225"/>
      <c r="AM6" t="s">
        <v>1692</v>
      </c>
    </row>
    <row r="7" spans="2:40">
      <c r="B7" t="s">
        <v>1906</v>
      </c>
      <c r="C7" t="s">
        <v>1680</v>
      </c>
      <c r="D7" t="s">
        <v>215</v>
      </c>
      <c r="E7" t="s">
        <v>1679</v>
      </c>
      <c r="F7" s="602" t="s">
        <v>1708</v>
      </c>
      <c r="G7" s="1122">
        <f>1-(1-AC7)*$AM$7/$AM$8</f>
        <v>0.9864033566304371</v>
      </c>
      <c r="H7" s="1260">
        <f t="shared" ref="H7:H14" si="0">ROUNDUP(AB7/S7/R7,0)</f>
        <v>6615</v>
      </c>
      <c r="I7" s="1260">
        <f>H7*0.1</f>
        <v>661.5</v>
      </c>
      <c r="J7" s="1260">
        <f>I7</f>
        <v>661.5</v>
      </c>
      <c r="K7" s="1260">
        <f t="shared" ref="K7:K14" si="1">H7</f>
        <v>6615</v>
      </c>
      <c r="L7" s="1260">
        <f>K7*0.1</f>
        <v>661.5</v>
      </c>
      <c r="M7" s="1260">
        <f>L7</f>
        <v>661.5</v>
      </c>
      <c r="N7" s="1260">
        <v>0</v>
      </c>
      <c r="O7" s="1260">
        <v>0</v>
      </c>
      <c r="P7" s="1260">
        <f>O7</f>
        <v>0</v>
      </c>
      <c r="Q7">
        <v>50</v>
      </c>
      <c r="R7" s="1075">
        <v>0.45</v>
      </c>
      <c r="S7" s="1144">
        <f>8760*3.6/1000000</f>
        <v>3.1536000000000002E-2</v>
      </c>
      <c r="T7" s="1144">
        <v>1.08953E-3</v>
      </c>
      <c r="U7" s="1144"/>
      <c r="V7" s="1144"/>
      <c r="W7" s="1144"/>
      <c r="X7" s="1144"/>
      <c r="Y7" s="1260">
        <v>0</v>
      </c>
      <c r="Z7" s="1260">
        <v>5</v>
      </c>
      <c r="AB7" s="3">
        <f>'2019'!S16/1000</f>
        <v>93.862499999999997</v>
      </c>
      <c r="AC7" s="3">
        <v>0.99149999999999994</v>
      </c>
      <c r="AD7" s="1226"/>
      <c r="AE7" s="3"/>
      <c r="AF7" s="3"/>
      <c r="AG7" s="3"/>
      <c r="AH7" s="3"/>
      <c r="AI7" s="3"/>
      <c r="AJ7" s="602" t="s">
        <v>1691</v>
      </c>
      <c r="AM7" s="1142">
        <v>0.10390000000000001</v>
      </c>
      <c r="AN7" t="s">
        <v>1694</v>
      </c>
    </row>
    <row r="8" spans="2:40">
      <c r="B8" s="602" t="s">
        <v>1907</v>
      </c>
      <c r="C8" s="602" t="s">
        <v>1681</v>
      </c>
      <c r="D8" s="602" t="s">
        <v>1679</v>
      </c>
      <c r="E8" s="602" t="s">
        <v>1682</v>
      </c>
      <c r="F8" s="602" t="s">
        <v>1708</v>
      </c>
      <c r="G8" s="1122">
        <f>1-(1-AC8)*$AM$7/$AM$8</f>
        <v>0.98000493622123097</v>
      </c>
      <c r="H8" s="1260">
        <f t="shared" si="0"/>
        <v>5300</v>
      </c>
      <c r="I8" s="1260">
        <f>H8*0.1</f>
        <v>530</v>
      </c>
      <c r="J8" s="1260">
        <f>I8</f>
        <v>530</v>
      </c>
      <c r="K8" s="1260">
        <f t="shared" si="1"/>
        <v>5300</v>
      </c>
      <c r="L8" s="1260">
        <f>K8*0.1</f>
        <v>530</v>
      </c>
      <c r="M8" s="1260">
        <f>L8</f>
        <v>530</v>
      </c>
      <c r="N8" s="1260">
        <v>0</v>
      </c>
      <c r="O8" s="1260">
        <f>N8*0.1</f>
        <v>0</v>
      </c>
      <c r="P8" s="1260">
        <f>O8</f>
        <v>0</v>
      </c>
      <c r="Q8" s="602">
        <v>50</v>
      </c>
      <c r="R8" s="1075">
        <v>0.45</v>
      </c>
      <c r="S8" s="1144">
        <f t="shared" ref="S8:S9" si="2">8760*3.6/1000000</f>
        <v>3.1536000000000002E-2</v>
      </c>
      <c r="T8" s="1144">
        <v>6.5371800000000007E-4</v>
      </c>
      <c r="U8" s="1175"/>
      <c r="V8" s="1175"/>
      <c r="W8" s="1175"/>
      <c r="X8" s="1175"/>
      <c r="Y8" s="1260">
        <v>0</v>
      </c>
      <c r="Z8" s="1260">
        <v>5</v>
      </c>
      <c r="AB8" s="602">
        <f>('2019'!S26+'2019'!S27)/1000</f>
        <v>75.210499999999996</v>
      </c>
      <c r="AC8">
        <v>0.98749999999999982</v>
      </c>
      <c r="AJ8" s="602" t="s">
        <v>1691</v>
      </c>
      <c r="AM8" s="1143">
        <f>1-0.93504646875</f>
        <v>6.4953531250000029E-2</v>
      </c>
      <c r="AN8" s="602" t="s">
        <v>1693</v>
      </c>
    </row>
    <row r="9" spans="2:40">
      <c r="B9" s="602" t="s">
        <v>1908</v>
      </c>
      <c r="C9" s="602" t="s">
        <v>1683</v>
      </c>
      <c r="D9" s="602" t="s">
        <v>1682</v>
      </c>
      <c r="E9" s="602" t="s">
        <v>1684</v>
      </c>
      <c r="F9" s="602" t="s">
        <v>1708</v>
      </c>
      <c r="G9" s="1122">
        <f>1-(1-AC9)*$AM$7/$AM$8</f>
        <v>0.92801777039643241</v>
      </c>
      <c r="H9" s="1260">
        <f t="shared" si="0"/>
        <v>3430</v>
      </c>
      <c r="I9" s="1260">
        <f>H9*0.1</f>
        <v>343</v>
      </c>
      <c r="J9" s="1260">
        <f>I9</f>
        <v>343</v>
      </c>
      <c r="K9" s="1260">
        <f t="shared" si="1"/>
        <v>3430</v>
      </c>
      <c r="L9" s="1260">
        <f>K9*0.1</f>
        <v>343</v>
      </c>
      <c r="M9" s="1260">
        <f>L9</f>
        <v>343</v>
      </c>
      <c r="N9" s="1260">
        <v>0</v>
      </c>
      <c r="O9" s="1260">
        <f>N9*0.1</f>
        <v>0</v>
      </c>
      <c r="P9" s="1260">
        <f>O9</f>
        <v>0</v>
      </c>
      <c r="Q9" s="602">
        <v>50</v>
      </c>
      <c r="R9" s="1075">
        <v>0.47499999999999998</v>
      </c>
      <c r="S9" s="1144">
        <f t="shared" si="2"/>
        <v>3.1536000000000002E-2</v>
      </c>
      <c r="T9" s="1144">
        <v>2.1034229310113715E-3</v>
      </c>
      <c r="U9" s="565"/>
      <c r="V9" s="565"/>
      <c r="W9" s="565"/>
      <c r="X9" s="565"/>
      <c r="Y9" s="1260">
        <v>0</v>
      </c>
      <c r="Z9" s="1260">
        <v>5</v>
      </c>
      <c r="AB9" s="602">
        <f>('2019'!S50+'2019'!S43)/1000</f>
        <v>51.365900000000003</v>
      </c>
      <c r="AC9">
        <v>0.95499999999999996</v>
      </c>
      <c r="AJ9" s="602" t="s">
        <v>1691</v>
      </c>
    </row>
    <row r="10" spans="2:40" s="602" customFormat="1">
      <c r="B10" s="602" t="s">
        <v>1913</v>
      </c>
      <c r="C10" s="602" t="s">
        <v>1688</v>
      </c>
      <c r="D10" s="602" t="s">
        <v>41</v>
      </c>
      <c r="E10" s="3" t="s">
        <v>1689</v>
      </c>
      <c r="F10" s="602" t="s">
        <v>1708</v>
      </c>
      <c r="G10" s="1174">
        <f>1-'2019'!P26/'2019'!P6</f>
        <v>0.9705967007147358</v>
      </c>
      <c r="H10" s="1260">
        <f t="shared" si="0"/>
        <v>151816</v>
      </c>
      <c r="I10" s="1260">
        <f>H10*0.1</f>
        <v>15181.6</v>
      </c>
      <c r="J10" s="1260">
        <f>I10</f>
        <v>15181.6</v>
      </c>
      <c r="K10" s="1260">
        <f t="shared" si="1"/>
        <v>151816</v>
      </c>
      <c r="L10" s="1260">
        <f>K10*0.1</f>
        <v>15181.6</v>
      </c>
      <c r="M10" s="1260">
        <f>L10</f>
        <v>15181.6</v>
      </c>
      <c r="N10" s="1260">
        <v>0</v>
      </c>
      <c r="O10" s="1260">
        <f>N10*0.1</f>
        <v>0</v>
      </c>
      <c r="P10" s="1260">
        <f>O10</f>
        <v>0</v>
      </c>
      <c r="Q10" s="3">
        <v>50</v>
      </c>
      <c r="R10" s="1231">
        <v>0.2</v>
      </c>
      <c r="S10" s="1144">
        <v>3.1536000000000002E-2</v>
      </c>
      <c r="T10" s="1176">
        <f>6.04934202846487E-06</f>
        <v>6.0493420284648697E-6</v>
      </c>
      <c r="U10" s="565">
        <v>0.15631479862069877</v>
      </c>
      <c r="V10" s="565">
        <f>'2010'!P26/'2010'!P6*(1000/53.6)*25</f>
        <v>31.248000428778433</v>
      </c>
      <c r="W10" s="565">
        <f>'2019'!P26/'2019'!P6*(1000/53.6)*25</f>
        <v>13.714225412903067</v>
      </c>
      <c r="X10" s="565">
        <v>5</v>
      </c>
      <c r="Y10" s="1260">
        <v>0</v>
      </c>
      <c r="Z10" s="1260">
        <v>5</v>
      </c>
      <c r="AA10"/>
      <c r="AB10" s="602">
        <f>'2019'!P6/1000</f>
        <v>957.52859999999998</v>
      </c>
      <c r="AC10" s="602">
        <v>0.999</v>
      </c>
      <c r="AD10" s="588" t="s">
        <v>1806</v>
      </c>
      <c r="AJ10" s="602" t="s">
        <v>1691</v>
      </c>
    </row>
    <row r="11" spans="2:40">
      <c r="B11" t="s">
        <v>1911</v>
      </c>
      <c r="C11" t="s">
        <v>1702</v>
      </c>
      <c r="D11" t="s">
        <v>1689</v>
      </c>
      <c r="E11" s="3" t="s">
        <v>1701</v>
      </c>
      <c r="F11" s="602" t="s">
        <v>1708</v>
      </c>
      <c r="G11" s="3">
        <f>AC11</f>
        <v>0.997</v>
      </c>
      <c r="H11" s="1260">
        <f t="shared" si="0"/>
        <v>13374</v>
      </c>
      <c r="I11" s="1260">
        <f>H11*0.1</f>
        <v>1337.4</v>
      </c>
      <c r="J11" s="1260">
        <f>I11</f>
        <v>1337.4</v>
      </c>
      <c r="K11" s="1260">
        <f t="shared" si="1"/>
        <v>13374</v>
      </c>
      <c r="L11" s="1260">
        <f>K11*0.1</f>
        <v>1337.4</v>
      </c>
      <c r="M11" s="1260">
        <f>L11</f>
        <v>1337.4</v>
      </c>
      <c r="N11" s="1260">
        <v>0</v>
      </c>
      <c r="O11" s="1260">
        <f>N11*0.1</f>
        <v>0</v>
      </c>
      <c r="P11" s="1260">
        <f>O11</f>
        <v>0</v>
      </c>
      <c r="Q11" s="3">
        <v>50</v>
      </c>
      <c r="R11" s="1231">
        <v>0.47499999999999998</v>
      </c>
      <c r="S11" s="1144">
        <v>3.1536000000000002E-2</v>
      </c>
      <c r="T11" s="1175">
        <v>3.5340000000000002E-4</v>
      </c>
      <c r="U11" s="565"/>
      <c r="V11" s="1230">
        <f>(1-G11)*1000/53.6*25</f>
        <v>1.3992537313432849</v>
      </c>
      <c r="W11" s="1230">
        <f>(1-G11)*1000/53.6*25</f>
        <v>1.3992537313432849</v>
      </c>
      <c r="X11" s="1230">
        <v>5</v>
      </c>
      <c r="Y11" s="1260">
        <v>0</v>
      </c>
      <c r="Z11" s="1260">
        <v>5</v>
      </c>
      <c r="AB11">
        <f>'2019'!P27/1000</f>
        <v>200.32310000000001</v>
      </c>
      <c r="AC11" s="602">
        <v>0.997</v>
      </c>
      <c r="AJ11" s="602" t="s">
        <v>1691</v>
      </c>
    </row>
    <row r="12" spans="2:40">
      <c r="B12" s="602" t="s">
        <v>1912</v>
      </c>
      <c r="C12" s="602" t="s">
        <v>1809</v>
      </c>
      <c r="D12" s="602" t="s">
        <v>1812</v>
      </c>
      <c r="E12" s="602" t="s">
        <v>1673</v>
      </c>
      <c r="F12" s="602" t="s">
        <v>1708</v>
      </c>
      <c r="G12" s="1122">
        <f>1-'2019'!R26/'2019'!R16</f>
        <v>0.94300085616438356</v>
      </c>
      <c r="H12" s="1260">
        <f t="shared" si="0"/>
        <v>2095</v>
      </c>
      <c r="I12" s="1260">
        <v>0</v>
      </c>
      <c r="J12" s="1260">
        <v>0</v>
      </c>
      <c r="K12" s="1260">
        <f t="shared" si="1"/>
        <v>2095</v>
      </c>
      <c r="L12" s="1260">
        <v>0</v>
      </c>
      <c r="M12" s="1260">
        <v>0</v>
      </c>
      <c r="N12" s="1260">
        <v>0</v>
      </c>
      <c r="O12" s="1260">
        <v>0</v>
      </c>
      <c r="P12" s="1260">
        <v>0</v>
      </c>
      <c r="Q12" s="3">
        <v>80</v>
      </c>
      <c r="R12" s="1075">
        <v>0.2</v>
      </c>
      <c r="S12" s="1144">
        <v>3.1536000000000002E-2</v>
      </c>
      <c r="T12" s="1122"/>
      <c r="U12" s="565">
        <v>0.41666666666666663</v>
      </c>
      <c r="V12" s="565"/>
      <c r="W12" s="1229"/>
      <c r="X12" s="1229"/>
      <c r="Y12" s="1260">
        <v>0</v>
      </c>
      <c r="Z12" s="1260">
        <v>5</v>
      </c>
      <c r="AB12" s="602">
        <f>'2019'!R28/1000</f>
        <v>13.2075</v>
      </c>
      <c r="AC12" s="602">
        <v>0.9</v>
      </c>
      <c r="AJ12" s="602" t="s">
        <v>1691</v>
      </c>
    </row>
    <row r="13" spans="2:40">
      <c r="B13" s="602" t="s">
        <v>1909</v>
      </c>
      <c r="C13" s="602" t="s">
        <v>1810</v>
      </c>
      <c r="D13" s="602" t="s">
        <v>1812</v>
      </c>
      <c r="E13" s="602" t="s">
        <v>1919</v>
      </c>
      <c r="F13" s="602" t="s">
        <v>1708</v>
      </c>
      <c r="G13" s="1122">
        <f>AC13</f>
        <v>0.81</v>
      </c>
      <c r="H13" s="1260">
        <f t="shared" si="0"/>
        <v>0</v>
      </c>
      <c r="I13" s="1260">
        <v>0</v>
      </c>
      <c r="J13" s="1260">
        <v>0</v>
      </c>
      <c r="K13" s="1260">
        <f t="shared" si="1"/>
        <v>0</v>
      </c>
      <c r="L13" s="1260">
        <v>0</v>
      </c>
      <c r="M13" s="1260">
        <v>0</v>
      </c>
      <c r="N13" s="1260">
        <v>0</v>
      </c>
      <c r="O13" s="1260">
        <v>0</v>
      </c>
      <c r="P13" s="1260">
        <v>0</v>
      </c>
      <c r="Q13" s="3">
        <v>80</v>
      </c>
      <c r="R13" s="1075">
        <v>0.2</v>
      </c>
      <c r="S13" s="1144">
        <v>3.1536000000000002E-2</v>
      </c>
      <c r="T13" s="1122"/>
      <c r="U13" s="565">
        <v>0.41666666666666663</v>
      </c>
      <c r="V13" s="565"/>
      <c r="W13" s="565"/>
      <c r="X13" s="565"/>
      <c r="Y13" s="1260">
        <v>0</v>
      </c>
      <c r="Z13" s="1260">
        <v>5</v>
      </c>
      <c r="AB13" s="602"/>
      <c r="AC13">
        <v>0.81</v>
      </c>
      <c r="AJ13" s="602" t="s">
        <v>1691</v>
      </c>
    </row>
    <row r="14" spans="2:40">
      <c r="B14" s="602" t="s">
        <v>1910</v>
      </c>
      <c r="C14" s="602" t="s">
        <v>1811</v>
      </c>
      <c r="D14" s="602" t="s">
        <v>1813</v>
      </c>
      <c r="E14" s="602" t="s">
        <v>1674</v>
      </c>
      <c r="F14" s="602" t="s">
        <v>1708</v>
      </c>
      <c r="G14" s="1122">
        <f>AC14</f>
        <v>0.8</v>
      </c>
      <c r="H14" s="1260">
        <f t="shared" si="0"/>
        <v>0</v>
      </c>
      <c r="I14" s="1260">
        <v>0</v>
      </c>
      <c r="J14" s="1260">
        <v>0</v>
      </c>
      <c r="K14" s="1260">
        <f t="shared" si="1"/>
        <v>0</v>
      </c>
      <c r="L14" s="1260">
        <v>0</v>
      </c>
      <c r="M14" s="1260">
        <v>0</v>
      </c>
      <c r="N14" s="1260">
        <v>0</v>
      </c>
      <c r="O14" s="1260">
        <v>0</v>
      </c>
      <c r="P14" s="1260">
        <v>0</v>
      </c>
      <c r="Q14" s="3">
        <v>80</v>
      </c>
      <c r="R14" s="1075">
        <v>0.2</v>
      </c>
      <c r="S14" s="1144">
        <v>3.1536000000000002E-2</v>
      </c>
      <c r="T14" s="1122"/>
      <c r="U14" s="565">
        <v>0.41666666666666663</v>
      </c>
      <c r="V14" s="565"/>
      <c r="X14" s="602"/>
      <c r="Y14" s="1260">
        <v>0</v>
      </c>
      <c r="Z14" s="1260">
        <v>5</v>
      </c>
      <c r="AB14" s="602"/>
      <c r="AC14">
        <v>0.8</v>
      </c>
    </row>
    <row r="15" spans="2:40">
      <c r="F15" s="602"/>
      <c r="J15"/>
      <c r="Q15" s="602"/>
      <c r="R15"/>
      <c r="S15" s="602"/>
      <c r="X15" s="602"/>
      <c r="Y15" s="1260"/>
      <c r="Z15" s="1260"/>
    </row>
    <row r="16" spans="2:40">
      <c r="F16" s="602"/>
      <c r="J16"/>
      <c r="Q16" s="602"/>
      <c r="R16"/>
      <c r="S16" s="602"/>
      <c r="X16" s="602"/>
      <c r="Y16" s="1260"/>
      <c r="Z16" s="1260"/>
    </row>
    <row r="17" spans="6:24">
      <c r="F17" s="602"/>
      <c r="J17"/>
      <c r="Q17" s="602"/>
      <c r="R17"/>
      <c r="S17" s="602"/>
      <c r="X17" s="602"/>
    </row>
    <row r="18" spans="6:24">
      <c r="X18" s="602"/>
    </row>
    <row r="19" spans="6:24">
      <c r="X19" s="602"/>
    </row>
    <row r="20" spans="6:24">
      <c r="X20" s="602"/>
    </row>
    <row r="21" spans="6:24">
      <c r="X21" s="602"/>
    </row>
    <row r="22" spans="6:24">
      <c r="X22" s="602"/>
    </row>
    <row r="23" spans="6:24">
      <c r="X23" s="602"/>
    </row>
    <row r="24" spans="6:24">
      <c r="X24" s="602"/>
    </row>
    <row r="25" spans="6:24">
      <c r="X25" s="602"/>
    </row>
    <row r="26" spans="6:24">
      <c r="U26" s="602"/>
      <c r="X26" s="602"/>
    </row>
    <row r="27" spans="6:24">
      <c r="U27" s="602"/>
      <c r="X27" s="602"/>
    </row>
    <row r="28" spans="6:24">
      <c r="X28" s="602"/>
    </row>
    <row r="29" spans="6:24">
      <c r="X29" s="602"/>
    </row>
    <row r="30" spans="6:24">
      <c r="S30" s="602"/>
      <c r="U30" s="602"/>
      <c r="X30" s="602"/>
    </row>
    <row r="31" spans="6:24">
      <c r="S31" s="602"/>
      <c r="U31" s="602"/>
      <c r="X31" s="602"/>
    </row>
    <row r="32" spans="6:24">
      <c r="X32" s="602"/>
    </row>
    <row r="33" spans="19:24">
      <c r="U33" s="602"/>
      <c r="X33" s="602"/>
    </row>
    <row r="34" spans="19:24">
      <c r="U34" s="602"/>
    </row>
    <row r="36" spans="19:24">
      <c r="S36" s="602"/>
      <c r="U36" s="602"/>
    </row>
    <row r="37" spans="19:24">
      <c r="S37" s="602"/>
      <c r="U37" s="602"/>
    </row>
    <row r="41" spans="19:24">
      <c r="S41" s="6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09375" defaultRowHeight="13.8"/>
  <cols>
    <col min="1" max="1" width="5.5546875" style="1179" customWidth="1"/>
    <col min="2" max="2" width="35.5546875" style="1179" customWidth="1"/>
    <col min="3" max="20" width="11.5546875" style="1179" customWidth="1"/>
    <col min="21" max="16384" width="9.109375" style="1179"/>
  </cols>
  <sheetData>
    <row r="1" spans="1:20">
      <c r="P1" s="1149">
        <f>P25+P26</f>
        <v>56519.8</v>
      </c>
    </row>
    <row r="2" spans="1:20">
      <c r="B2" s="1271" t="s">
        <v>1801</v>
      </c>
      <c r="C2" s="1271"/>
      <c r="D2" s="1271"/>
      <c r="E2" s="1271"/>
      <c r="F2" s="1271"/>
      <c r="G2" s="1271"/>
      <c r="H2" s="1271"/>
      <c r="I2" s="1271"/>
      <c r="J2" s="1271"/>
      <c r="K2" s="1271"/>
      <c r="L2" s="1271"/>
      <c r="M2" s="1271"/>
      <c r="N2" s="1271"/>
      <c r="O2" s="1271"/>
      <c r="P2" s="1271"/>
      <c r="Q2" s="1271"/>
      <c r="R2" s="1271"/>
      <c r="S2" s="1271"/>
      <c r="T2" s="1271"/>
    </row>
    <row r="3" spans="1:20" ht="14.4"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153" customFormat="1" ht="19.5" customHeight="1">
      <c r="B4" s="1278"/>
      <c r="C4" s="1272" t="s">
        <v>1710</v>
      </c>
      <c r="D4" s="1280" t="s">
        <v>1711</v>
      </c>
      <c r="E4" s="1272" t="s">
        <v>1712</v>
      </c>
      <c r="F4" s="1272" t="s">
        <v>1713</v>
      </c>
      <c r="G4" s="1282" t="s">
        <v>1714</v>
      </c>
      <c r="H4" s="1282"/>
      <c r="I4" s="1282"/>
      <c r="J4" s="1282"/>
      <c r="K4" s="1282"/>
      <c r="L4" s="1282"/>
      <c r="M4" s="1282"/>
      <c r="N4" s="1282"/>
      <c r="O4" s="1282"/>
      <c r="P4" s="1272" t="s">
        <v>1715</v>
      </c>
      <c r="Q4" s="1274" t="s">
        <v>1716</v>
      </c>
      <c r="R4" s="1272" t="s">
        <v>1717</v>
      </c>
      <c r="S4" s="1272" t="s">
        <v>1718</v>
      </c>
      <c r="T4" s="1276" t="s">
        <v>1719</v>
      </c>
    </row>
    <row r="5" spans="1:20" s="1153" customFormat="1" ht="49.5" customHeight="1" thickBot="1">
      <c r="B5" s="1279"/>
      <c r="C5" s="1273"/>
      <c r="D5" s="1281"/>
      <c r="E5" s="1273"/>
      <c r="F5" s="1273"/>
      <c r="G5" s="1151" t="s">
        <v>1720</v>
      </c>
      <c r="H5" s="1151" t="s">
        <v>1721</v>
      </c>
      <c r="I5" s="1151" t="s">
        <v>1722</v>
      </c>
      <c r="J5" s="1151" t="s">
        <v>1723</v>
      </c>
      <c r="K5" s="1151" t="s">
        <v>1724</v>
      </c>
      <c r="L5" s="1151" t="s">
        <v>1725</v>
      </c>
      <c r="M5" s="1151" t="s">
        <v>1800</v>
      </c>
      <c r="N5" s="1151" t="s">
        <v>1727</v>
      </c>
      <c r="O5" s="1151" t="s">
        <v>1728</v>
      </c>
      <c r="P5" s="1273"/>
      <c r="Q5" s="1275"/>
      <c r="R5" s="1273"/>
      <c r="S5" s="1273"/>
      <c r="T5" s="1277"/>
    </row>
    <row r="6" spans="1:20">
      <c r="A6" s="1179" t="s">
        <v>171</v>
      </c>
      <c r="B6" s="1203" t="s">
        <v>927</v>
      </c>
      <c r="C6" s="1202">
        <v>2858233.9</v>
      </c>
      <c r="D6" s="1202">
        <v>2190821.4</v>
      </c>
      <c r="E6" s="1202" t="s">
        <v>1081</v>
      </c>
      <c r="F6" s="1202" t="s">
        <v>1081</v>
      </c>
      <c r="G6" s="1202" t="s">
        <v>1081</v>
      </c>
      <c r="H6" s="1202" t="s">
        <v>1081</v>
      </c>
      <c r="I6" s="1202" t="s">
        <v>1081</v>
      </c>
      <c r="J6" s="1202" t="s">
        <v>1081</v>
      </c>
      <c r="K6" s="1202" t="s">
        <v>1081</v>
      </c>
      <c r="L6" s="1202" t="s">
        <v>1081</v>
      </c>
      <c r="M6" s="1202" t="s">
        <v>1081</v>
      </c>
      <c r="N6" s="1202" t="s">
        <v>1081</v>
      </c>
      <c r="O6" s="1202" t="s">
        <v>1081</v>
      </c>
      <c r="P6" s="1202">
        <v>651235.69999999995</v>
      </c>
      <c r="Q6" s="1202">
        <v>16176.8</v>
      </c>
      <c r="R6" s="1202" t="s">
        <v>1081</v>
      </c>
      <c r="S6" s="1202" t="s">
        <v>1081</v>
      </c>
      <c r="T6" s="1201" t="s">
        <v>1081</v>
      </c>
    </row>
    <row r="7" spans="1:20">
      <c r="A7" s="1179" t="s">
        <v>61</v>
      </c>
      <c r="B7" s="1200" t="s">
        <v>1729</v>
      </c>
      <c r="C7" s="1185">
        <v>1822.8</v>
      </c>
      <c r="D7" s="1185" t="s">
        <v>1081</v>
      </c>
      <c r="E7" s="1185" t="s">
        <v>1081</v>
      </c>
      <c r="F7" s="1185">
        <v>1124.3</v>
      </c>
      <c r="G7" s="1185" t="s">
        <v>1081</v>
      </c>
      <c r="H7" s="1185">
        <v>4.7</v>
      </c>
      <c r="I7" s="1185">
        <v>17.3</v>
      </c>
      <c r="J7" s="1185" t="s">
        <v>1081</v>
      </c>
      <c r="K7" s="1185">
        <v>21.5</v>
      </c>
      <c r="L7" s="1185">
        <v>4.3</v>
      </c>
      <c r="M7" s="1185" t="s">
        <v>1081</v>
      </c>
      <c r="N7" s="1185" t="s">
        <v>1081</v>
      </c>
      <c r="O7" s="1185">
        <v>1076.5</v>
      </c>
      <c r="P7" s="1185" t="s">
        <v>1081</v>
      </c>
      <c r="Q7" s="1185" t="s">
        <v>1081</v>
      </c>
      <c r="R7" s="1185" t="s">
        <v>1081</v>
      </c>
      <c r="S7" s="1185">
        <v>359.3</v>
      </c>
      <c r="T7" s="1184">
        <v>339.2</v>
      </c>
    </row>
    <row r="8" spans="1:20">
      <c r="A8" s="1179" t="s">
        <v>298</v>
      </c>
      <c r="B8" s="1200" t="s">
        <v>912</v>
      </c>
      <c r="C8" s="1185">
        <v>-2275745.2999999998</v>
      </c>
      <c r="D8" s="1185">
        <v>-1918023.4</v>
      </c>
      <c r="E8" s="1185" t="s">
        <v>1081</v>
      </c>
      <c r="F8" s="1185">
        <v>-114385.3</v>
      </c>
      <c r="G8" s="1185" t="s">
        <v>1081</v>
      </c>
      <c r="H8" s="1185">
        <v>-7393.6</v>
      </c>
      <c r="I8" s="1185">
        <v>-8501.2000000000007</v>
      </c>
      <c r="J8" s="1185">
        <v>-4947.7</v>
      </c>
      <c r="K8" s="1185" t="s">
        <v>1081</v>
      </c>
      <c r="L8" s="1185">
        <v>-66944.3</v>
      </c>
      <c r="M8" s="1185">
        <v>-7829.1</v>
      </c>
      <c r="N8" s="1185">
        <v>-573.29999999999995</v>
      </c>
      <c r="O8" s="1185">
        <v>-18196.099999999999</v>
      </c>
      <c r="P8" s="1185">
        <v>-241672</v>
      </c>
      <c r="Q8" s="1185" t="s">
        <v>1081</v>
      </c>
      <c r="R8" s="1185" t="s">
        <v>1081</v>
      </c>
      <c r="S8" s="1185">
        <v>-1664.6</v>
      </c>
      <c r="T8" s="1184" t="s">
        <v>1081</v>
      </c>
    </row>
    <row r="9" spans="1:20">
      <c r="B9" s="1199" t="s">
        <v>1730</v>
      </c>
      <c r="C9" s="1185">
        <v>-20059.5</v>
      </c>
      <c r="D9" s="1185" t="s">
        <v>1081</v>
      </c>
      <c r="E9" s="1185" t="s">
        <v>1081</v>
      </c>
      <c r="F9" s="1185">
        <v>-20059.5</v>
      </c>
      <c r="G9" s="1185" t="s">
        <v>1081</v>
      </c>
      <c r="H9" s="1185" t="s">
        <v>1081</v>
      </c>
      <c r="I9" s="1185" t="s">
        <v>1081</v>
      </c>
      <c r="J9" s="1185">
        <v>-16928.5</v>
      </c>
      <c r="K9" s="1185" t="s">
        <v>1081</v>
      </c>
      <c r="L9" s="1185">
        <v>-3131</v>
      </c>
      <c r="M9" s="1185" t="s">
        <v>1081</v>
      </c>
      <c r="N9" s="1185" t="s">
        <v>1081</v>
      </c>
      <c r="O9" s="1185" t="s">
        <v>1081</v>
      </c>
      <c r="P9" s="1185" t="s">
        <v>1081</v>
      </c>
      <c r="Q9" s="1185" t="s">
        <v>1081</v>
      </c>
      <c r="R9" s="1185" t="s">
        <v>1081</v>
      </c>
      <c r="S9" s="1185" t="s">
        <v>1081</v>
      </c>
      <c r="T9" s="1184" t="s">
        <v>1081</v>
      </c>
    </row>
    <row r="10" spans="1:20">
      <c r="B10" s="1194" t="s">
        <v>1731</v>
      </c>
      <c r="C10" s="1185">
        <v>-3131</v>
      </c>
      <c r="D10" s="1185" t="s">
        <v>1081</v>
      </c>
      <c r="E10" s="1185" t="s">
        <v>1081</v>
      </c>
      <c r="F10" s="1185">
        <v>-3131</v>
      </c>
      <c r="G10" s="1185" t="s">
        <v>1081</v>
      </c>
      <c r="H10" s="1185" t="s">
        <v>1081</v>
      </c>
      <c r="I10" s="1185" t="s">
        <v>1081</v>
      </c>
      <c r="J10" s="1185" t="s">
        <v>1081</v>
      </c>
      <c r="K10" s="1185" t="s">
        <v>1081</v>
      </c>
      <c r="L10" s="1185">
        <v>-3131</v>
      </c>
      <c r="M10" s="1185" t="s">
        <v>1081</v>
      </c>
      <c r="N10" s="1185" t="s">
        <v>1081</v>
      </c>
      <c r="O10" s="1185" t="s">
        <v>1081</v>
      </c>
      <c r="P10" s="1185" t="s">
        <v>1081</v>
      </c>
      <c r="Q10" s="1185" t="s">
        <v>1081</v>
      </c>
      <c r="R10" s="1185" t="s">
        <v>1081</v>
      </c>
      <c r="S10" s="1185" t="s">
        <v>1081</v>
      </c>
      <c r="T10" s="1184" t="s">
        <v>1081</v>
      </c>
    </row>
    <row r="11" spans="1:20">
      <c r="B11" s="1194" t="s">
        <v>1732</v>
      </c>
      <c r="C11" s="1185">
        <v>-16928.5</v>
      </c>
      <c r="D11" s="1185" t="s">
        <v>1081</v>
      </c>
      <c r="E11" s="1185" t="s">
        <v>1081</v>
      </c>
      <c r="F11" s="1185">
        <v>-16928.5</v>
      </c>
      <c r="G11" s="1185" t="s">
        <v>1081</v>
      </c>
      <c r="H11" s="1185" t="s">
        <v>1081</v>
      </c>
      <c r="I11" s="1185" t="s">
        <v>1081</v>
      </c>
      <c r="J11" s="1185">
        <v>-16928.5</v>
      </c>
      <c r="K11" s="1185" t="s">
        <v>1081</v>
      </c>
      <c r="L11" s="1185" t="s">
        <v>1081</v>
      </c>
      <c r="M11" s="1185" t="s">
        <v>1081</v>
      </c>
      <c r="N11" s="1185" t="s">
        <v>1081</v>
      </c>
      <c r="O11" s="1185" t="s">
        <v>1081</v>
      </c>
      <c r="P11" s="1185" t="s">
        <v>1081</v>
      </c>
      <c r="Q11" s="1185" t="s">
        <v>1081</v>
      </c>
      <c r="R11" s="1185" t="s">
        <v>1081</v>
      </c>
      <c r="S11" s="1185" t="s">
        <v>1081</v>
      </c>
      <c r="T11" s="1184" t="s">
        <v>1081</v>
      </c>
    </row>
    <row r="12" spans="1:20">
      <c r="B12" s="1198" t="s">
        <v>1733</v>
      </c>
      <c r="C12" s="1185">
        <v>-38043.699999999997</v>
      </c>
      <c r="D12" s="1185">
        <v>1590.2</v>
      </c>
      <c r="E12" s="1185" t="s">
        <v>1081</v>
      </c>
      <c r="F12" s="1185">
        <v>4202</v>
      </c>
      <c r="G12" s="1185" t="s">
        <v>1081</v>
      </c>
      <c r="H12" s="1185">
        <v>227.6</v>
      </c>
      <c r="I12" s="1185">
        <v>151.19999999999999</v>
      </c>
      <c r="J12" s="1185">
        <v>86.3</v>
      </c>
      <c r="K12" s="1185">
        <v>47.4</v>
      </c>
      <c r="L12" s="1185">
        <v>934.2</v>
      </c>
      <c r="M12" s="1185">
        <v>1397.6</v>
      </c>
      <c r="N12" s="1185">
        <v>-348</v>
      </c>
      <c r="O12" s="1185">
        <v>1705.7</v>
      </c>
      <c r="P12" s="1185">
        <v>-43876.1</v>
      </c>
      <c r="Q12" s="1185">
        <v>4.2</v>
      </c>
      <c r="R12" s="1185" t="s">
        <v>1081</v>
      </c>
      <c r="S12" s="1185" t="s">
        <v>1081</v>
      </c>
      <c r="T12" s="1184">
        <v>36</v>
      </c>
    </row>
    <row r="13" spans="1:20">
      <c r="B13" s="1197" t="s">
        <v>1734</v>
      </c>
      <c r="C13" s="1189">
        <v>526208.19999999995</v>
      </c>
      <c r="D13" s="1189">
        <v>274388.2</v>
      </c>
      <c r="E13" s="1185" t="s">
        <v>1081</v>
      </c>
      <c r="F13" s="1189">
        <v>-129118.5</v>
      </c>
      <c r="G13" s="1185" t="s">
        <v>1081</v>
      </c>
      <c r="H13" s="1185">
        <v>-7161.3</v>
      </c>
      <c r="I13" s="1185">
        <v>-8332.7000000000007</v>
      </c>
      <c r="J13" s="1185">
        <v>-21789.9</v>
      </c>
      <c r="K13" s="1185">
        <v>68.900000000000006</v>
      </c>
      <c r="L13" s="1185">
        <v>-69136.800000000003</v>
      </c>
      <c r="M13" s="1185">
        <v>-6431.5</v>
      </c>
      <c r="N13" s="1185">
        <v>-921.3</v>
      </c>
      <c r="O13" s="1185">
        <v>-15413.9</v>
      </c>
      <c r="P13" s="1189">
        <v>365687.6</v>
      </c>
      <c r="Q13" s="1189">
        <v>16181</v>
      </c>
      <c r="R13" s="1185" t="s">
        <v>1081</v>
      </c>
      <c r="S13" s="1189">
        <v>-1305.3</v>
      </c>
      <c r="T13" s="1188">
        <v>375.2</v>
      </c>
    </row>
    <row r="14" spans="1:20">
      <c r="B14" s="1196" t="s">
        <v>1735</v>
      </c>
      <c r="C14" s="1189">
        <v>11153</v>
      </c>
      <c r="D14" s="1189">
        <v>6459.9</v>
      </c>
      <c r="E14" s="1185" t="s">
        <v>1081</v>
      </c>
      <c r="F14" s="1189">
        <v>3054.2</v>
      </c>
      <c r="G14" s="1185" t="s">
        <v>1081</v>
      </c>
      <c r="H14" s="1185">
        <v>170.7</v>
      </c>
      <c r="I14" s="1185">
        <v>1110.0999999999999</v>
      </c>
      <c r="J14" s="1185" t="s">
        <v>1081</v>
      </c>
      <c r="K14" s="1185" t="s">
        <v>1081</v>
      </c>
      <c r="L14" s="1185">
        <v>1309.5999999999999</v>
      </c>
      <c r="M14" s="1185">
        <v>89.2</v>
      </c>
      <c r="N14" s="1185">
        <v>266.10000000000002</v>
      </c>
      <c r="O14" s="1185">
        <v>108.5</v>
      </c>
      <c r="P14" s="1189">
        <v>1191.4000000000001</v>
      </c>
      <c r="Q14" s="1185" t="s">
        <v>1081</v>
      </c>
      <c r="R14" s="1185" t="s">
        <v>1081</v>
      </c>
      <c r="S14" s="1189">
        <v>447.5</v>
      </c>
      <c r="T14" s="1184" t="s">
        <v>1081</v>
      </c>
    </row>
    <row r="15" spans="1:20">
      <c r="B15" s="1196" t="s">
        <v>1736</v>
      </c>
      <c r="C15" s="1185" t="s">
        <v>1081</v>
      </c>
      <c r="D15" s="1185" t="s">
        <v>1081</v>
      </c>
      <c r="E15" s="1189">
        <v>5728.5</v>
      </c>
      <c r="F15" s="1189">
        <v>-5728.5</v>
      </c>
      <c r="G15" s="1185" t="s">
        <v>1081</v>
      </c>
      <c r="H15" s="1185" t="s">
        <v>1081</v>
      </c>
      <c r="I15" s="1185" t="s">
        <v>1081</v>
      </c>
      <c r="J15" s="1185" t="s">
        <v>1081</v>
      </c>
      <c r="K15" s="1185" t="s">
        <v>1081</v>
      </c>
      <c r="L15" s="1185" t="s">
        <v>1081</v>
      </c>
      <c r="M15" s="1185" t="s">
        <v>1081</v>
      </c>
      <c r="N15" s="1185" t="s">
        <v>1081</v>
      </c>
      <c r="O15" s="1185">
        <v>-5728.5</v>
      </c>
      <c r="P15" s="1185" t="s">
        <v>1081</v>
      </c>
      <c r="Q15" s="1185" t="s">
        <v>1081</v>
      </c>
      <c r="R15" s="1185" t="s">
        <v>1081</v>
      </c>
      <c r="S15" s="1185" t="s">
        <v>1081</v>
      </c>
      <c r="T15" s="1184" t="s">
        <v>1081</v>
      </c>
    </row>
    <row r="16" spans="1:20">
      <c r="B16" s="1196" t="s">
        <v>1737</v>
      </c>
      <c r="C16" s="1189">
        <v>-112884.5</v>
      </c>
      <c r="D16" s="1189">
        <v>-265872.7</v>
      </c>
      <c r="E16" s="1189">
        <v>-5728.5</v>
      </c>
      <c r="F16" s="1189">
        <v>265564.3</v>
      </c>
      <c r="G16" s="1185">
        <v>11151</v>
      </c>
      <c r="H16" s="1185">
        <v>11391.5</v>
      </c>
      <c r="I16" s="1185">
        <v>53948.7</v>
      </c>
      <c r="J16" s="1185">
        <v>25921.7</v>
      </c>
      <c r="K16" s="1185" t="s">
        <v>1081</v>
      </c>
      <c r="L16" s="1185">
        <v>106008.8</v>
      </c>
      <c r="M16" s="1185">
        <v>9596.2000000000007</v>
      </c>
      <c r="N16" s="1185">
        <v>9888.9</v>
      </c>
      <c r="O16" s="1185">
        <v>37657.5</v>
      </c>
      <c r="P16" s="1189">
        <v>-165512.9</v>
      </c>
      <c r="Q16" s="1189">
        <v>-12408.5</v>
      </c>
      <c r="R16" s="1189">
        <v>3788.8</v>
      </c>
      <c r="S16" s="1189">
        <v>67354.2</v>
      </c>
      <c r="T16" s="1188">
        <v>-69.2</v>
      </c>
    </row>
    <row r="17" spans="2:20">
      <c r="B17" s="1194" t="s">
        <v>1738</v>
      </c>
      <c r="C17" s="1185">
        <v>-59982.8</v>
      </c>
      <c r="D17" s="1185" t="s">
        <v>1081</v>
      </c>
      <c r="E17" s="1185" t="s">
        <v>1081</v>
      </c>
      <c r="F17" s="1185">
        <v>-136.5</v>
      </c>
      <c r="G17" s="1185" t="s">
        <v>1081</v>
      </c>
      <c r="H17" s="1185" t="s">
        <v>1081</v>
      </c>
      <c r="I17" s="1185" t="s">
        <v>1081</v>
      </c>
      <c r="J17" s="1185" t="s">
        <v>1081</v>
      </c>
      <c r="K17" s="1185" t="s">
        <v>1081</v>
      </c>
      <c r="L17" s="1185">
        <v>-136.5</v>
      </c>
      <c r="M17" s="1185" t="s">
        <v>1081</v>
      </c>
      <c r="N17" s="1185" t="s">
        <v>1081</v>
      </c>
      <c r="O17" s="1185" t="s">
        <v>1081</v>
      </c>
      <c r="P17" s="1185">
        <v>-93861.2</v>
      </c>
      <c r="Q17" s="1185">
        <v>-12408.5</v>
      </c>
      <c r="R17" s="1185" t="s">
        <v>1081</v>
      </c>
      <c r="S17" s="1185">
        <v>46423.4</v>
      </c>
      <c r="T17" s="1184" t="s">
        <v>1081</v>
      </c>
    </row>
    <row r="18" spans="2:20">
      <c r="B18" s="1194" t="s">
        <v>1739</v>
      </c>
      <c r="C18" s="1185">
        <v>-45894.1</v>
      </c>
      <c r="D18" s="1185" t="s">
        <v>1081</v>
      </c>
      <c r="E18" s="1185" t="s">
        <v>1081</v>
      </c>
      <c r="F18" s="1185">
        <v>-102</v>
      </c>
      <c r="G18" s="1185" t="s">
        <v>1081</v>
      </c>
      <c r="H18" s="1185" t="s">
        <v>1081</v>
      </c>
      <c r="I18" s="1185" t="s">
        <v>1081</v>
      </c>
      <c r="J18" s="1185" t="s">
        <v>1081</v>
      </c>
      <c r="K18" s="1185" t="s">
        <v>1081</v>
      </c>
      <c r="L18" s="1185" t="s">
        <v>1081</v>
      </c>
      <c r="M18" s="1185">
        <v>-102</v>
      </c>
      <c r="N18" s="1185" t="s">
        <v>1081</v>
      </c>
      <c r="O18" s="1185" t="s">
        <v>1081</v>
      </c>
      <c r="P18" s="1185">
        <v>-68034.7</v>
      </c>
      <c r="Q18" s="1185" t="s">
        <v>1081</v>
      </c>
      <c r="R18" s="1185">
        <v>1311.8</v>
      </c>
      <c r="S18" s="1185">
        <v>20930.8</v>
      </c>
      <c r="T18" s="1184" t="s">
        <v>1081</v>
      </c>
    </row>
    <row r="19" spans="2:20">
      <c r="B19" s="1194" t="s">
        <v>1740</v>
      </c>
      <c r="C19" s="1185">
        <v>-818.6</v>
      </c>
      <c r="D19" s="1185" t="s">
        <v>1081</v>
      </c>
      <c r="E19" s="1185" t="s">
        <v>1081</v>
      </c>
      <c r="F19" s="1185">
        <v>-131.69999999999999</v>
      </c>
      <c r="G19" s="1185" t="s">
        <v>1081</v>
      </c>
      <c r="H19" s="1185" t="s">
        <v>1081</v>
      </c>
      <c r="I19" s="1185" t="s">
        <v>1081</v>
      </c>
      <c r="J19" s="1185" t="s">
        <v>1081</v>
      </c>
      <c r="K19" s="1185" t="s">
        <v>1081</v>
      </c>
      <c r="L19" s="1185" t="s">
        <v>1081</v>
      </c>
      <c r="M19" s="1185">
        <v>-131.69999999999999</v>
      </c>
      <c r="N19" s="1185" t="s">
        <v>1081</v>
      </c>
      <c r="O19" s="1185" t="s">
        <v>1081</v>
      </c>
      <c r="P19" s="1185">
        <v>-3163.9</v>
      </c>
      <c r="Q19" s="1185" t="s">
        <v>1081</v>
      </c>
      <c r="R19" s="1185">
        <v>2477</v>
      </c>
      <c r="S19" s="1185" t="s">
        <v>1081</v>
      </c>
      <c r="T19" s="1184" t="s">
        <v>1081</v>
      </c>
    </row>
    <row r="20" spans="2:20">
      <c r="B20" s="1194" t="s">
        <v>1060</v>
      </c>
      <c r="C20" s="1185">
        <v>2218.8000000000002</v>
      </c>
      <c r="D20" s="1185" t="s">
        <v>1081</v>
      </c>
      <c r="E20" s="1185" t="s">
        <v>1081</v>
      </c>
      <c r="F20" s="1185">
        <v>2671.9</v>
      </c>
      <c r="G20" s="1185" t="s">
        <v>1081</v>
      </c>
      <c r="H20" s="1185">
        <v>1242.5</v>
      </c>
      <c r="I20" s="1185" t="s">
        <v>1081</v>
      </c>
      <c r="J20" s="1185" t="s">
        <v>1081</v>
      </c>
      <c r="K20" s="1185" t="s">
        <v>1081</v>
      </c>
      <c r="L20" s="1185" t="s">
        <v>1081</v>
      </c>
      <c r="M20" s="1185" t="s">
        <v>1081</v>
      </c>
      <c r="N20" s="1185" t="s">
        <v>1081</v>
      </c>
      <c r="O20" s="1185">
        <v>1429.4</v>
      </c>
      <c r="P20" s="1185">
        <v>-453.1</v>
      </c>
      <c r="Q20" s="1185" t="s">
        <v>1081</v>
      </c>
      <c r="R20" s="1185" t="s">
        <v>1081</v>
      </c>
      <c r="S20" s="1185" t="s">
        <v>1081</v>
      </c>
      <c r="T20" s="1184" t="s">
        <v>1081</v>
      </c>
    </row>
    <row r="21" spans="2:20">
      <c r="B21" s="1194" t="s">
        <v>1741</v>
      </c>
      <c r="C21" s="1185">
        <v>-69.2</v>
      </c>
      <c r="D21" s="1185" t="s">
        <v>1081</v>
      </c>
      <c r="E21" s="1185" t="s">
        <v>1081</v>
      </c>
      <c r="F21" s="1185" t="s">
        <v>1081</v>
      </c>
      <c r="G21" s="1185" t="s">
        <v>1081</v>
      </c>
      <c r="H21" s="1185" t="s">
        <v>1081</v>
      </c>
      <c r="I21" s="1185" t="s">
        <v>1081</v>
      </c>
      <c r="J21" s="1185" t="s">
        <v>1081</v>
      </c>
      <c r="K21" s="1185" t="s">
        <v>1081</v>
      </c>
      <c r="L21" s="1185" t="s">
        <v>1081</v>
      </c>
      <c r="M21" s="1185" t="s">
        <v>1081</v>
      </c>
      <c r="N21" s="1185" t="s">
        <v>1081</v>
      </c>
      <c r="O21" s="1185" t="s">
        <v>1081</v>
      </c>
      <c r="P21" s="1185" t="s">
        <v>1081</v>
      </c>
      <c r="Q21" s="1185" t="s">
        <v>1081</v>
      </c>
      <c r="R21" s="1185" t="s">
        <v>1081</v>
      </c>
      <c r="S21" s="1185" t="s">
        <v>1081</v>
      </c>
      <c r="T21" s="1184">
        <v>-69.2</v>
      </c>
    </row>
    <row r="22" spans="2:20">
      <c r="B22" s="1195" t="s">
        <v>1642</v>
      </c>
      <c r="C22" s="1185">
        <v>-9210.2999999999993</v>
      </c>
      <c r="D22" s="1185">
        <v>-265872.7</v>
      </c>
      <c r="E22" s="1185">
        <v>-5728.5</v>
      </c>
      <c r="F22" s="1185">
        <v>262390.90000000002</v>
      </c>
      <c r="G22" s="1185">
        <v>11151</v>
      </c>
      <c r="H22" s="1185">
        <v>10149</v>
      </c>
      <c r="I22" s="1185">
        <v>53948.7</v>
      </c>
      <c r="J22" s="1185">
        <v>25921.7</v>
      </c>
      <c r="K22" s="1185" t="s">
        <v>1081</v>
      </c>
      <c r="L22" s="1185">
        <v>106145.3</v>
      </c>
      <c r="M22" s="1185">
        <v>9829.9</v>
      </c>
      <c r="N22" s="1185">
        <v>9888.9</v>
      </c>
      <c r="O22" s="1185">
        <v>35356.400000000001</v>
      </c>
      <c r="P22" s="1185" t="s">
        <v>1081</v>
      </c>
      <c r="Q22" s="1185" t="s">
        <v>1081</v>
      </c>
      <c r="R22" s="1185" t="s">
        <v>1081</v>
      </c>
      <c r="S22" s="1185" t="s">
        <v>1081</v>
      </c>
      <c r="T22" s="1184" t="s">
        <v>1081</v>
      </c>
    </row>
    <row r="23" spans="2:20">
      <c r="B23" s="1195" t="s">
        <v>1742</v>
      </c>
      <c r="C23" s="1185">
        <v>871.7</v>
      </c>
      <c r="D23" s="1185" t="s">
        <v>1081</v>
      </c>
      <c r="E23" s="1185" t="s">
        <v>1081</v>
      </c>
      <c r="F23" s="1185">
        <v>871.7</v>
      </c>
      <c r="G23" s="1185" t="s">
        <v>1081</v>
      </c>
      <c r="H23" s="1185" t="s">
        <v>1081</v>
      </c>
      <c r="I23" s="1185" t="s">
        <v>1081</v>
      </c>
      <c r="J23" s="1185" t="s">
        <v>1081</v>
      </c>
      <c r="K23" s="1185" t="s">
        <v>1081</v>
      </c>
      <c r="L23" s="1185" t="s">
        <v>1081</v>
      </c>
      <c r="M23" s="1185" t="s">
        <v>1081</v>
      </c>
      <c r="N23" s="1185" t="s">
        <v>1081</v>
      </c>
      <c r="O23" s="1185">
        <v>871.7</v>
      </c>
      <c r="P23" s="1185" t="s">
        <v>1081</v>
      </c>
      <c r="Q23" s="1185" t="s">
        <v>1081</v>
      </c>
      <c r="R23" s="1185" t="s">
        <v>1081</v>
      </c>
      <c r="S23" s="1185" t="s">
        <v>1081</v>
      </c>
      <c r="T23" s="1184" t="s">
        <v>1081</v>
      </c>
    </row>
    <row r="24" spans="2:20">
      <c r="B24" s="1194" t="s">
        <v>1743</v>
      </c>
      <c r="C24" s="1185" t="s">
        <v>1081</v>
      </c>
      <c r="D24" s="1185" t="s">
        <v>1081</v>
      </c>
      <c r="E24" s="1185" t="s">
        <v>1081</v>
      </c>
      <c r="F24" s="1185" t="s">
        <v>1081</v>
      </c>
      <c r="G24" s="1185" t="s">
        <v>1081</v>
      </c>
      <c r="H24" s="1185" t="s">
        <v>1081</v>
      </c>
      <c r="I24" s="1185" t="s">
        <v>1081</v>
      </c>
      <c r="J24" s="1185" t="s">
        <v>1081</v>
      </c>
      <c r="K24" s="1185" t="s">
        <v>1081</v>
      </c>
      <c r="L24" s="1185" t="s">
        <v>1081</v>
      </c>
      <c r="M24" s="1185" t="s">
        <v>1081</v>
      </c>
      <c r="N24" s="1185" t="s">
        <v>1081</v>
      </c>
      <c r="O24" s="1185" t="s">
        <v>1081</v>
      </c>
      <c r="P24" s="1185" t="s">
        <v>1081</v>
      </c>
      <c r="Q24" s="1185" t="s">
        <v>1081</v>
      </c>
      <c r="R24" s="1185" t="s">
        <v>1081</v>
      </c>
      <c r="S24" s="1185" t="s">
        <v>1081</v>
      </c>
      <c r="T24" s="1184" t="s">
        <v>1081</v>
      </c>
    </row>
    <row r="25" spans="2:20">
      <c r="B25" s="1193" t="s">
        <v>1744</v>
      </c>
      <c r="C25" s="1189">
        <v>38973.800000000003</v>
      </c>
      <c r="D25" s="1189">
        <v>168.1</v>
      </c>
      <c r="E25" s="1185" t="s">
        <v>1081</v>
      </c>
      <c r="F25" s="1189">
        <v>17169.5</v>
      </c>
      <c r="G25" s="1185">
        <v>11151</v>
      </c>
      <c r="H25" s="1185" t="s">
        <v>1081</v>
      </c>
      <c r="I25" s="1185" t="s">
        <v>1081</v>
      </c>
      <c r="J25" s="1185" t="s">
        <v>1081</v>
      </c>
      <c r="K25" s="1185" t="s">
        <v>1081</v>
      </c>
      <c r="L25" s="1185">
        <v>85.3</v>
      </c>
      <c r="M25" s="1185">
        <v>696.7</v>
      </c>
      <c r="N25" s="1185" t="s">
        <v>1081</v>
      </c>
      <c r="O25" s="1185">
        <v>5236.5</v>
      </c>
      <c r="P25" s="1189">
        <v>12889.8</v>
      </c>
      <c r="Q25" s="1185" t="s">
        <v>1081</v>
      </c>
      <c r="R25" s="1189">
        <v>974.7</v>
      </c>
      <c r="S25" s="1189">
        <v>7771.7</v>
      </c>
      <c r="T25" s="1184" t="s">
        <v>1081</v>
      </c>
    </row>
    <row r="26" spans="2:20">
      <c r="B26" s="1193" t="s">
        <v>1745</v>
      </c>
      <c r="C26" s="1189">
        <v>59811.7</v>
      </c>
      <c r="D26" s="1189">
        <v>1887.5</v>
      </c>
      <c r="E26" s="1185" t="s">
        <v>1081</v>
      </c>
      <c r="F26" s="1189"/>
      <c r="G26" s="1185" t="s">
        <v>1081</v>
      </c>
      <c r="H26" s="1185" t="s">
        <v>1081</v>
      </c>
      <c r="I26" s="1185" t="s">
        <v>1081</v>
      </c>
      <c r="J26" s="1185" t="s">
        <v>1081</v>
      </c>
      <c r="K26" s="1185" t="s">
        <v>1081</v>
      </c>
      <c r="L26" s="1185" t="s">
        <v>1081</v>
      </c>
      <c r="M26" s="1185" t="s">
        <v>1081</v>
      </c>
      <c r="N26" s="1185" t="s">
        <v>1081</v>
      </c>
      <c r="O26" s="1185" t="s">
        <v>1081</v>
      </c>
      <c r="P26" s="1189">
        <v>43630</v>
      </c>
      <c r="Q26" s="1185" t="s">
        <v>1081</v>
      </c>
      <c r="R26" s="1189">
        <v>505.8</v>
      </c>
      <c r="S26" s="1189">
        <v>13788.4</v>
      </c>
      <c r="T26" s="1184" t="s">
        <v>1081</v>
      </c>
    </row>
    <row r="27" spans="2:20">
      <c r="B27" s="1193" t="s">
        <v>1746</v>
      </c>
      <c r="C27" s="1189">
        <v>303385.2</v>
      </c>
      <c r="D27" s="1185" t="s">
        <v>1081</v>
      </c>
      <c r="E27" s="1185" t="s">
        <v>1081</v>
      </c>
      <c r="F27" s="1189">
        <v>110493.6</v>
      </c>
      <c r="G27" s="1185" t="s">
        <v>1081</v>
      </c>
      <c r="H27" s="1185">
        <v>4059.5</v>
      </c>
      <c r="I27" s="1185">
        <v>44505.9</v>
      </c>
      <c r="J27" s="1185">
        <v>4131.8</v>
      </c>
      <c r="K27" s="1185">
        <v>68.900000000000006</v>
      </c>
      <c r="L27" s="1185">
        <v>35477.1</v>
      </c>
      <c r="M27" s="1185">
        <v>2378.8000000000002</v>
      </c>
      <c r="N27" s="1185">
        <v>8701.5</v>
      </c>
      <c r="O27" s="1185">
        <v>11170.1</v>
      </c>
      <c r="P27" s="1189">
        <v>142463.5</v>
      </c>
      <c r="Q27" s="1189">
        <v>3772.5</v>
      </c>
      <c r="R27" s="1189">
        <v>2308.3000000000002</v>
      </c>
      <c r="S27" s="1189">
        <v>44041.3</v>
      </c>
      <c r="T27" s="1188">
        <v>306</v>
      </c>
    </row>
    <row r="28" spans="2:20">
      <c r="B28" s="1193" t="s">
        <v>1747</v>
      </c>
      <c r="C28" s="1189">
        <v>280902.3</v>
      </c>
      <c r="D28" s="1185" t="s">
        <v>1081</v>
      </c>
      <c r="E28" s="1185" t="s">
        <v>1081</v>
      </c>
      <c r="F28" s="1189">
        <v>89661.8</v>
      </c>
      <c r="G28" s="1185" t="s">
        <v>1081</v>
      </c>
      <c r="H28" s="1185">
        <v>3822.4</v>
      </c>
      <c r="I28" s="1185">
        <v>44505.9</v>
      </c>
      <c r="J28" s="1185">
        <v>3885.7</v>
      </c>
      <c r="K28" s="1185">
        <v>68.900000000000006</v>
      </c>
      <c r="L28" s="1185">
        <v>35477.1</v>
      </c>
      <c r="M28" s="1185">
        <v>1869</v>
      </c>
      <c r="N28" s="1185">
        <v>32.799999999999997</v>
      </c>
      <c r="O28" s="1185" t="s">
        <v>1081</v>
      </c>
      <c r="P28" s="1189">
        <v>140944.1</v>
      </c>
      <c r="Q28" s="1189">
        <v>3772.5</v>
      </c>
      <c r="R28" s="1189">
        <v>2308.3000000000002</v>
      </c>
      <c r="S28" s="1189">
        <v>44041.3</v>
      </c>
      <c r="T28" s="1188">
        <v>174.1</v>
      </c>
    </row>
    <row r="29" spans="2:20">
      <c r="B29" s="1192" t="s">
        <v>1749</v>
      </c>
      <c r="C29" s="1189">
        <v>33379.199999999997</v>
      </c>
      <c r="D29" s="1185" t="s">
        <v>1081</v>
      </c>
      <c r="E29" s="1185" t="s">
        <v>1081</v>
      </c>
      <c r="F29" s="1189">
        <v>3224.3</v>
      </c>
      <c r="G29" s="1185" t="s">
        <v>1081</v>
      </c>
      <c r="H29" s="1185">
        <v>246.5</v>
      </c>
      <c r="I29" s="1185" t="s">
        <v>1081</v>
      </c>
      <c r="J29" s="1185">
        <v>4.3</v>
      </c>
      <c r="K29" s="1185">
        <v>4.3</v>
      </c>
      <c r="L29" s="1185">
        <v>1271.3</v>
      </c>
      <c r="M29" s="1185">
        <v>1665.1</v>
      </c>
      <c r="N29" s="1185">
        <v>32.799999999999997</v>
      </c>
      <c r="O29" s="1185" t="s">
        <v>1081</v>
      </c>
      <c r="P29" s="1189">
        <v>23818.7</v>
      </c>
      <c r="Q29" s="1189">
        <v>2.1</v>
      </c>
      <c r="R29" s="1189">
        <v>6.7</v>
      </c>
      <c r="S29" s="1189">
        <v>6327.4</v>
      </c>
      <c r="T29" s="1188" t="s">
        <v>1081</v>
      </c>
    </row>
    <row r="30" spans="2:20">
      <c r="B30" s="1187" t="s">
        <v>1751</v>
      </c>
      <c r="C30" s="1185">
        <v>2199.9</v>
      </c>
      <c r="D30" s="1185" t="s">
        <v>1081</v>
      </c>
      <c r="E30" s="1185" t="s">
        <v>1081</v>
      </c>
      <c r="F30" s="1185">
        <v>144.9</v>
      </c>
      <c r="G30" s="1185" t="s">
        <v>1081</v>
      </c>
      <c r="H30" s="1185">
        <v>4.7</v>
      </c>
      <c r="I30" s="1185" t="s">
        <v>1081</v>
      </c>
      <c r="J30" s="1185" t="s">
        <v>1081</v>
      </c>
      <c r="K30" s="1185" t="s">
        <v>1081</v>
      </c>
      <c r="L30" s="1185" t="s">
        <v>1081</v>
      </c>
      <c r="M30" s="1185">
        <v>140.19999999999999</v>
      </c>
      <c r="N30" s="1185" t="s">
        <v>1081</v>
      </c>
      <c r="O30" s="1185" t="s">
        <v>1081</v>
      </c>
      <c r="P30" s="1185">
        <v>902.3</v>
      </c>
      <c r="Q30" s="1185" t="s">
        <v>1081</v>
      </c>
      <c r="R30" s="1185" t="s">
        <v>1081</v>
      </c>
      <c r="S30" s="1185">
        <v>1152.7</v>
      </c>
      <c r="T30" s="1184" t="s">
        <v>1081</v>
      </c>
    </row>
    <row r="31" spans="2:20">
      <c r="B31" s="1187" t="s">
        <v>1753</v>
      </c>
      <c r="C31" s="1185">
        <v>8763.5</v>
      </c>
      <c r="D31" s="1185" t="s">
        <v>1081</v>
      </c>
      <c r="E31" s="1185" t="s">
        <v>1081</v>
      </c>
      <c r="F31" s="1185">
        <v>46.1</v>
      </c>
      <c r="G31" s="1185" t="s">
        <v>1081</v>
      </c>
      <c r="H31" s="1185">
        <v>4.7</v>
      </c>
      <c r="I31" s="1185" t="s">
        <v>1081</v>
      </c>
      <c r="J31" s="1185" t="s">
        <v>1081</v>
      </c>
      <c r="K31" s="1185">
        <v>4.3</v>
      </c>
      <c r="L31" s="1185">
        <v>4.3</v>
      </c>
      <c r="M31" s="1185" t="s">
        <v>1081</v>
      </c>
      <c r="N31" s="1185">
        <v>32.799999999999997</v>
      </c>
      <c r="O31" s="1185" t="s">
        <v>1081</v>
      </c>
      <c r="P31" s="1185">
        <v>7913.5</v>
      </c>
      <c r="Q31" s="1185" t="s">
        <v>1081</v>
      </c>
      <c r="R31" s="1185" t="s">
        <v>1081</v>
      </c>
      <c r="S31" s="1185">
        <v>803.9</v>
      </c>
      <c r="T31" s="1184" t="s">
        <v>1081</v>
      </c>
    </row>
    <row r="32" spans="2:20">
      <c r="B32" s="1187" t="s">
        <v>1754</v>
      </c>
      <c r="C32" s="1185">
        <v>353.3</v>
      </c>
      <c r="D32" s="1185" t="s">
        <v>1081</v>
      </c>
      <c r="E32" s="1185" t="s">
        <v>1081</v>
      </c>
      <c r="F32" s="1185">
        <v>21.2</v>
      </c>
      <c r="G32" s="1185" t="s">
        <v>1081</v>
      </c>
      <c r="H32" s="1185" t="s">
        <v>1081</v>
      </c>
      <c r="I32" s="1185" t="s">
        <v>1081</v>
      </c>
      <c r="J32" s="1185" t="s">
        <v>1081</v>
      </c>
      <c r="K32" s="1185" t="s">
        <v>1081</v>
      </c>
      <c r="L32" s="1185" t="s">
        <v>1081</v>
      </c>
      <c r="M32" s="1185">
        <v>21.2</v>
      </c>
      <c r="N32" s="1185" t="s">
        <v>1081</v>
      </c>
      <c r="O32" s="1185" t="s">
        <v>1081</v>
      </c>
      <c r="P32" s="1185">
        <v>300.8</v>
      </c>
      <c r="Q32" s="1185" t="s">
        <v>1081</v>
      </c>
      <c r="R32" s="1185" t="s">
        <v>1081</v>
      </c>
      <c r="S32" s="1185">
        <v>31.3</v>
      </c>
      <c r="T32" s="1184" t="s">
        <v>1081</v>
      </c>
    </row>
    <row r="33" spans="2:20">
      <c r="B33" s="1187" t="s">
        <v>1756</v>
      </c>
      <c r="C33" s="1185">
        <v>5130.8999999999996</v>
      </c>
      <c r="D33" s="1185" t="s">
        <v>1081</v>
      </c>
      <c r="E33" s="1185" t="s">
        <v>1081</v>
      </c>
      <c r="F33" s="1185">
        <v>72.3</v>
      </c>
      <c r="G33" s="1185" t="s">
        <v>1081</v>
      </c>
      <c r="H33" s="1185" t="s">
        <v>1081</v>
      </c>
      <c r="I33" s="1185" t="s">
        <v>1081</v>
      </c>
      <c r="J33" s="1185" t="s">
        <v>1081</v>
      </c>
      <c r="K33" s="1185" t="s">
        <v>1081</v>
      </c>
      <c r="L33" s="1185">
        <v>4.3</v>
      </c>
      <c r="M33" s="1185">
        <v>68</v>
      </c>
      <c r="N33" s="1185" t="s">
        <v>1081</v>
      </c>
      <c r="O33" s="1185" t="s">
        <v>1081</v>
      </c>
      <c r="P33" s="1185">
        <v>4491.8999999999996</v>
      </c>
      <c r="Q33" s="1185" t="s">
        <v>1081</v>
      </c>
      <c r="R33" s="1185">
        <v>0.8</v>
      </c>
      <c r="S33" s="1185">
        <v>565.9</v>
      </c>
      <c r="T33" s="1184" t="s">
        <v>1081</v>
      </c>
    </row>
    <row r="34" spans="2:20">
      <c r="B34" s="1187" t="s">
        <v>1758</v>
      </c>
      <c r="C34" s="1185">
        <v>247</v>
      </c>
      <c r="D34" s="1185" t="s">
        <v>1081</v>
      </c>
      <c r="E34" s="1185" t="s">
        <v>1081</v>
      </c>
      <c r="F34" s="1185">
        <v>4.3</v>
      </c>
      <c r="G34" s="1185" t="s">
        <v>1081</v>
      </c>
      <c r="H34" s="1185" t="s">
        <v>1081</v>
      </c>
      <c r="I34" s="1185" t="s">
        <v>1081</v>
      </c>
      <c r="J34" s="1185" t="s">
        <v>1081</v>
      </c>
      <c r="K34" s="1185" t="s">
        <v>1081</v>
      </c>
      <c r="L34" s="1185">
        <v>4.3</v>
      </c>
      <c r="M34" s="1185" t="s">
        <v>1081</v>
      </c>
      <c r="N34" s="1185" t="s">
        <v>1081</v>
      </c>
      <c r="O34" s="1185" t="s">
        <v>1081</v>
      </c>
      <c r="P34" s="1185">
        <v>203.1</v>
      </c>
      <c r="Q34" s="1185" t="s">
        <v>1081</v>
      </c>
      <c r="R34" s="1185" t="s">
        <v>1081</v>
      </c>
      <c r="S34" s="1185">
        <v>39.6</v>
      </c>
      <c r="T34" s="1184" t="s">
        <v>1081</v>
      </c>
    </row>
    <row r="35" spans="2:20">
      <c r="B35" s="1187" t="s">
        <v>1010</v>
      </c>
      <c r="C35" s="1185">
        <v>955.8</v>
      </c>
      <c r="D35" s="1185" t="s">
        <v>1081</v>
      </c>
      <c r="E35" s="1185" t="s">
        <v>1081</v>
      </c>
      <c r="F35" s="1185">
        <v>4.3</v>
      </c>
      <c r="G35" s="1185" t="s">
        <v>1081</v>
      </c>
      <c r="H35" s="1185" t="s">
        <v>1081</v>
      </c>
      <c r="I35" s="1185" t="s">
        <v>1081</v>
      </c>
      <c r="J35" s="1185" t="s">
        <v>1081</v>
      </c>
      <c r="K35" s="1185" t="s">
        <v>1081</v>
      </c>
      <c r="L35" s="1185">
        <v>4.3</v>
      </c>
      <c r="M35" s="1185" t="s">
        <v>1081</v>
      </c>
      <c r="N35" s="1185" t="s">
        <v>1081</v>
      </c>
      <c r="O35" s="1185" t="s">
        <v>1081</v>
      </c>
      <c r="P35" s="1185">
        <v>546.79999999999995</v>
      </c>
      <c r="Q35" s="1185" t="s">
        <v>1081</v>
      </c>
      <c r="R35" s="1185" t="s">
        <v>1081</v>
      </c>
      <c r="S35" s="1185">
        <v>404.7</v>
      </c>
      <c r="T35" s="1184" t="s">
        <v>1081</v>
      </c>
    </row>
    <row r="36" spans="2:20">
      <c r="B36" s="1186" t="s">
        <v>948</v>
      </c>
      <c r="C36" s="1185">
        <v>729</v>
      </c>
      <c r="D36" s="1185" t="s">
        <v>1081</v>
      </c>
      <c r="E36" s="1185" t="s">
        <v>1081</v>
      </c>
      <c r="F36" s="1185">
        <v>281.60000000000002</v>
      </c>
      <c r="G36" s="1185" t="s">
        <v>1081</v>
      </c>
      <c r="H36" s="1185">
        <v>4.7</v>
      </c>
      <c r="I36" s="1185" t="s">
        <v>1081</v>
      </c>
      <c r="J36" s="1185" t="s">
        <v>1081</v>
      </c>
      <c r="K36" s="1185" t="s">
        <v>1081</v>
      </c>
      <c r="L36" s="1185">
        <v>196.2</v>
      </c>
      <c r="M36" s="1185">
        <v>80.7</v>
      </c>
      <c r="N36" s="1185" t="s">
        <v>1081</v>
      </c>
      <c r="O36" s="1185" t="s">
        <v>1081</v>
      </c>
      <c r="P36" s="1185">
        <v>175.8</v>
      </c>
      <c r="Q36" s="1185" t="s">
        <v>1081</v>
      </c>
      <c r="R36" s="1185">
        <v>5.9</v>
      </c>
      <c r="S36" s="1185">
        <v>265.7</v>
      </c>
      <c r="T36" s="1184" t="s">
        <v>1081</v>
      </c>
    </row>
    <row r="37" spans="2:20">
      <c r="B37" s="1186" t="s">
        <v>1762</v>
      </c>
      <c r="C37" s="1185">
        <v>9633.1</v>
      </c>
      <c r="D37" s="1185" t="s">
        <v>1081</v>
      </c>
      <c r="E37" s="1185" t="s">
        <v>1081</v>
      </c>
      <c r="F37" s="1185">
        <v>900</v>
      </c>
      <c r="G37" s="1185" t="s">
        <v>1081</v>
      </c>
      <c r="H37" s="1185">
        <v>28.5</v>
      </c>
      <c r="I37" s="1185" t="s">
        <v>1081</v>
      </c>
      <c r="J37" s="1185" t="s">
        <v>1081</v>
      </c>
      <c r="K37" s="1185" t="s">
        <v>1081</v>
      </c>
      <c r="L37" s="1185">
        <v>162.1</v>
      </c>
      <c r="M37" s="1185">
        <v>709.4</v>
      </c>
      <c r="N37" s="1185" t="s">
        <v>1081</v>
      </c>
      <c r="O37" s="1185" t="s">
        <v>1081</v>
      </c>
      <c r="P37" s="1185">
        <v>7815.9</v>
      </c>
      <c r="Q37" s="1185">
        <v>2.1</v>
      </c>
      <c r="R37" s="1185" t="s">
        <v>1081</v>
      </c>
      <c r="S37" s="1185">
        <v>915.1</v>
      </c>
      <c r="T37" s="1184" t="s">
        <v>1081</v>
      </c>
    </row>
    <row r="38" spans="2:20">
      <c r="B38" s="1186" t="s">
        <v>1764</v>
      </c>
      <c r="C38" s="1185">
        <v>75</v>
      </c>
      <c r="D38" s="1185" t="s">
        <v>1081</v>
      </c>
      <c r="E38" s="1185" t="s">
        <v>1081</v>
      </c>
      <c r="F38" s="1185" t="s">
        <v>1081</v>
      </c>
      <c r="G38" s="1185" t="s">
        <v>1081</v>
      </c>
      <c r="H38" s="1185" t="s">
        <v>1081</v>
      </c>
      <c r="I38" s="1185" t="s">
        <v>1081</v>
      </c>
      <c r="J38" s="1185" t="s">
        <v>1081</v>
      </c>
      <c r="K38" s="1185" t="s">
        <v>1081</v>
      </c>
      <c r="L38" s="1185" t="s">
        <v>1081</v>
      </c>
      <c r="M38" s="1185" t="s">
        <v>1081</v>
      </c>
      <c r="N38" s="1185" t="s">
        <v>1081</v>
      </c>
      <c r="O38" s="1185" t="s">
        <v>1081</v>
      </c>
      <c r="P38" s="1185">
        <v>46.9</v>
      </c>
      <c r="Q38" s="1185" t="s">
        <v>1081</v>
      </c>
      <c r="R38" s="1185" t="s">
        <v>1081</v>
      </c>
      <c r="S38" s="1185">
        <v>28.1</v>
      </c>
      <c r="T38" s="1184" t="s">
        <v>1081</v>
      </c>
    </row>
    <row r="39" spans="2:20">
      <c r="B39" s="1187" t="s">
        <v>1766</v>
      </c>
      <c r="C39" s="1185">
        <v>22.9</v>
      </c>
      <c r="D39" s="1185" t="s">
        <v>1081</v>
      </c>
      <c r="E39" s="1185" t="s">
        <v>1081</v>
      </c>
      <c r="F39" s="1185" t="s">
        <v>1081</v>
      </c>
      <c r="G39" s="1185" t="s">
        <v>1081</v>
      </c>
      <c r="H39" s="1185" t="s">
        <v>1081</v>
      </c>
      <c r="I39" s="1185" t="s">
        <v>1081</v>
      </c>
      <c r="J39" s="1185" t="s">
        <v>1081</v>
      </c>
      <c r="K39" s="1185" t="s">
        <v>1081</v>
      </c>
      <c r="L39" s="1185" t="s">
        <v>1081</v>
      </c>
      <c r="M39" s="1185" t="s">
        <v>1081</v>
      </c>
      <c r="N39" s="1185" t="s">
        <v>1081</v>
      </c>
      <c r="O39" s="1185" t="s">
        <v>1081</v>
      </c>
      <c r="P39" s="1185">
        <v>7.8</v>
      </c>
      <c r="Q39" s="1185" t="s">
        <v>1081</v>
      </c>
      <c r="R39" s="1185" t="s">
        <v>1081</v>
      </c>
      <c r="S39" s="1185">
        <v>15.1</v>
      </c>
      <c r="T39" s="1184" t="s">
        <v>1081</v>
      </c>
    </row>
    <row r="40" spans="2:20">
      <c r="B40" s="1186" t="s">
        <v>1768</v>
      </c>
      <c r="C40" s="1185">
        <v>348.5</v>
      </c>
      <c r="D40" s="1185" t="s">
        <v>1081</v>
      </c>
      <c r="E40" s="1185" t="s">
        <v>1081</v>
      </c>
      <c r="F40" s="1185">
        <v>17</v>
      </c>
      <c r="G40" s="1185" t="s">
        <v>1081</v>
      </c>
      <c r="H40" s="1185" t="s">
        <v>1081</v>
      </c>
      <c r="I40" s="1185" t="s">
        <v>1081</v>
      </c>
      <c r="J40" s="1185" t="s">
        <v>1081</v>
      </c>
      <c r="K40" s="1185" t="s">
        <v>1081</v>
      </c>
      <c r="L40" s="1185">
        <v>8.5</v>
      </c>
      <c r="M40" s="1185">
        <v>8.5</v>
      </c>
      <c r="N40" s="1185" t="s">
        <v>1081</v>
      </c>
      <c r="O40" s="1185" t="s">
        <v>1081</v>
      </c>
      <c r="P40" s="1185">
        <v>136.69999999999999</v>
      </c>
      <c r="Q40" s="1185" t="s">
        <v>1081</v>
      </c>
      <c r="R40" s="1185" t="s">
        <v>1081</v>
      </c>
      <c r="S40" s="1185">
        <v>194.8</v>
      </c>
      <c r="T40" s="1184" t="s">
        <v>1081</v>
      </c>
    </row>
    <row r="41" spans="2:20">
      <c r="B41" s="1186" t="s">
        <v>1000</v>
      </c>
      <c r="C41" s="1191">
        <v>4250.2</v>
      </c>
      <c r="D41" s="1185" t="s">
        <v>1081</v>
      </c>
      <c r="E41" s="1185" t="s">
        <v>1081</v>
      </c>
      <c r="F41" s="1191">
        <v>1714.1</v>
      </c>
      <c r="G41" s="1185" t="s">
        <v>1081</v>
      </c>
      <c r="H41" s="1185">
        <v>189.7</v>
      </c>
      <c r="I41" s="1185" t="s">
        <v>1081</v>
      </c>
      <c r="J41" s="1185">
        <v>4.3</v>
      </c>
      <c r="K41" s="1185" t="s">
        <v>1081</v>
      </c>
      <c r="L41" s="1191">
        <v>883</v>
      </c>
      <c r="M41" s="1191">
        <v>637.1</v>
      </c>
      <c r="N41" s="1185" t="s">
        <v>1081</v>
      </c>
      <c r="O41" s="1185" t="s">
        <v>1081</v>
      </c>
      <c r="P41" s="1191">
        <v>789</v>
      </c>
      <c r="Q41" s="1185" t="s">
        <v>1081</v>
      </c>
      <c r="R41" s="1185" t="s">
        <v>1081</v>
      </c>
      <c r="S41" s="1191">
        <v>1747.1</v>
      </c>
      <c r="T41" s="1184" t="s">
        <v>1081</v>
      </c>
    </row>
    <row r="42" spans="2:20">
      <c r="B42" s="1187" t="s">
        <v>1769</v>
      </c>
      <c r="C42" s="1185">
        <v>670.1</v>
      </c>
      <c r="D42" s="1185" t="s">
        <v>1081</v>
      </c>
      <c r="E42" s="1185" t="s">
        <v>1081</v>
      </c>
      <c r="F42" s="1185">
        <v>18.5</v>
      </c>
      <c r="G42" s="1185" t="s">
        <v>1081</v>
      </c>
      <c r="H42" s="1185">
        <v>14.2</v>
      </c>
      <c r="I42" s="1185" t="s">
        <v>1081</v>
      </c>
      <c r="J42" s="1185" t="s">
        <v>1081</v>
      </c>
      <c r="K42" s="1185" t="s">
        <v>1081</v>
      </c>
      <c r="L42" s="1185">
        <v>4.3</v>
      </c>
      <c r="M42" s="1185" t="s">
        <v>1081</v>
      </c>
      <c r="N42" s="1185" t="s">
        <v>1081</v>
      </c>
      <c r="O42" s="1185" t="s">
        <v>1081</v>
      </c>
      <c r="P42" s="1185">
        <v>488.2</v>
      </c>
      <c r="Q42" s="1185" t="s">
        <v>1081</v>
      </c>
      <c r="R42" s="1185" t="s">
        <v>1081</v>
      </c>
      <c r="S42" s="1185">
        <v>163.4</v>
      </c>
      <c r="T42" s="1184" t="s">
        <v>1081</v>
      </c>
    </row>
    <row r="43" spans="2:20">
      <c r="B43" s="1190" t="s">
        <v>994</v>
      </c>
      <c r="C43" s="1189">
        <v>71350.899999999994</v>
      </c>
      <c r="D43" s="1185" t="s">
        <v>1081</v>
      </c>
      <c r="E43" s="1185" t="s">
        <v>1081</v>
      </c>
      <c r="F43" s="1189">
        <v>69214.7</v>
      </c>
      <c r="G43" s="1185" t="s">
        <v>1081</v>
      </c>
      <c r="H43" s="1185">
        <v>901.1</v>
      </c>
      <c r="I43" s="1185">
        <v>43978.9</v>
      </c>
      <c r="J43" s="1185">
        <v>3881.4</v>
      </c>
      <c r="K43" s="1185" t="s">
        <v>1081</v>
      </c>
      <c r="L43" s="1185">
        <v>20398.099999999999</v>
      </c>
      <c r="M43" s="1185">
        <v>55.2</v>
      </c>
      <c r="N43" s="1185" t="s">
        <v>1081</v>
      </c>
      <c r="O43" s="1185" t="s">
        <v>1081</v>
      </c>
      <c r="P43" s="1189" t="s">
        <v>1081</v>
      </c>
      <c r="Q43" s="1189">
        <v>2.1</v>
      </c>
      <c r="R43" s="1185" t="s">
        <v>1081</v>
      </c>
      <c r="S43" s="1189">
        <v>1959.8</v>
      </c>
      <c r="T43" s="1188">
        <v>174.3</v>
      </c>
    </row>
    <row r="44" spans="2:20">
      <c r="B44" s="1186" t="s">
        <v>1771</v>
      </c>
      <c r="C44" s="1185">
        <v>64010.8</v>
      </c>
      <c r="D44" s="1185" t="s">
        <v>1081</v>
      </c>
      <c r="E44" s="1185" t="s">
        <v>1081</v>
      </c>
      <c r="F44" s="1185">
        <v>64010.8</v>
      </c>
      <c r="G44" s="1185" t="s">
        <v>1081</v>
      </c>
      <c r="H44" s="1185">
        <v>896.4</v>
      </c>
      <c r="I44" s="1185">
        <v>43978.9</v>
      </c>
      <c r="J44" s="1185" t="s">
        <v>1081</v>
      </c>
      <c r="K44" s="1185" t="s">
        <v>1081</v>
      </c>
      <c r="L44" s="1185">
        <v>19135.5</v>
      </c>
      <c r="M44" s="1185" t="s">
        <v>1081</v>
      </c>
      <c r="N44" s="1185" t="s">
        <v>1081</v>
      </c>
      <c r="O44" s="1185" t="s">
        <v>1081</v>
      </c>
      <c r="P44" s="1185" t="s">
        <v>1081</v>
      </c>
      <c r="Q44" s="1185" t="s">
        <v>1081</v>
      </c>
      <c r="R44" s="1185" t="s">
        <v>1081</v>
      </c>
      <c r="S44" s="1185" t="s">
        <v>1081</v>
      </c>
      <c r="T44" s="1184" t="s">
        <v>1081</v>
      </c>
    </row>
    <row r="45" spans="2:20">
      <c r="B45" s="1187" t="s">
        <v>992</v>
      </c>
      <c r="C45" s="1185">
        <v>1875.8</v>
      </c>
      <c r="D45" s="1185" t="s">
        <v>1081</v>
      </c>
      <c r="E45" s="1185" t="s">
        <v>1081</v>
      </c>
      <c r="F45" s="1185">
        <v>140.6</v>
      </c>
      <c r="G45" s="1185" t="s">
        <v>1081</v>
      </c>
      <c r="H45" s="1185" t="s">
        <v>1081</v>
      </c>
      <c r="I45" s="1185" t="s">
        <v>1081</v>
      </c>
      <c r="J45" s="1185" t="s">
        <v>1081</v>
      </c>
      <c r="K45" s="1185" t="s">
        <v>1081</v>
      </c>
      <c r="L45" s="1185">
        <v>102.4</v>
      </c>
      <c r="M45" s="1185">
        <v>38.200000000000003</v>
      </c>
      <c r="N45" s="1185" t="s">
        <v>1081</v>
      </c>
      <c r="O45" s="1185" t="s">
        <v>1081</v>
      </c>
      <c r="P45" s="1185" t="s">
        <v>1081</v>
      </c>
      <c r="Q45" s="1185">
        <v>2.1</v>
      </c>
      <c r="R45" s="1185" t="s">
        <v>1081</v>
      </c>
      <c r="S45" s="1185">
        <v>1558.8</v>
      </c>
      <c r="T45" s="1184">
        <v>174.3</v>
      </c>
    </row>
    <row r="46" spans="2:20">
      <c r="B46" s="1186" t="s">
        <v>986</v>
      </c>
      <c r="C46" s="1185">
        <v>3881.4</v>
      </c>
      <c r="D46" s="1185" t="s">
        <v>1081</v>
      </c>
      <c r="E46" s="1185" t="s">
        <v>1081</v>
      </c>
      <c r="F46" s="1185">
        <v>3881.4</v>
      </c>
      <c r="G46" s="1185" t="s">
        <v>1081</v>
      </c>
      <c r="H46" s="1185" t="s">
        <v>1081</v>
      </c>
      <c r="I46" s="1185" t="s">
        <v>1081</v>
      </c>
      <c r="J46" s="1185">
        <v>3881.4</v>
      </c>
      <c r="K46" s="1185" t="s">
        <v>1081</v>
      </c>
      <c r="L46" s="1185" t="s">
        <v>1081</v>
      </c>
      <c r="M46" s="1185" t="s">
        <v>1081</v>
      </c>
      <c r="N46" s="1185" t="s">
        <v>1081</v>
      </c>
      <c r="O46" s="1185" t="s">
        <v>1081</v>
      </c>
      <c r="P46" s="1185" t="s">
        <v>1081</v>
      </c>
      <c r="Q46" s="1185" t="s">
        <v>1081</v>
      </c>
      <c r="R46" s="1185" t="s">
        <v>1081</v>
      </c>
      <c r="S46" s="1185" t="s">
        <v>1081</v>
      </c>
      <c r="T46" s="1184" t="s">
        <v>1081</v>
      </c>
    </row>
    <row r="47" spans="2:20">
      <c r="B47" s="1186" t="s">
        <v>1774</v>
      </c>
      <c r="C47" s="1185">
        <v>1177.2</v>
      </c>
      <c r="D47" s="1185" t="s">
        <v>1081</v>
      </c>
      <c r="E47" s="1185" t="s">
        <v>1081</v>
      </c>
      <c r="F47" s="1185">
        <v>1177.2</v>
      </c>
      <c r="G47" s="1185" t="s">
        <v>1081</v>
      </c>
      <c r="H47" s="1185" t="s">
        <v>1081</v>
      </c>
      <c r="I47" s="1185" t="s">
        <v>1081</v>
      </c>
      <c r="J47" s="1185" t="s">
        <v>1081</v>
      </c>
      <c r="K47" s="1185" t="s">
        <v>1081</v>
      </c>
      <c r="L47" s="1185">
        <v>1160.2</v>
      </c>
      <c r="M47" s="1185">
        <v>17</v>
      </c>
      <c r="N47" s="1185" t="s">
        <v>1081</v>
      </c>
      <c r="O47" s="1185" t="s">
        <v>1081</v>
      </c>
      <c r="P47" s="1185" t="s">
        <v>1081</v>
      </c>
      <c r="Q47" s="1185" t="s">
        <v>1081</v>
      </c>
      <c r="R47" s="1185" t="s">
        <v>1081</v>
      </c>
      <c r="S47" s="1185" t="s">
        <v>1081</v>
      </c>
      <c r="T47" s="1184" t="s">
        <v>1081</v>
      </c>
    </row>
    <row r="48" spans="2:20">
      <c r="B48" s="1186" t="s">
        <v>1799</v>
      </c>
      <c r="C48" s="1185">
        <v>405.7</v>
      </c>
      <c r="D48" s="1185" t="s">
        <v>1081</v>
      </c>
      <c r="E48" s="1185" t="s">
        <v>1081</v>
      </c>
      <c r="F48" s="1185">
        <v>4.7</v>
      </c>
      <c r="G48" s="1185" t="s">
        <v>1081</v>
      </c>
      <c r="H48" s="1185">
        <v>4.7</v>
      </c>
      <c r="I48" s="1185" t="s">
        <v>1081</v>
      </c>
      <c r="J48" s="1185" t="s">
        <v>1081</v>
      </c>
      <c r="K48" s="1185" t="s">
        <v>1081</v>
      </c>
      <c r="L48" s="1185" t="s">
        <v>1081</v>
      </c>
      <c r="M48" s="1185" t="s">
        <v>1081</v>
      </c>
      <c r="N48" s="1185" t="s">
        <v>1081</v>
      </c>
      <c r="O48" s="1185" t="s">
        <v>1081</v>
      </c>
      <c r="P48" s="1185" t="s">
        <v>1081</v>
      </c>
      <c r="Q48" s="1185" t="s">
        <v>1081</v>
      </c>
      <c r="R48" s="1185" t="s">
        <v>1081</v>
      </c>
      <c r="S48" s="1185">
        <v>401</v>
      </c>
      <c r="T48" s="1184" t="s">
        <v>1081</v>
      </c>
    </row>
    <row r="49" spans="2:20">
      <c r="B49" s="1171" t="s">
        <v>1776</v>
      </c>
      <c r="C49" s="1185" t="s">
        <v>1081</v>
      </c>
      <c r="D49" s="1185" t="s">
        <v>1081</v>
      </c>
      <c r="E49" s="1185" t="s">
        <v>1081</v>
      </c>
      <c r="F49" s="1185" t="s">
        <v>1081</v>
      </c>
      <c r="G49" s="1185" t="s">
        <v>1081</v>
      </c>
      <c r="H49" s="1185" t="s">
        <v>1081</v>
      </c>
      <c r="I49" s="1185" t="s">
        <v>1081</v>
      </c>
      <c r="J49" s="1185" t="s">
        <v>1081</v>
      </c>
      <c r="K49" s="1185" t="s">
        <v>1081</v>
      </c>
      <c r="L49" s="1185" t="s">
        <v>1081</v>
      </c>
      <c r="M49" s="1185" t="s">
        <v>1081</v>
      </c>
      <c r="N49" s="1185" t="s">
        <v>1081</v>
      </c>
      <c r="O49" s="1185" t="s">
        <v>1081</v>
      </c>
      <c r="P49" s="1185" t="s">
        <v>1081</v>
      </c>
      <c r="Q49" s="1185" t="s">
        <v>1081</v>
      </c>
      <c r="R49" s="1185" t="s">
        <v>1081</v>
      </c>
      <c r="S49" s="1185" t="s">
        <v>1081</v>
      </c>
      <c r="T49" s="1184" t="s">
        <v>1081</v>
      </c>
    </row>
    <row r="50" spans="2:20">
      <c r="B50" s="1190" t="s">
        <v>1777</v>
      </c>
      <c r="C50" s="1189">
        <v>176172.2</v>
      </c>
      <c r="D50" s="1185" t="s">
        <v>1081</v>
      </c>
      <c r="E50" s="1185" t="s">
        <v>1081</v>
      </c>
      <c r="F50" s="1189">
        <v>17222.8</v>
      </c>
      <c r="G50" s="1185" t="s">
        <v>1081</v>
      </c>
      <c r="H50" s="1185">
        <v>2674.8</v>
      </c>
      <c r="I50" s="1185">
        <v>527</v>
      </c>
      <c r="J50" s="1185" t="s">
        <v>1081</v>
      </c>
      <c r="K50" s="1185">
        <v>64.599999999999994</v>
      </c>
      <c r="L50" s="1185">
        <v>13807.7</v>
      </c>
      <c r="M50" s="1185">
        <v>148.69999999999999</v>
      </c>
      <c r="N50" s="1185" t="s">
        <v>1081</v>
      </c>
      <c r="O50" s="1185" t="s">
        <v>1081</v>
      </c>
      <c r="P50" s="1189">
        <v>117125.4</v>
      </c>
      <c r="Q50" s="1189">
        <v>3768.3</v>
      </c>
      <c r="R50" s="1189">
        <v>2301.6</v>
      </c>
      <c r="S50" s="1189">
        <v>35754.1</v>
      </c>
      <c r="T50" s="1188" t="s">
        <v>1081</v>
      </c>
    </row>
    <row r="51" spans="2:20">
      <c r="B51" s="1187" t="s">
        <v>1779</v>
      </c>
      <c r="C51" s="1185">
        <v>17023.900000000001</v>
      </c>
      <c r="D51" s="1185" t="s">
        <v>1081</v>
      </c>
      <c r="E51" s="1185" t="s">
        <v>1081</v>
      </c>
      <c r="F51" s="1185">
        <v>13673.7</v>
      </c>
      <c r="G51" s="1185" t="s">
        <v>1081</v>
      </c>
      <c r="H51" s="1185">
        <v>9.5</v>
      </c>
      <c r="I51" s="1185">
        <v>475.2</v>
      </c>
      <c r="J51" s="1185" t="s">
        <v>1081</v>
      </c>
      <c r="K51" s="1185" t="s">
        <v>1081</v>
      </c>
      <c r="L51" s="1185">
        <v>13142.3</v>
      </c>
      <c r="M51" s="1185">
        <v>46.7</v>
      </c>
      <c r="N51" s="1185" t="s">
        <v>1081</v>
      </c>
      <c r="O51" s="1185" t="s">
        <v>1081</v>
      </c>
      <c r="P51" s="1185">
        <v>898.4</v>
      </c>
      <c r="Q51" s="1185">
        <v>54.6</v>
      </c>
      <c r="R51" s="1185" t="s">
        <v>1081</v>
      </c>
      <c r="S51" s="1185">
        <v>2397.1999999999998</v>
      </c>
      <c r="T51" s="1184" t="s">
        <v>1081</v>
      </c>
    </row>
    <row r="52" spans="2:20">
      <c r="B52" s="1186" t="s">
        <v>1781</v>
      </c>
      <c r="C52" s="1185">
        <v>18409.8</v>
      </c>
      <c r="D52" s="1185" t="s">
        <v>1081</v>
      </c>
      <c r="E52" s="1185" t="s">
        <v>1081</v>
      </c>
      <c r="F52" s="1185">
        <v>357.1</v>
      </c>
      <c r="G52" s="1185" t="s">
        <v>1081</v>
      </c>
      <c r="H52" s="1185">
        <v>118.6</v>
      </c>
      <c r="I52" s="1185" t="s">
        <v>1081</v>
      </c>
      <c r="J52" s="1185" t="s">
        <v>1081</v>
      </c>
      <c r="K52" s="1185" t="s">
        <v>1081</v>
      </c>
      <c r="L52" s="1185">
        <v>136.5</v>
      </c>
      <c r="M52" s="1185">
        <v>102</v>
      </c>
      <c r="N52" s="1185" t="s">
        <v>1081</v>
      </c>
      <c r="O52" s="1185" t="s">
        <v>1081</v>
      </c>
      <c r="P52" s="1185">
        <v>3816.2</v>
      </c>
      <c r="Q52" s="1185">
        <v>668.3</v>
      </c>
      <c r="R52" s="1185">
        <v>930.4</v>
      </c>
      <c r="S52" s="1185">
        <v>12637.8</v>
      </c>
      <c r="T52" s="1184" t="s">
        <v>1081</v>
      </c>
    </row>
    <row r="53" spans="2:20">
      <c r="B53" s="1186" t="s">
        <v>1783</v>
      </c>
      <c r="C53" s="1185">
        <v>140738.5</v>
      </c>
      <c r="D53" s="1185" t="s">
        <v>1081</v>
      </c>
      <c r="E53" s="1185" t="s">
        <v>1081</v>
      </c>
      <c r="F53" s="1185">
        <v>3192</v>
      </c>
      <c r="G53" s="1185" t="s">
        <v>1081</v>
      </c>
      <c r="H53" s="1185">
        <v>2546.6999999999998</v>
      </c>
      <c r="I53" s="1185">
        <v>51.8</v>
      </c>
      <c r="J53" s="1185" t="s">
        <v>1081</v>
      </c>
      <c r="K53" s="1185">
        <v>64.599999999999994</v>
      </c>
      <c r="L53" s="1185">
        <v>528.9</v>
      </c>
      <c r="M53" s="1185" t="s">
        <v>1081</v>
      </c>
      <c r="N53" s="1185" t="s">
        <v>1081</v>
      </c>
      <c r="O53" s="1185" t="s">
        <v>1081</v>
      </c>
      <c r="P53" s="1185">
        <v>112410.8</v>
      </c>
      <c r="Q53" s="1185">
        <v>3045.4</v>
      </c>
      <c r="R53" s="1185">
        <v>1371.2</v>
      </c>
      <c r="S53" s="1185">
        <v>20719.099999999999</v>
      </c>
      <c r="T53" s="1184" t="s">
        <v>1081</v>
      </c>
    </row>
    <row r="54" spans="2:20">
      <c r="B54" s="1186" t="s">
        <v>1785</v>
      </c>
      <c r="C54" s="1185" t="s">
        <v>1081</v>
      </c>
      <c r="D54" s="1185" t="s">
        <v>1081</v>
      </c>
      <c r="E54" s="1185" t="s">
        <v>1081</v>
      </c>
      <c r="F54" s="1185" t="s">
        <v>1081</v>
      </c>
      <c r="G54" s="1185" t="s">
        <v>1081</v>
      </c>
      <c r="H54" s="1185" t="s">
        <v>1081</v>
      </c>
      <c r="I54" s="1185" t="s">
        <v>1081</v>
      </c>
      <c r="J54" s="1185" t="s">
        <v>1081</v>
      </c>
      <c r="K54" s="1185" t="s">
        <v>1081</v>
      </c>
      <c r="L54" s="1185" t="s">
        <v>1081</v>
      </c>
      <c r="M54" s="1185" t="s">
        <v>1081</v>
      </c>
      <c r="N54" s="1185" t="s">
        <v>1081</v>
      </c>
      <c r="O54" s="1185" t="s">
        <v>1081</v>
      </c>
      <c r="P54" s="1185"/>
      <c r="Q54" s="1185" t="s">
        <v>1081</v>
      </c>
      <c r="R54" s="1185" t="s">
        <v>1081</v>
      </c>
      <c r="S54" s="1185" t="s">
        <v>1081</v>
      </c>
      <c r="T54" s="1184" t="s">
        <v>1081</v>
      </c>
    </row>
    <row r="55" spans="2:20" ht="14.4" thickBot="1">
      <c r="B55" s="1183" t="s">
        <v>1787</v>
      </c>
      <c r="C55" s="1182">
        <v>22482.9</v>
      </c>
      <c r="D55" s="1181" t="s">
        <v>1081</v>
      </c>
      <c r="E55" s="1181" t="s">
        <v>1081</v>
      </c>
      <c r="F55" s="1182">
        <v>20831.8</v>
      </c>
      <c r="G55" s="1181" t="s">
        <v>1081</v>
      </c>
      <c r="H55" s="1181">
        <v>237.1</v>
      </c>
      <c r="I55" s="1181" t="s">
        <v>1081</v>
      </c>
      <c r="J55" s="1181">
        <v>246.1</v>
      </c>
      <c r="K55" s="1181" t="s">
        <v>1081</v>
      </c>
      <c r="L55" s="1181" t="s">
        <v>1081</v>
      </c>
      <c r="M55" s="1181">
        <v>509.8</v>
      </c>
      <c r="N55" s="1181">
        <v>8668.7000000000007</v>
      </c>
      <c r="O55" s="1181">
        <v>11170.1</v>
      </c>
      <c r="P55" s="1182">
        <v>1519.4</v>
      </c>
      <c r="Q55" s="1181" t="s">
        <v>1081</v>
      </c>
      <c r="R55" s="1181" t="s">
        <v>1081</v>
      </c>
      <c r="S55" s="1181" t="s">
        <v>1081</v>
      </c>
      <c r="T55" s="1180">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RowHeight="13.8"/>
  <cols>
    <col min="1" max="1" width="5.5546875" style="1148" customWidth="1"/>
    <col min="2" max="2" width="31.5546875" style="1148" bestFit="1" customWidth="1"/>
    <col min="3" max="3" width="11.5546875" style="1148" customWidth="1"/>
    <col min="4" max="4" width="12" style="1148" customWidth="1"/>
    <col min="5" max="20" width="11.5546875" style="1148" customWidth="1"/>
    <col min="21" max="256" width="9.109375" style="1148"/>
    <col min="257" max="257" width="5.5546875" style="1148" customWidth="1"/>
    <col min="258" max="258" width="31.5546875" style="1148" bestFit="1" customWidth="1"/>
    <col min="259" max="259" width="11.5546875" style="1148" customWidth="1"/>
    <col min="260" max="260" width="12" style="1148" customWidth="1"/>
    <col min="261" max="276" width="11.5546875" style="1148" customWidth="1"/>
    <col min="277" max="512" width="9.109375" style="1148"/>
    <col min="513" max="513" width="5.5546875" style="1148" customWidth="1"/>
    <col min="514" max="514" width="31.5546875" style="1148" bestFit="1" customWidth="1"/>
    <col min="515" max="515" width="11.5546875" style="1148" customWidth="1"/>
    <col min="516" max="516" width="12" style="1148" customWidth="1"/>
    <col min="517" max="532" width="11.5546875" style="1148" customWidth="1"/>
    <col min="533" max="768" width="9.109375" style="1148"/>
    <col min="769" max="769" width="5.5546875" style="1148" customWidth="1"/>
    <col min="770" max="770" width="31.5546875" style="1148" bestFit="1" customWidth="1"/>
    <col min="771" max="771" width="11.5546875" style="1148" customWidth="1"/>
    <col min="772" max="772" width="12" style="1148" customWidth="1"/>
    <col min="773" max="788" width="11.5546875" style="1148" customWidth="1"/>
    <col min="789" max="1024" width="9.109375" style="1148"/>
    <col min="1025" max="1025" width="5.5546875" style="1148" customWidth="1"/>
    <col min="1026" max="1026" width="31.5546875" style="1148" bestFit="1" customWidth="1"/>
    <col min="1027" max="1027" width="11.5546875" style="1148" customWidth="1"/>
    <col min="1028" max="1028" width="12" style="1148" customWidth="1"/>
    <col min="1029" max="1044" width="11.5546875" style="1148" customWidth="1"/>
    <col min="1045" max="1280" width="9.109375" style="1148"/>
    <col min="1281" max="1281" width="5.5546875" style="1148" customWidth="1"/>
    <col min="1282" max="1282" width="31.5546875" style="1148" bestFit="1" customWidth="1"/>
    <col min="1283" max="1283" width="11.5546875" style="1148" customWidth="1"/>
    <col min="1284" max="1284" width="12" style="1148" customWidth="1"/>
    <col min="1285" max="1300" width="11.5546875" style="1148" customWidth="1"/>
    <col min="1301" max="1536" width="9.109375" style="1148"/>
    <col min="1537" max="1537" width="5.5546875" style="1148" customWidth="1"/>
    <col min="1538" max="1538" width="31.5546875" style="1148" bestFit="1" customWidth="1"/>
    <col min="1539" max="1539" width="11.5546875" style="1148" customWidth="1"/>
    <col min="1540" max="1540" width="12" style="1148" customWidth="1"/>
    <col min="1541" max="1556" width="11.5546875" style="1148" customWidth="1"/>
    <col min="1557" max="1792" width="9.109375" style="1148"/>
    <col min="1793" max="1793" width="5.5546875" style="1148" customWidth="1"/>
    <col min="1794" max="1794" width="31.5546875" style="1148" bestFit="1" customWidth="1"/>
    <col min="1795" max="1795" width="11.5546875" style="1148" customWidth="1"/>
    <col min="1796" max="1796" width="12" style="1148" customWidth="1"/>
    <col min="1797" max="1812" width="11.5546875" style="1148" customWidth="1"/>
    <col min="1813" max="2048" width="9.109375" style="1148"/>
    <col min="2049" max="2049" width="5.5546875" style="1148" customWidth="1"/>
    <col min="2050" max="2050" width="31.5546875" style="1148" bestFit="1" customWidth="1"/>
    <col min="2051" max="2051" width="11.5546875" style="1148" customWidth="1"/>
    <col min="2052" max="2052" width="12" style="1148" customWidth="1"/>
    <col min="2053" max="2068" width="11.5546875" style="1148" customWidth="1"/>
    <col min="2069" max="2304" width="9.109375" style="1148"/>
    <col min="2305" max="2305" width="5.5546875" style="1148" customWidth="1"/>
    <col min="2306" max="2306" width="31.5546875" style="1148" bestFit="1" customWidth="1"/>
    <col min="2307" max="2307" width="11.5546875" style="1148" customWidth="1"/>
    <col min="2308" max="2308" width="12" style="1148" customWidth="1"/>
    <col min="2309" max="2324" width="11.5546875" style="1148" customWidth="1"/>
    <col min="2325" max="2560" width="9.109375" style="1148"/>
    <col min="2561" max="2561" width="5.5546875" style="1148" customWidth="1"/>
    <col min="2562" max="2562" width="31.5546875" style="1148" bestFit="1" customWidth="1"/>
    <col min="2563" max="2563" width="11.5546875" style="1148" customWidth="1"/>
    <col min="2564" max="2564" width="12" style="1148" customWidth="1"/>
    <col min="2565" max="2580" width="11.5546875" style="1148" customWidth="1"/>
    <col min="2581" max="2816" width="9.109375" style="1148"/>
    <col min="2817" max="2817" width="5.5546875" style="1148" customWidth="1"/>
    <col min="2818" max="2818" width="31.5546875" style="1148" bestFit="1" customWidth="1"/>
    <col min="2819" max="2819" width="11.5546875" style="1148" customWidth="1"/>
    <col min="2820" max="2820" width="12" style="1148" customWidth="1"/>
    <col min="2821" max="2836" width="11.5546875" style="1148" customWidth="1"/>
    <col min="2837" max="3072" width="9.109375" style="1148"/>
    <col min="3073" max="3073" width="5.5546875" style="1148" customWidth="1"/>
    <col min="3074" max="3074" width="31.5546875" style="1148" bestFit="1" customWidth="1"/>
    <col min="3075" max="3075" width="11.5546875" style="1148" customWidth="1"/>
    <col min="3076" max="3076" width="12" style="1148" customWidth="1"/>
    <col min="3077" max="3092" width="11.5546875" style="1148" customWidth="1"/>
    <col min="3093" max="3328" width="9.109375" style="1148"/>
    <col min="3329" max="3329" width="5.5546875" style="1148" customWidth="1"/>
    <col min="3330" max="3330" width="31.5546875" style="1148" bestFit="1" customWidth="1"/>
    <col min="3331" max="3331" width="11.5546875" style="1148" customWidth="1"/>
    <col min="3332" max="3332" width="12" style="1148" customWidth="1"/>
    <col min="3333" max="3348" width="11.5546875" style="1148" customWidth="1"/>
    <col min="3349" max="3584" width="9.109375" style="1148"/>
    <col min="3585" max="3585" width="5.5546875" style="1148" customWidth="1"/>
    <col min="3586" max="3586" width="31.5546875" style="1148" bestFit="1" customWidth="1"/>
    <col min="3587" max="3587" width="11.5546875" style="1148" customWidth="1"/>
    <col min="3588" max="3588" width="12" style="1148" customWidth="1"/>
    <col min="3589" max="3604" width="11.5546875" style="1148" customWidth="1"/>
    <col min="3605" max="3840" width="9.109375" style="1148"/>
    <col min="3841" max="3841" width="5.5546875" style="1148" customWidth="1"/>
    <col min="3842" max="3842" width="31.5546875" style="1148" bestFit="1" customWidth="1"/>
    <col min="3843" max="3843" width="11.5546875" style="1148" customWidth="1"/>
    <col min="3844" max="3844" width="12" style="1148" customWidth="1"/>
    <col min="3845" max="3860" width="11.5546875" style="1148" customWidth="1"/>
    <col min="3861" max="4096" width="9.109375" style="1148"/>
    <col min="4097" max="4097" width="5.5546875" style="1148" customWidth="1"/>
    <col min="4098" max="4098" width="31.5546875" style="1148" bestFit="1" customWidth="1"/>
    <col min="4099" max="4099" width="11.5546875" style="1148" customWidth="1"/>
    <col min="4100" max="4100" width="12" style="1148" customWidth="1"/>
    <col min="4101" max="4116" width="11.5546875" style="1148" customWidth="1"/>
    <col min="4117" max="4352" width="9.109375" style="1148"/>
    <col min="4353" max="4353" width="5.5546875" style="1148" customWidth="1"/>
    <col min="4354" max="4354" width="31.5546875" style="1148" bestFit="1" customWidth="1"/>
    <col min="4355" max="4355" width="11.5546875" style="1148" customWidth="1"/>
    <col min="4356" max="4356" width="12" style="1148" customWidth="1"/>
    <col min="4357" max="4372" width="11.5546875" style="1148" customWidth="1"/>
    <col min="4373" max="4608" width="9.109375" style="1148"/>
    <col min="4609" max="4609" width="5.5546875" style="1148" customWidth="1"/>
    <col min="4610" max="4610" width="31.5546875" style="1148" bestFit="1" customWidth="1"/>
    <col min="4611" max="4611" width="11.5546875" style="1148" customWidth="1"/>
    <col min="4612" max="4612" width="12" style="1148" customWidth="1"/>
    <col min="4613" max="4628" width="11.5546875" style="1148" customWidth="1"/>
    <col min="4629" max="4864" width="9.109375" style="1148"/>
    <col min="4865" max="4865" width="5.5546875" style="1148" customWidth="1"/>
    <col min="4866" max="4866" width="31.5546875" style="1148" bestFit="1" customWidth="1"/>
    <col min="4867" max="4867" width="11.5546875" style="1148" customWidth="1"/>
    <col min="4868" max="4868" width="12" style="1148" customWidth="1"/>
    <col min="4869" max="4884" width="11.5546875" style="1148" customWidth="1"/>
    <col min="4885" max="5120" width="9.109375" style="1148"/>
    <col min="5121" max="5121" width="5.5546875" style="1148" customWidth="1"/>
    <col min="5122" max="5122" width="31.5546875" style="1148" bestFit="1" customWidth="1"/>
    <col min="5123" max="5123" width="11.5546875" style="1148" customWidth="1"/>
    <col min="5124" max="5124" width="12" style="1148" customWidth="1"/>
    <col min="5125" max="5140" width="11.5546875" style="1148" customWidth="1"/>
    <col min="5141" max="5376" width="9.109375" style="1148"/>
    <col min="5377" max="5377" width="5.5546875" style="1148" customWidth="1"/>
    <col min="5378" max="5378" width="31.5546875" style="1148" bestFit="1" customWidth="1"/>
    <col min="5379" max="5379" width="11.5546875" style="1148" customWidth="1"/>
    <col min="5380" max="5380" width="12" style="1148" customWidth="1"/>
    <col min="5381" max="5396" width="11.5546875" style="1148" customWidth="1"/>
    <col min="5397" max="5632" width="9.109375" style="1148"/>
    <col min="5633" max="5633" width="5.5546875" style="1148" customWidth="1"/>
    <col min="5634" max="5634" width="31.5546875" style="1148" bestFit="1" customWidth="1"/>
    <col min="5635" max="5635" width="11.5546875" style="1148" customWidth="1"/>
    <col min="5636" max="5636" width="12" style="1148" customWidth="1"/>
    <col min="5637" max="5652" width="11.5546875" style="1148" customWidth="1"/>
    <col min="5653" max="5888" width="9.109375" style="1148"/>
    <col min="5889" max="5889" width="5.5546875" style="1148" customWidth="1"/>
    <col min="5890" max="5890" width="31.5546875" style="1148" bestFit="1" customWidth="1"/>
    <col min="5891" max="5891" width="11.5546875" style="1148" customWidth="1"/>
    <col min="5892" max="5892" width="12" style="1148" customWidth="1"/>
    <col min="5893" max="5908" width="11.5546875" style="1148" customWidth="1"/>
    <col min="5909" max="6144" width="9.109375" style="1148"/>
    <col min="6145" max="6145" width="5.5546875" style="1148" customWidth="1"/>
    <col min="6146" max="6146" width="31.5546875" style="1148" bestFit="1" customWidth="1"/>
    <col min="6147" max="6147" width="11.5546875" style="1148" customWidth="1"/>
    <col min="6148" max="6148" width="12" style="1148" customWidth="1"/>
    <col min="6149" max="6164" width="11.5546875" style="1148" customWidth="1"/>
    <col min="6165" max="6400" width="9.109375" style="1148"/>
    <col min="6401" max="6401" width="5.5546875" style="1148" customWidth="1"/>
    <col min="6402" max="6402" width="31.5546875" style="1148" bestFit="1" customWidth="1"/>
    <col min="6403" max="6403" width="11.5546875" style="1148" customWidth="1"/>
    <col min="6404" max="6404" width="12" style="1148" customWidth="1"/>
    <col min="6405" max="6420" width="11.5546875" style="1148" customWidth="1"/>
    <col min="6421" max="6656" width="9.109375" style="1148"/>
    <col min="6657" max="6657" width="5.5546875" style="1148" customWidth="1"/>
    <col min="6658" max="6658" width="31.5546875" style="1148" bestFit="1" customWidth="1"/>
    <col min="6659" max="6659" width="11.5546875" style="1148" customWidth="1"/>
    <col min="6660" max="6660" width="12" style="1148" customWidth="1"/>
    <col min="6661" max="6676" width="11.5546875" style="1148" customWidth="1"/>
    <col min="6677" max="6912" width="9.109375" style="1148"/>
    <col min="6913" max="6913" width="5.5546875" style="1148" customWidth="1"/>
    <col min="6914" max="6914" width="31.5546875" style="1148" bestFit="1" customWidth="1"/>
    <col min="6915" max="6915" width="11.5546875" style="1148" customWidth="1"/>
    <col min="6916" max="6916" width="12" style="1148" customWidth="1"/>
    <col min="6917" max="6932" width="11.5546875" style="1148" customWidth="1"/>
    <col min="6933" max="7168" width="9.109375" style="1148"/>
    <col min="7169" max="7169" width="5.5546875" style="1148" customWidth="1"/>
    <col min="7170" max="7170" width="31.5546875" style="1148" bestFit="1" customWidth="1"/>
    <col min="7171" max="7171" width="11.5546875" style="1148" customWidth="1"/>
    <col min="7172" max="7172" width="12" style="1148" customWidth="1"/>
    <col min="7173" max="7188" width="11.5546875" style="1148" customWidth="1"/>
    <col min="7189" max="7424" width="9.109375" style="1148"/>
    <col min="7425" max="7425" width="5.5546875" style="1148" customWidth="1"/>
    <col min="7426" max="7426" width="31.5546875" style="1148" bestFit="1" customWidth="1"/>
    <col min="7427" max="7427" width="11.5546875" style="1148" customWidth="1"/>
    <col min="7428" max="7428" width="12" style="1148" customWidth="1"/>
    <col min="7429" max="7444" width="11.5546875" style="1148" customWidth="1"/>
    <col min="7445" max="7680" width="9.109375" style="1148"/>
    <col min="7681" max="7681" width="5.5546875" style="1148" customWidth="1"/>
    <col min="7682" max="7682" width="31.5546875" style="1148" bestFit="1" customWidth="1"/>
    <col min="7683" max="7683" width="11.5546875" style="1148" customWidth="1"/>
    <col min="7684" max="7684" width="12" style="1148" customWidth="1"/>
    <col min="7685" max="7700" width="11.5546875" style="1148" customWidth="1"/>
    <col min="7701" max="7936" width="9.109375" style="1148"/>
    <col min="7937" max="7937" width="5.5546875" style="1148" customWidth="1"/>
    <col min="7938" max="7938" width="31.5546875" style="1148" bestFit="1" customWidth="1"/>
    <col min="7939" max="7939" width="11.5546875" style="1148" customWidth="1"/>
    <col min="7940" max="7940" width="12" style="1148" customWidth="1"/>
    <col min="7941" max="7956" width="11.5546875" style="1148" customWidth="1"/>
    <col min="7957" max="8192" width="9.109375" style="1148"/>
    <col min="8193" max="8193" width="5.5546875" style="1148" customWidth="1"/>
    <col min="8194" max="8194" width="31.5546875" style="1148" bestFit="1" customWidth="1"/>
    <col min="8195" max="8195" width="11.5546875" style="1148" customWidth="1"/>
    <col min="8196" max="8196" width="12" style="1148" customWidth="1"/>
    <col min="8197" max="8212" width="11.5546875" style="1148" customWidth="1"/>
    <col min="8213" max="8448" width="9.109375" style="1148"/>
    <col min="8449" max="8449" width="5.5546875" style="1148" customWidth="1"/>
    <col min="8450" max="8450" width="31.5546875" style="1148" bestFit="1" customWidth="1"/>
    <col min="8451" max="8451" width="11.5546875" style="1148" customWidth="1"/>
    <col min="8452" max="8452" width="12" style="1148" customWidth="1"/>
    <col min="8453" max="8468" width="11.5546875" style="1148" customWidth="1"/>
    <col min="8469" max="8704" width="9.109375" style="1148"/>
    <col min="8705" max="8705" width="5.5546875" style="1148" customWidth="1"/>
    <col min="8706" max="8706" width="31.5546875" style="1148" bestFit="1" customWidth="1"/>
    <col min="8707" max="8707" width="11.5546875" style="1148" customWidth="1"/>
    <col min="8708" max="8708" width="12" style="1148" customWidth="1"/>
    <col min="8709" max="8724" width="11.5546875" style="1148" customWidth="1"/>
    <col min="8725" max="8960" width="9.109375" style="1148"/>
    <col min="8961" max="8961" width="5.5546875" style="1148" customWidth="1"/>
    <col min="8962" max="8962" width="31.5546875" style="1148" bestFit="1" customWidth="1"/>
    <col min="8963" max="8963" width="11.5546875" style="1148" customWidth="1"/>
    <col min="8964" max="8964" width="12" style="1148" customWidth="1"/>
    <col min="8965" max="8980" width="11.5546875" style="1148" customWidth="1"/>
    <col min="8981" max="9216" width="9.109375" style="1148"/>
    <col min="9217" max="9217" width="5.5546875" style="1148" customWidth="1"/>
    <col min="9218" max="9218" width="31.5546875" style="1148" bestFit="1" customWidth="1"/>
    <col min="9219" max="9219" width="11.5546875" style="1148" customWidth="1"/>
    <col min="9220" max="9220" width="12" style="1148" customWidth="1"/>
    <col min="9221" max="9236" width="11.5546875" style="1148" customWidth="1"/>
    <col min="9237" max="9472" width="9.109375" style="1148"/>
    <col min="9473" max="9473" width="5.5546875" style="1148" customWidth="1"/>
    <col min="9474" max="9474" width="31.5546875" style="1148" bestFit="1" customWidth="1"/>
    <col min="9475" max="9475" width="11.5546875" style="1148" customWidth="1"/>
    <col min="9476" max="9476" width="12" style="1148" customWidth="1"/>
    <col min="9477" max="9492" width="11.5546875" style="1148" customWidth="1"/>
    <col min="9493" max="9728" width="9.109375" style="1148"/>
    <col min="9729" max="9729" width="5.5546875" style="1148" customWidth="1"/>
    <col min="9730" max="9730" width="31.5546875" style="1148" bestFit="1" customWidth="1"/>
    <col min="9731" max="9731" width="11.5546875" style="1148" customWidth="1"/>
    <col min="9732" max="9732" width="12" style="1148" customWidth="1"/>
    <col min="9733" max="9748" width="11.5546875" style="1148" customWidth="1"/>
    <col min="9749" max="9984" width="9.109375" style="1148"/>
    <col min="9985" max="9985" width="5.5546875" style="1148" customWidth="1"/>
    <col min="9986" max="9986" width="31.5546875" style="1148" bestFit="1" customWidth="1"/>
    <col min="9987" max="9987" width="11.5546875" style="1148" customWidth="1"/>
    <col min="9988" max="9988" width="12" style="1148" customWidth="1"/>
    <col min="9989" max="10004" width="11.5546875" style="1148" customWidth="1"/>
    <col min="10005" max="10240" width="9.109375" style="1148"/>
    <col min="10241" max="10241" width="5.5546875" style="1148" customWidth="1"/>
    <col min="10242" max="10242" width="31.5546875" style="1148" bestFit="1" customWidth="1"/>
    <col min="10243" max="10243" width="11.5546875" style="1148" customWidth="1"/>
    <col min="10244" max="10244" width="12" style="1148" customWidth="1"/>
    <col min="10245" max="10260" width="11.5546875" style="1148" customWidth="1"/>
    <col min="10261" max="10496" width="9.109375" style="1148"/>
    <col min="10497" max="10497" width="5.5546875" style="1148" customWidth="1"/>
    <col min="10498" max="10498" width="31.5546875" style="1148" bestFit="1" customWidth="1"/>
    <col min="10499" max="10499" width="11.5546875" style="1148" customWidth="1"/>
    <col min="10500" max="10500" width="12" style="1148" customWidth="1"/>
    <col min="10501" max="10516" width="11.5546875" style="1148" customWidth="1"/>
    <col min="10517" max="10752" width="9.109375" style="1148"/>
    <col min="10753" max="10753" width="5.5546875" style="1148" customWidth="1"/>
    <col min="10754" max="10754" width="31.5546875" style="1148" bestFit="1" customWidth="1"/>
    <col min="10755" max="10755" width="11.5546875" style="1148" customWidth="1"/>
    <col min="10756" max="10756" width="12" style="1148" customWidth="1"/>
    <col min="10757" max="10772" width="11.5546875" style="1148" customWidth="1"/>
    <col min="10773" max="11008" width="9.109375" style="1148"/>
    <col min="11009" max="11009" width="5.5546875" style="1148" customWidth="1"/>
    <col min="11010" max="11010" width="31.5546875" style="1148" bestFit="1" customWidth="1"/>
    <col min="11011" max="11011" width="11.5546875" style="1148" customWidth="1"/>
    <col min="11012" max="11012" width="12" style="1148" customWidth="1"/>
    <col min="11013" max="11028" width="11.5546875" style="1148" customWidth="1"/>
    <col min="11029" max="11264" width="9.109375" style="1148"/>
    <col min="11265" max="11265" width="5.5546875" style="1148" customWidth="1"/>
    <col min="11266" max="11266" width="31.5546875" style="1148" bestFit="1" customWidth="1"/>
    <col min="11267" max="11267" width="11.5546875" style="1148" customWidth="1"/>
    <col min="11268" max="11268" width="12" style="1148" customWidth="1"/>
    <col min="11269" max="11284" width="11.5546875" style="1148" customWidth="1"/>
    <col min="11285" max="11520" width="9.109375" style="1148"/>
    <col min="11521" max="11521" width="5.5546875" style="1148" customWidth="1"/>
    <col min="11522" max="11522" width="31.5546875" style="1148" bestFit="1" customWidth="1"/>
    <col min="11523" max="11523" width="11.5546875" style="1148" customWidth="1"/>
    <col min="11524" max="11524" width="12" style="1148" customWidth="1"/>
    <col min="11525" max="11540" width="11.5546875" style="1148" customWidth="1"/>
    <col min="11541" max="11776" width="9.109375" style="1148"/>
    <col min="11777" max="11777" width="5.5546875" style="1148" customWidth="1"/>
    <col min="11778" max="11778" width="31.5546875" style="1148" bestFit="1" customWidth="1"/>
    <col min="11779" max="11779" width="11.5546875" style="1148" customWidth="1"/>
    <col min="11780" max="11780" width="12" style="1148" customWidth="1"/>
    <col min="11781" max="11796" width="11.5546875" style="1148" customWidth="1"/>
    <col min="11797" max="12032" width="9.109375" style="1148"/>
    <col min="12033" max="12033" width="5.5546875" style="1148" customWidth="1"/>
    <col min="12034" max="12034" width="31.5546875" style="1148" bestFit="1" customWidth="1"/>
    <col min="12035" max="12035" width="11.5546875" style="1148" customWidth="1"/>
    <col min="12036" max="12036" width="12" style="1148" customWidth="1"/>
    <col min="12037" max="12052" width="11.5546875" style="1148" customWidth="1"/>
    <col min="12053" max="12288" width="9.109375" style="1148"/>
    <col min="12289" max="12289" width="5.5546875" style="1148" customWidth="1"/>
    <col min="12290" max="12290" width="31.5546875" style="1148" bestFit="1" customWidth="1"/>
    <col min="12291" max="12291" width="11.5546875" style="1148" customWidth="1"/>
    <col min="12292" max="12292" width="12" style="1148" customWidth="1"/>
    <col min="12293" max="12308" width="11.5546875" style="1148" customWidth="1"/>
    <col min="12309" max="12544" width="9.109375" style="1148"/>
    <col min="12545" max="12545" width="5.5546875" style="1148" customWidth="1"/>
    <col min="12546" max="12546" width="31.5546875" style="1148" bestFit="1" customWidth="1"/>
    <col min="12547" max="12547" width="11.5546875" style="1148" customWidth="1"/>
    <col min="12548" max="12548" width="12" style="1148" customWidth="1"/>
    <col min="12549" max="12564" width="11.5546875" style="1148" customWidth="1"/>
    <col min="12565" max="12800" width="9.109375" style="1148"/>
    <col min="12801" max="12801" width="5.5546875" style="1148" customWidth="1"/>
    <col min="12802" max="12802" width="31.5546875" style="1148" bestFit="1" customWidth="1"/>
    <col min="12803" max="12803" width="11.5546875" style="1148" customWidth="1"/>
    <col min="12804" max="12804" width="12" style="1148" customWidth="1"/>
    <col min="12805" max="12820" width="11.5546875" style="1148" customWidth="1"/>
    <col min="12821" max="13056" width="9.109375" style="1148"/>
    <col min="13057" max="13057" width="5.5546875" style="1148" customWidth="1"/>
    <col min="13058" max="13058" width="31.5546875" style="1148" bestFit="1" customWidth="1"/>
    <col min="13059" max="13059" width="11.5546875" style="1148" customWidth="1"/>
    <col min="13060" max="13060" width="12" style="1148" customWidth="1"/>
    <col min="13061" max="13076" width="11.5546875" style="1148" customWidth="1"/>
    <col min="13077" max="13312" width="9.109375" style="1148"/>
    <col min="13313" max="13313" width="5.5546875" style="1148" customWidth="1"/>
    <col min="13314" max="13314" width="31.5546875" style="1148" bestFit="1" customWidth="1"/>
    <col min="13315" max="13315" width="11.5546875" style="1148" customWidth="1"/>
    <col min="13316" max="13316" width="12" style="1148" customWidth="1"/>
    <col min="13317" max="13332" width="11.5546875" style="1148" customWidth="1"/>
    <col min="13333" max="13568" width="9.109375" style="1148"/>
    <col min="13569" max="13569" width="5.5546875" style="1148" customWidth="1"/>
    <col min="13570" max="13570" width="31.5546875" style="1148" bestFit="1" customWidth="1"/>
    <col min="13571" max="13571" width="11.5546875" style="1148" customWidth="1"/>
    <col min="13572" max="13572" width="12" style="1148" customWidth="1"/>
    <col min="13573" max="13588" width="11.5546875" style="1148" customWidth="1"/>
    <col min="13589" max="13824" width="9.109375" style="1148"/>
    <col min="13825" max="13825" width="5.5546875" style="1148" customWidth="1"/>
    <col min="13826" max="13826" width="31.5546875" style="1148" bestFit="1" customWidth="1"/>
    <col min="13827" max="13827" width="11.5546875" style="1148" customWidth="1"/>
    <col min="13828" max="13828" width="12" style="1148" customWidth="1"/>
    <col min="13829" max="13844" width="11.5546875" style="1148" customWidth="1"/>
    <col min="13845" max="14080" width="9.109375" style="1148"/>
    <col min="14081" max="14081" width="5.5546875" style="1148" customWidth="1"/>
    <col min="14082" max="14082" width="31.5546875" style="1148" bestFit="1" customWidth="1"/>
    <col min="14083" max="14083" width="11.5546875" style="1148" customWidth="1"/>
    <col min="14084" max="14084" width="12" style="1148" customWidth="1"/>
    <col min="14085" max="14100" width="11.5546875" style="1148" customWidth="1"/>
    <col min="14101" max="14336" width="9.109375" style="1148"/>
    <col min="14337" max="14337" width="5.5546875" style="1148" customWidth="1"/>
    <col min="14338" max="14338" width="31.5546875" style="1148" bestFit="1" customWidth="1"/>
    <col min="14339" max="14339" width="11.5546875" style="1148" customWidth="1"/>
    <col min="14340" max="14340" width="12" style="1148" customWidth="1"/>
    <col min="14341" max="14356" width="11.5546875" style="1148" customWidth="1"/>
    <col min="14357" max="14592" width="9.109375" style="1148"/>
    <col min="14593" max="14593" width="5.5546875" style="1148" customWidth="1"/>
    <col min="14594" max="14594" width="31.5546875" style="1148" bestFit="1" customWidth="1"/>
    <col min="14595" max="14595" width="11.5546875" style="1148" customWidth="1"/>
    <col min="14596" max="14596" width="12" style="1148" customWidth="1"/>
    <col min="14597" max="14612" width="11.5546875" style="1148" customWidth="1"/>
    <col min="14613" max="14848" width="9.109375" style="1148"/>
    <col min="14849" max="14849" width="5.5546875" style="1148" customWidth="1"/>
    <col min="14850" max="14850" width="31.5546875" style="1148" bestFit="1" customWidth="1"/>
    <col min="14851" max="14851" width="11.5546875" style="1148" customWidth="1"/>
    <col min="14852" max="14852" width="12" style="1148" customWidth="1"/>
    <col min="14853" max="14868" width="11.5546875" style="1148" customWidth="1"/>
    <col min="14869" max="15104" width="9.109375" style="1148"/>
    <col min="15105" max="15105" width="5.5546875" style="1148" customWidth="1"/>
    <col min="15106" max="15106" width="31.5546875" style="1148" bestFit="1" customWidth="1"/>
    <col min="15107" max="15107" width="11.5546875" style="1148" customWidth="1"/>
    <col min="15108" max="15108" width="12" style="1148" customWidth="1"/>
    <col min="15109" max="15124" width="11.5546875" style="1148" customWidth="1"/>
    <col min="15125" max="15360" width="9.109375" style="1148"/>
    <col min="15361" max="15361" width="5.5546875" style="1148" customWidth="1"/>
    <col min="15362" max="15362" width="31.5546875" style="1148" bestFit="1" customWidth="1"/>
    <col min="15363" max="15363" width="11.5546875" style="1148" customWidth="1"/>
    <col min="15364" max="15364" width="12" style="1148" customWidth="1"/>
    <col min="15365" max="15380" width="11.5546875" style="1148" customWidth="1"/>
    <col min="15381" max="15616" width="9.109375" style="1148"/>
    <col min="15617" max="15617" width="5.5546875" style="1148" customWidth="1"/>
    <col min="15618" max="15618" width="31.5546875" style="1148" bestFit="1" customWidth="1"/>
    <col min="15619" max="15619" width="11.5546875" style="1148" customWidth="1"/>
    <col min="15620" max="15620" width="12" style="1148" customWidth="1"/>
    <col min="15621" max="15636" width="11.5546875" style="1148" customWidth="1"/>
    <col min="15637" max="15872" width="9.109375" style="1148"/>
    <col min="15873" max="15873" width="5.5546875" style="1148" customWidth="1"/>
    <col min="15874" max="15874" width="31.5546875" style="1148" bestFit="1" customWidth="1"/>
    <col min="15875" max="15875" width="11.5546875" style="1148" customWidth="1"/>
    <col min="15876" max="15876" width="12" style="1148" customWidth="1"/>
    <col min="15877" max="15892" width="11.5546875" style="1148" customWidth="1"/>
    <col min="15893" max="16128" width="9.109375" style="1148"/>
    <col min="16129" max="16129" width="5.5546875" style="1148" customWidth="1"/>
    <col min="16130" max="16130" width="31.5546875" style="1148" bestFit="1" customWidth="1"/>
    <col min="16131" max="16131" width="11.5546875" style="1148" customWidth="1"/>
    <col min="16132" max="16132" width="12" style="1148" customWidth="1"/>
    <col min="16133" max="16148" width="11.5546875" style="1148" customWidth="1"/>
    <col min="16149" max="16384" width="9.109375" style="1148"/>
  </cols>
  <sheetData>
    <row r="1" spans="1:20">
      <c r="P1" s="1149">
        <f>P25+P26</f>
        <v>62105.399999999994</v>
      </c>
    </row>
    <row r="2" spans="1:20">
      <c r="B2" s="1271" t="s">
        <v>1802</v>
      </c>
      <c r="C2" s="1271"/>
      <c r="D2" s="1271"/>
      <c r="E2" s="1271"/>
      <c r="F2" s="1271"/>
      <c r="G2" s="1271"/>
      <c r="H2" s="1271"/>
      <c r="I2" s="1271"/>
      <c r="J2" s="1271"/>
      <c r="K2" s="1271"/>
      <c r="L2" s="1271"/>
      <c r="M2" s="1271"/>
      <c r="N2" s="1271"/>
      <c r="O2" s="1271"/>
      <c r="P2" s="1271"/>
      <c r="Q2" s="1271"/>
      <c r="R2" s="1271"/>
      <c r="S2" s="1271"/>
      <c r="T2" s="1271"/>
    </row>
    <row r="3" spans="1:20" ht="14.4"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204" customFormat="1" ht="18.75" customHeight="1">
      <c r="B4" s="1287"/>
      <c r="C4" s="1283" t="s">
        <v>1710</v>
      </c>
      <c r="D4" s="1283" t="s">
        <v>1711</v>
      </c>
      <c r="E4" s="1283" t="s">
        <v>1712</v>
      </c>
      <c r="F4" s="1283" t="s">
        <v>1713</v>
      </c>
      <c r="G4" s="1289" t="s">
        <v>1714</v>
      </c>
      <c r="H4" s="1290"/>
      <c r="I4" s="1290"/>
      <c r="J4" s="1290"/>
      <c r="K4" s="1290"/>
      <c r="L4" s="1290"/>
      <c r="M4" s="1290"/>
      <c r="N4" s="1290"/>
      <c r="O4" s="1291"/>
      <c r="P4" s="1283" t="s">
        <v>1715</v>
      </c>
      <c r="Q4" s="1283" t="s">
        <v>1716</v>
      </c>
      <c r="R4" s="1283" t="s">
        <v>1717</v>
      </c>
      <c r="S4" s="1283" t="s">
        <v>1718</v>
      </c>
      <c r="T4" s="1285" t="s">
        <v>1719</v>
      </c>
    </row>
    <row r="5" spans="1:20" s="1207" customFormat="1" ht="50.25" customHeight="1" thickBot="1">
      <c r="B5" s="1288"/>
      <c r="C5" s="1284"/>
      <c r="D5" s="1284"/>
      <c r="E5" s="1284"/>
      <c r="F5" s="1284"/>
      <c r="G5" s="1205" t="s">
        <v>1720</v>
      </c>
      <c r="H5" s="1205" t="s">
        <v>1721</v>
      </c>
      <c r="I5" s="1205" t="s">
        <v>1722</v>
      </c>
      <c r="J5" s="1205" t="s">
        <v>1723</v>
      </c>
      <c r="K5" s="1205" t="s">
        <v>1724</v>
      </c>
      <c r="L5" s="1205" t="s">
        <v>1803</v>
      </c>
      <c r="M5" s="1206" t="s">
        <v>1726</v>
      </c>
      <c r="N5" s="1205" t="s">
        <v>1727</v>
      </c>
      <c r="O5" s="1205" t="s">
        <v>1728</v>
      </c>
      <c r="P5" s="1284"/>
      <c r="Q5" s="1284"/>
      <c r="R5" s="1284"/>
      <c r="S5" s="1284"/>
      <c r="T5" s="1286"/>
    </row>
    <row r="6" spans="1:20">
      <c r="A6" s="1148" t="s">
        <v>171</v>
      </c>
      <c r="B6" s="1203" t="s">
        <v>927</v>
      </c>
      <c r="C6" s="1208">
        <v>2557914.5</v>
      </c>
      <c r="D6" s="1208">
        <v>1793930</v>
      </c>
      <c r="E6" s="1208" t="s">
        <v>1081</v>
      </c>
      <c r="F6" s="1208" t="s">
        <v>1081</v>
      </c>
      <c r="G6" s="1208" t="s">
        <v>1081</v>
      </c>
      <c r="H6" s="1208" t="s">
        <v>1081</v>
      </c>
      <c r="I6" s="1208" t="s">
        <v>1081</v>
      </c>
      <c r="J6" s="1208" t="s">
        <v>1081</v>
      </c>
      <c r="K6" s="1208" t="s">
        <v>1081</v>
      </c>
      <c r="L6" s="1208" t="s">
        <v>1081</v>
      </c>
      <c r="M6" s="1208" t="s">
        <v>1081</v>
      </c>
      <c r="N6" s="1208" t="s">
        <v>1081</v>
      </c>
      <c r="O6" s="1208" t="s">
        <v>1081</v>
      </c>
      <c r="P6" s="1208">
        <v>751362.1</v>
      </c>
      <c r="Q6" s="1208">
        <v>12622.4</v>
      </c>
      <c r="R6" s="1208" t="s">
        <v>1081</v>
      </c>
      <c r="S6" s="1208" t="s">
        <v>1081</v>
      </c>
      <c r="T6" s="1209" t="s">
        <v>1081</v>
      </c>
    </row>
    <row r="7" spans="1:20">
      <c r="A7" s="1148" t="s">
        <v>61</v>
      </c>
      <c r="B7" s="1200" t="s">
        <v>1729</v>
      </c>
      <c r="C7" s="1210">
        <v>12895.3</v>
      </c>
      <c r="D7" s="1210" t="s">
        <v>1081</v>
      </c>
      <c r="E7" s="1210" t="s">
        <v>1081</v>
      </c>
      <c r="F7" s="1210">
        <v>11847.4</v>
      </c>
      <c r="G7" s="1210" t="s">
        <v>1081</v>
      </c>
      <c r="H7" s="1210" t="s">
        <v>1081</v>
      </c>
      <c r="I7" s="1210">
        <v>1978.4</v>
      </c>
      <c r="J7" s="1210" t="s">
        <v>1081</v>
      </c>
      <c r="K7" s="1210">
        <v>624.29999999999995</v>
      </c>
      <c r="L7" s="1210">
        <v>528.9</v>
      </c>
      <c r="M7" s="1210">
        <v>5734.8</v>
      </c>
      <c r="N7" s="1210" t="s">
        <v>1081</v>
      </c>
      <c r="O7" s="1210">
        <v>2981</v>
      </c>
      <c r="P7" s="1210" t="s">
        <v>1081</v>
      </c>
      <c r="Q7" s="1210" t="s">
        <v>1081</v>
      </c>
      <c r="R7" s="1210" t="s">
        <v>1081</v>
      </c>
      <c r="S7" s="1210">
        <v>387</v>
      </c>
      <c r="T7" s="1211">
        <v>660.9</v>
      </c>
    </row>
    <row r="8" spans="1:20">
      <c r="A8" s="1148" t="s">
        <v>298</v>
      </c>
      <c r="B8" s="1200" t="s">
        <v>912</v>
      </c>
      <c r="C8" s="1210">
        <v>-1928627.4</v>
      </c>
      <c r="D8" s="1210">
        <v>-1513026</v>
      </c>
      <c r="E8" s="1210" t="s">
        <v>1081</v>
      </c>
      <c r="F8" s="1210">
        <v>-96495.9</v>
      </c>
      <c r="G8" s="1210" t="s">
        <v>1081</v>
      </c>
      <c r="H8" s="1210">
        <v>-735.1</v>
      </c>
      <c r="I8" s="1210">
        <v>-203</v>
      </c>
      <c r="J8" s="1210">
        <v>-10210.700000000001</v>
      </c>
      <c r="K8" s="1210" t="s">
        <v>1081</v>
      </c>
      <c r="L8" s="1210">
        <v>-70595.7</v>
      </c>
      <c r="M8" s="1210">
        <v>-4817.2</v>
      </c>
      <c r="N8" s="1210" t="s">
        <v>1081</v>
      </c>
      <c r="O8" s="1210">
        <v>-9934.2000000000007</v>
      </c>
      <c r="P8" s="1210">
        <v>-318151.5</v>
      </c>
      <c r="Q8" s="1210" t="s">
        <v>1081</v>
      </c>
      <c r="R8" s="1210" t="s">
        <v>1081</v>
      </c>
      <c r="S8" s="1210">
        <v>-954</v>
      </c>
      <c r="T8" s="1211" t="s">
        <v>1081</v>
      </c>
    </row>
    <row r="9" spans="1:20">
      <c r="B9" s="1199" t="s">
        <v>1730</v>
      </c>
      <c r="C9" s="1210">
        <v>-13573.9</v>
      </c>
      <c r="D9" s="1210" t="s">
        <v>1081</v>
      </c>
      <c r="E9" s="1210" t="s">
        <v>1081</v>
      </c>
      <c r="F9" s="1210">
        <v>-13573.9</v>
      </c>
      <c r="G9" s="1210" t="s">
        <v>1081</v>
      </c>
      <c r="H9" s="1210" t="s">
        <v>1081</v>
      </c>
      <c r="I9" s="1210" t="s">
        <v>1081</v>
      </c>
      <c r="J9" s="1210">
        <v>-11441.1</v>
      </c>
      <c r="K9" s="1210" t="s">
        <v>1081</v>
      </c>
      <c r="L9" s="1210">
        <v>-2132.8000000000002</v>
      </c>
      <c r="M9" s="1210" t="s">
        <v>1081</v>
      </c>
      <c r="N9" s="1210" t="s">
        <v>1081</v>
      </c>
      <c r="O9" s="1210" t="s">
        <v>1081</v>
      </c>
      <c r="P9" s="1210" t="s">
        <v>1081</v>
      </c>
      <c r="Q9" s="1210" t="s">
        <v>1081</v>
      </c>
      <c r="R9" s="1210" t="s">
        <v>1081</v>
      </c>
      <c r="S9" s="1210" t="s">
        <v>1081</v>
      </c>
      <c r="T9" s="1211" t="s">
        <v>1081</v>
      </c>
    </row>
    <row r="10" spans="1:20">
      <c r="B10" s="1194" t="s">
        <v>1731</v>
      </c>
      <c r="C10" s="1210">
        <v>-2132.8000000000002</v>
      </c>
      <c r="D10" s="1210" t="s">
        <v>1081</v>
      </c>
      <c r="E10" s="1210" t="s">
        <v>1081</v>
      </c>
      <c r="F10" s="1210">
        <v>-2132.8000000000002</v>
      </c>
      <c r="G10" s="1210" t="s">
        <v>1081</v>
      </c>
      <c r="H10" s="1210" t="s">
        <v>1081</v>
      </c>
      <c r="I10" s="1210" t="s">
        <v>1081</v>
      </c>
      <c r="J10" s="1210" t="s">
        <v>1081</v>
      </c>
      <c r="K10" s="1210" t="s">
        <v>1081</v>
      </c>
      <c r="L10" s="1210">
        <v>-2132.8000000000002</v>
      </c>
      <c r="M10" s="1210" t="s">
        <v>1081</v>
      </c>
      <c r="N10" s="1210" t="s">
        <v>1081</v>
      </c>
      <c r="O10" s="1210" t="s">
        <v>1081</v>
      </c>
      <c r="P10" s="1210" t="s">
        <v>1081</v>
      </c>
      <c r="Q10" s="1210" t="s">
        <v>1081</v>
      </c>
      <c r="R10" s="1210" t="s">
        <v>1081</v>
      </c>
      <c r="S10" s="1210" t="s">
        <v>1081</v>
      </c>
      <c r="T10" s="1211" t="s">
        <v>1081</v>
      </c>
    </row>
    <row r="11" spans="1:20">
      <c r="B11" s="1194" t="s">
        <v>1732</v>
      </c>
      <c r="C11" s="1210">
        <v>-11441.1</v>
      </c>
      <c r="D11" s="1210" t="s">
        <v>1081</v>
      </c>
      <c r="E11" s="1210" t="s">
        <v>1081</v>
      </c>
      <c r="F11" s="1210">
        <v>-11441.1</v>
      </c>
      <c r="G11" s="1210" t="s">
        <v>1081</v>
      </c>
      <c r="H11" s="1210" t="s">
        <v>1081</v>
      </c>
      <c r="I11" s="1210" t="s">
        <v>1081</v>
      </c>
      <c r="J11" s="1210">
        <v>-11441.1</v>
      </c>
      <c r="K11" s="1210" t="s">
        <v>1081</v>
      </c>
      <c r="L11" s="1210" t="s">
        <v>1081</v>
      </c>
      <c r="M11" s="1210" t="s">
        <v>1081</v>
      </c>
      <c r="N11" s="1210" t="s">
        <v>1081</v>
      </c>
      <c r="O11" s="1210" t="s">
        <v>1081</v>
      </c>
      <c r="P11" s="1210" t="s">
        <v>1081</v>
      </c>
      <c r="Q11" s="1210" t="s">
        <v>1081</v>
      </c>
      <c r="R11" s="1210" t="s">
        <v>1081</v>
      </c>
      <c r="S11" s="1210" t="s">
        <v>1081</v>
      </c>
      <c r="T11" s="1211" t="s">
        <v>1081</v>
      </c>
    </row>
    <row r="12" spans="1:20">
      <c r="B12" s="1198" t="s">
        <v>1733</v>
      </c>
      <c r="C12" s="1210">
        <v>23320.1</v>
      </c>
      <c r="D12" s="1210">
        <v>2572.6999999999998</v>
      </c>
      <c r="E12" s="1210" t="s">
        <v>1081</v>
      </c>
      <c r="F12" s="1210">
        <v>7955.7</v>
      </c>
      <c r="G12" s="1210" t="s">
        <v>1081</v>
      </c>
      <c r="H12" s="1210">
        <v>-170.7</v>
      </c>
      <c r="I12" s="1210">
        <v>2168.5</v>
      </c>
      <c r="J12" s="1210">
        <v>354</v>
      </c>
      <c r="K12" s="1210">
        <v>-43</v>
      </c>
      <c r="L12" s="1210">
        <v>2218.1</v>
      </c>
      <c r="M12" s="1210">
        <v>2663.5</v>
      </c>
      <c r="N12" s="1210">
        <v>122.8</v>
      </c>
      <c r="O12" s="1210">
        <v>642.5</v>
      </c>
      <c r="P12" s="1210">
        <v>12651.5</v>
      </c>
      <c r="Q12" s="1210">
        <v>37.799999999999997</v>
      </c>
      <c r="R12" s="1210" t="s">
        <v>1081</v>
      </c>
      <c r="S12" s="1210" t="s">
        <v>1081</v>
      </c>
      <c r="T12" s="1211">
        <v>102.4</v>
      </c>
    </row>
    <row r="13" spans="1:20">
      <c r="B13" s="1197" t="s">
        <v>1734</v>
      </c>
      <c r="C13" s="1212">
        <v>651928.6</v>
      </c>
      <c r="D13" s="1212">
        <v>283476.7</v>
      </c>
      <c r="E13" s="1210" t="s">
        <v>1081</v>
      </c>
      <c r="F13" s="1212">
        <v>-90266.7</v>
      </c>
      <c r="G13" s="1210" t="s">
        <v>1081</v>
      </c>
      <c r="H13" s="1210">
        <v>-905.8</v>
      </c>
      <c r="I13" s="1210">
        <v>3943.9</v>
      </c>
      <c r="J13" s="1210">
        <v>-21297.8</v>
      </c>
      <c r="K13" s="1210">
        <v>581.29999999999995</v>
      </c>
      <c r="L13" s="1210">
        <v>-69981.5</v>
      </c>
      <c r="M13" s="1210">
        <v>3581.1</v>
      </c>
      <c r="N13" s="1210">
        <v>122.8</v>
      </c>
      <c r="O13" s="1210">
        <v>-6310.7</v>
      </c>
      <c r="P13" s="1212">
        <v>445862.1</v>
      </c>
      <c r="Q13" s="1212">
        <v>12660.2</v>
      </c>
      <c r="R13" s="1210" t="s">
        <v>1081</v>
      </c>
      <c r="S13" s="1212">
        <v>-567</v>
      </c>
      <c r="T13" s="1213">
        <v>763.3</v>
      </c>
    </row>
    <row r="14" spans="1:20">
      <c r="B14" s="1196" t="s">
        <v>1735</v>
      </c>
      <c r="C14" s="1212">
        <v>6271</v>
      </c>
      <c r="D14" s="1212">
        <v>1585.9</v>
      </c>
      <c r="E14" s="1210" t="s">
        <v>1081</v>
      </c>
      <c r="F14" s="1212">
        <v>2512.8000000000002</v>
      </c>
      <c r="G14" s="1210" t="s">
        <v>1081</v>
      </c>
      <c r="H14" s="1210">
        <v>33.4</v>
      </c>
      <c r="I14" s="1210">
        <v>846.7</v>
      </c>
      <c r="J14" s="1210" t="s">
        <v>1081</v>
      </c>
      <c r="K14" s="1210">
        <v>86.1</v>
      </c>
      <c r="L14" s="1210">
        <v>1032.2</v>
      </c>
      <c r="M14" s="1210">
        <v>72.400000000000006</v>
      </c>
      <c r="N14" s="1210">
        <v>429.9</v>
      </c>
      <c r="O14" s="1210">
        <v>12.1</v>
      </c>
      <c r="P14" s="1212">
        <v>1785.3</v>
      </c>
      <c r="Q14" s="1210" t="s">
        <v>1081</v>
      </c>
      <c r="R14" s="1210" t="s">
        <v>1081</v>
      </c>
      <c r="S14" s="1212">
        <v>387</v>
      </c>
      <c r="T14" s="1211" t="s">
        <v>1081</v>
      </c>
    </row>
    <row r="15" spans="1:20">
      <c r="B15" s="1196" t="s">
        <v>1736</v>
      </c>
      <c r="C15" s="1210" t="s">
        <v>1081</v>
      </c>
      <c r="D15" s="1210" t="s">
        <v>1081</v>
      </c>
      <c r="E15" s="1210" t="s">
        <v>1081</v>
      </c>
      <c r="F15" s="1210" t="s">
        <v>1081</v>
      </c>
      <c r="G15" s="1210" t="s">
        <v>1081</v>
      </c>
      <c r="H15" s="1210" t="s">
        <v>1081</v>
      </c>
      <c r="I15" s="1210" t="s">
        <v>1081</v>
      </c>
      <c r="J15" s="1210" t="s">
        <v>1081</v>
      </c>
      <c r="K15" s="1210" t="s">
        <v>1081</v>
      </c>
      <c r="L15" s="1210" t="s">
        <v>1081</v>
      </c>
      <c r="M15" s="1210" t="s">
        <v>1081</v>
      </c>
      <c r="N15" s="1210" t="s">
        <v>1081</v>
      </c>
      <c r="O15" s="1210" t="s">
        <v>1081</v>
      </c>
      <c r="P15" s="1210" t="s">
        <v>1081</v>
      </c>
      <c r="Q15" s="1210" t="s">
        <v>1081</v>
      </c>
      <c r="R15" s="1210" t="s">
        <v>1081</v>
      </c>
      <c r="S15" s="1210" t="s">
        <v>1081</v>
      </c>
      <c r="T15" s="1211" t="s">
        <v>1081</v>
      </c>
    </row>
    <row r="16" spans="1:20">
      <c r="B16" s="1196" t="s">
        <v>1737</v>
      </c>
      <c r="C16" s="1212">
        <v>-159995.5</v>
      </c>
      <c r="D16" s="1212">
        <v>-279456</v>
      </c>
      <c r="E16" s="1210" t="s">
        <v>1081</v>
      </c>
      <c r="F16" s="1212">
        <v>253727.1</v>
      </c>
      <c r="G16" s="1210">
        <v>9170.6</v>
      </c>
      <c r="H16" s="1210">
        <v>8171.4</v>
      </c>
      <c r="I16" s="1210">
        <v>52868.800000000003</v>
      </c>
      <c r="J16" s="1210">
        <v>29725.3</v>
      </c>
      <c r="K16" s="1210" t="s">
        <v>1081</v>
      </c>
      <c r="L16" s="1210">
        <v>116800.7</v>
      </c>
      <c r="M16" s="1210">
        <v>-2756.9</v>
      </c>
      <c r="N16" s="1210">
        <v>7034.9</v>
      </c>
      <c r="O16" s="1210">
        <v>32712.3</v>
      </c>
      <c r="P16" s="1212">
        <v>-220267.1</v>
      </c>
      <c r="Q16" s="1212">
        <v>-9378.7999999999993</v>
      </c>
      <c r="R16" s="1212">
        <v>6501.1</v>
      </c>
      <c r="S16" s="1212">
        <v>88878.2</v>
      </c>
      <c r="T16" s="1211" t="s">
        <v>1081</v>
      </c>
    </row>
    <row r="17" spans="2:20">
      <c r="B17" s="1194" t="s">
        <v>1738</v>
      </c>
      <c r="C17" s="1210">
        <v>-90683.7</v>
      </c>
      <c r="D17" s="1210" t="s">
        <v>1081</v>
      </c>
      <c r="E17" s="1210" t="s">
        <v>1081</v>
      </c>
      <c r="F17" s="1210">
        <v>-2396.6</v>
      </c>
      <c r="G17" s="1210" t="s">
        <v>1081</v>
      </c>
      <c r="H17" s="1210" t="s">
        <v>1081</v>
      </c>
      <c r="I17" s="1210" t="s">
        <v>1081</v>
      </c>
      <c r="J17" s="1210" t="s">
        <v>1081</v>
      </c>
      <c r="K17" s="1210" t="s">
        <v>1081</v>
      </c>
      <c r="L17" s="1210">
        <v>-174.9</v>
      </c>
      <c r="M17" s="1210">
        <v>-2221.6999999999998</v>
      </c>
      <c r="N17" s="1210" t="s">
        <v>1081</v>
      </c>
      <c r="O17" s="1210" t="s">
        <v>1081</v>
      </c>
      <c r="P17" s="1210">
        <v>-139135.6</v>
      </c>
      <c r="Q17" s="1210">
        <v>-8964.7999999999993</v>
      </c>
      <c r="R17" s="1210" t="s">
        <v>1081</v>
      </c>
      <c r="S17" s="1210">
        <v>59813.3</v>
      </c>
      <c r="T17" s="1211" t="s">
        <v>1081</v>
      </c>
    </row>
    <row r="18" spans="2:20">
      <c r="B18" s="1194" t="s">
        <v>1739</v>
      </c>
      <c r="C18" s="1210">
        <v>-57810.3</v>
      </c>
      <c r="D18" s="1210" t="s">
        <v>1081</v>
      </c>
      <c r="E18" s="1210" t="s">
        <v>1081</v>
      </c>
      <c r="F18" s="1210">
        <v>-14315.8</v>
      </c>
      <c r="G18" s="1210" t="s">
        <v>1081</v>
      </c>
      <c r="H18" s="1210" t="s">
        <v>1081</v>
      </c>
      <c r="I18" s="1210" t="s">
        <v>1081</v>
      </c>
      <c r="J18" s="1210" t="s">
        <v>1081</v>
      </c>
      <c r="K18" s="1210" t="s">
        <v>1081</v>
      </c>
      <c r="L18" s="1210">
        <v>-17</v>
      </c>
      <c r="M18" s="1210">
        <v>-14298.8</v>
      </c>
      <c r="N18" s="1210" t="s">
        <v>1081</v>
      </c>
      <c r="O18" s="1210" t="s">
        <v>1081</v>
      </c>
      <c r="P18" s="1210">
        <v>-73635.899999999994</v>
      </c>
      <c r="Q18" s="1210" t="s">
        <v>1081</v>
      </c>
      <c r="R18" s="1210">
        <v>1076.5</v>
      </c>
      <c r="S18" s="1210">
        <v>29064.9</v>
      </c>
      <c r="T18" s="1211" t="s">
        <v>1081</v>
      </c>
    </row>
    <row r="19" spans="2:20">
      <c r="B19" s="1194" t="s">
        <v>1740</v>
      </c>
      <c r="C19" s="1210">
        <v>-1814.6</v>
      </c>
      <c r="D19" s="1210" t="s">
        <v>1081</v>
      </c>
      <c r="E19" s="1210" t="s">
        <v>1081</v>
      </c>
      <c r="F19" s="1210">
        <v>-17</v>
      </c>
      <c r="G19" s="1210" t="s">
        <v>1081</v>
      </c>
      <c r="H19" s="1210" t="s">
        <v>1081</v>
      </c>
      <c r="I19" s="1210" t="s">
        <v>1081</v>
      </c>
      <c r="J19" s="1210" t="s">
        <v>1081</v>
      </c>
      <c r="K19" s="1210" t="s">
        <v>1081</v>
      </c>
      <c r="L19" s="1210">
        <v>-4.3</v>
      </c>
      <c r="M19" s="1210">
        <v>-12.7</v>
      </c>
      <c r="N19" s="1210" t="s">
        <v>1081</v>
      </c>
      <c r="O19" s="1210" t="s">
        <v>1081</v>
      </c>
      <c r="P19" s="1210">
        <v>-7222.2</v>
      </c>
      <c r="Q19" s="1210" t="s">
        <v>1081</v>
      </c>
      <c r="R19" s="1210">
        <v>5424.6</v>
      </c>
      <c r="S19" s="1210" t="s">
        <v>1081</v>
      </c>
      <c r="T19" s="1211" t="s">
        <v>1081</v>
      </c>
    </row>
    <row r="20" spans="2:20">
      <c r="B20" s="1194" t="s">
        <v>1060</v>
      </c>
      <c r="C20" s="1210">
        <v>1524.6</v>
      </c>
      <c r="D20" s="1210" t="s">
        <v>1081</v>
      </c>
      <c r="E20" s="1210" t="s">
        <v>1081</v>
      </c>
      <c r="F20" s="1210">
        <v>1798</v>
      </c>
      <c r="G20" s="1210" t="s">
        <v>1081</v>
      </c>
      <c r="H20" s="1210">
        <v>711.4</v>
      </c>
      <c r="I20" s="1210" t="s">
        <v>1081</v>
      </c>
      <c r="J20" s="1210" t="s">
        <v>1081</v>
      </c>
      <c r="K20" s="1210" t="s">
        <v>1081</v>
      </c>
      <c r="L20" s="1210" t="s">
        <v>1081</v>
      </c>
      <c r="M20" s="1210" t="s">
        <v>1081</v>
      </c>
      <c r="N20" s="1210" t="s">
        <v>1081</v>
      </c>
      <c r="O20" s="1210">
        <v>1086.5999999999999</v>
      </c>
      <c r="P20" s="1210">
        <v>-273.39999999999998</v>
      </c>
      <c r="Q20" s="1210" t="s">
        <v>1081</v>
      </c>
      <c r="R20" s="1210" t="s">
        <v>1081</v>
      </c>
      <c r="S20" s="1210" t="s">
        <v>1081</v>
      </c>
      <c r="T20" s="1211" t="s">
        <v>1081</v>
      </c>
    </row>
    <row r="21" spans="2:20">
      <c r="B21" s="1194" t="s">
        <v>1741</v>
      </c>
      <c r="C21" s="1210" t="s">
        <v>1081</v>
      </c>
      <c r="D21" s="1210" t="s">
        <v>1081</v>
      </c>
      <c r="E21" s="1210" t="s">
        <v>1081</v>
      </c>
      <c r="F21" s="1210" t="s">
        <v>1081</v>
      </c>
      <c r="G21" s="1210" t="s">
        <v>1081</v>
      </c>
      <c r="H21" s="1210" t="s">
        <v>1081</v>
      </c>
      <c r="I21" s="1210" t="s">
        <v>1081</v>
      </c>
      <c r="J21" s="1210" t="s">
        <v>1081</v>
      </c>
      <c r="K21" s="1210" t="s">
        <v>1081</v>
      </c>
      <c r="L21" s="1210" t="s">
        <v>1081</v>
      </c>
      <c r="M21" s="1210" t="s">
        <v>1081</v>
      </c>
      <c r="N21" s="1210" t="s">
        <v>1081</v>
      </c>
      <c r="O21" s="1210" t="s">
        <v>1081</v>
      </c>
      <c r="P21" s="1210" t="s">
        <v>1081</v>
      </c>
      <c r="Q21" s="1210" t="s">
        <v>1081</v>
      </c>
      <c r="R21" s="1210" t="s">
        <v>1081</v>
      </c>
      <c r="S21" s="1210" t="s">
        <v>1081</v>
      </c>
      <c r="T21" s="1211" t="s">
        <v>1081</v>
      </c>
    </row>
    <row r="22" spans="2:20">
      <c r="B22" s="1195" t="s">
        <v>1642</v>
      </c>
      <c r="C22" s="1210">
        <v>-11785.7</v>
      </c>
      <c r="D22" s="1210">
        <v>-279456</v>
      </c>
      <c r="E22" s="1210" t="s">
        <v>1081</v>
      </c>
      <c r="F22" s="1210">
        <v>267670.3</v>
      </c>
      <c r="G22" s="1210">
        <v>9170.6</v>
      </c>
      <c r="H22" s="1210">
        <v>7460</v>
      </c>
      <c r="I22" s="1210">
        <v>52868.800000000003</v>
      </c>
      <c r="J22" s="1210">
        <v>29725.3</v>
      </c>
      <c r="K22" s="1210" t="s">
        <v>1081</v>
      </c>
      <c r="L22" s="1210">
        <v>116996.9</v>
      </c>
      <c r="M22" s="1210">
        <v>13776.3</v>
      </c>
      <c r="N22" s="1210">
        <v>7034.9</v>
      </c>
      <c r="O22" s="1210">
        <v>30637.5</v>
      </c>
      <c r="P22" s="1210" t="s">
        <v>1081</v>
      </c>
      <c r="Q22" s="1210" t="s">
        <v>1081</v>
      </c>
      <c r="R22" s="1210" t="s">
        <v>1081</v>
      </c>
      <c r="S22" s="1210" t="s">
        <v>1081</v>
      </c>
      <c r="T22" s="1211" t="s">
        <v>1081</v>
      </c>
    </row>
    <row r="23" spans="2:20">
      <c r="B23" s="1195" t="s">
        <v>1742</v>
      </c>
      <c r="C23" s="1210">
        <v>988.2</v>
      </c>
      <c r="D23" s="1210" t="s">
        <v>1081</v>
      </c>
      <c r="E23" s="1210" t="s">
        <v>1081</v>
      </c>
      <c r="F23" s="1210">
        <v>988.2</v>
      </c>
      <c r="G23" s="1210" t="s">
        <v>1081</v>
      </c>
      <c r="H23" s="1210" t="s">
        <v>1081</v>
      </c>
      <c r="I23" s="1210" t="s">
        <v>1081</v>
      </c>
      <c r="J23" s="1210" t="s">
        <v>1081</v>
      </c>
      <c r="K23" s="1210" t="s">
        <v>1081</v>
      </c>
      <c r="L23" s="1210" t="s">
        <v>1081</v>
      </c>
      <c r="M23" s="1210" t="s">
        <v>1081</v>
      </c>
      <c r="N23" s="1210" t="s">
        <v>1081</v>
      </c>
      <c r="O23" s="1210">
        <v>988.2</v>
      </c>
      <c r="P23" s="1210" t="s">
        <v>1081</v>
      </c>
      <c r="Q23" s="1210" t="s">
        <v>1081</v>
      </c>
      <c r="R23" s="1210" t="s">
        <v>1081</v>
      </c>
      <c r="S23" s="1210" t="s">
        <v>1081</v>
      </c>
      <c r="T23" s="1211" t="s">
        <v>1081</v>
      </c>
    </row>
    <row r="24" spans="2:20">
      <c r="B24" s="1194" t="s">
        <v>1743</v>
      </c>
      <c r="C24" s="1210">
        <v>-414</v>
      </c>
      <c r="D24" s="1210" t="s">
        <v>1081</v>
      </c>
      <c r="E24" s="1210" t="s">
        <v>1081</v>
      </c>
      <c r="F24" s="1210" t="s">
        <v>1081</v>
      </c>
      <c r="G24" s="1210" t="s">
        <v>1081</v>
      </c>
      <c r="H24" s="1210" t="s">
        <v>1081</v>
      </c>
      <c r="I24" s="1210" t="s">
        <v>1081</v>
      </c>
      <c r="J24" s="1210" t="s">
        <v>1081</v>
      </c>
      <c r="K24" s="1210" t="s">
        <v>1081</v>
      </c>
      <c r="L24" s="1210" t="s">
        <v>1081</v>
      </c>
      <c r="M24" s="1210" t="s">
        <v>1081</v>
      </c>
      <c r="N24" s="1210" t="s">
        <v>1081</v>
      </c>
      <c r="O24" s="1210" t="s">
        <v>1081</v>
      </c>
      <c r="P24" s="1210" t="s">
        <v>1081</v>
      </c>
      <c r="Q24" s="1210">
        <v>-414</v>
      </c>
      <c r="R24" s="1210" t="s">
        <v>1081</v>
      </c>
      <c r="S24" s="1210" t="s">
        <v>1081</v>
      </c>
      <c r="T24" s="1211" t="s">
        <v>1081</v>
      </c>
    </row>
    <row r="25" spans="2:20">
      <c r="B25" s="1193" t="s">
        <v>1744</v>
      </c>
      <c r="C25" s="1212">
        <v>48858</v>
      </c>
      <c r="D25" s="1212">
        <v>491.3</v>
      </c>
      <c r="E25" s="1210" t="s">
        <v>1081</v>
      </c>
      <c r="F25" s="1212">
        <v>13938.9</v>
      </c>
      <c r="G25" s="1210">
        <v>9170.6</v>
      </c>
      <c r="H25" s="1210" t="s">
        <v>1081</v>
      </c>
      <c r="I25" s="1210" t="s">
        <v>1081</v>
      </c>
      <c r="J25" s="1210" t="s">
        <v>1081</v>
      </c>
      <c r="K25" s="1210" t="s">
        <v>1081</v>
      </c>
      <c r="L25" s="1210" t="s">
        <v>1081</v>
      </c>
      <c r="M25" s="1210" t="s">
        <v>1081</v>
      </c>
      <c r="N25" s="1210" t="s">
        <v>1081</v>
      </c>
      <c r="O25" s="1210">
        <v>4768.3</v>
      </c>
      <c r="P25" s="1212">
        <v>19647.2</v>
      </c>
      <c r="Q25" s="1210" t="s">
        <v>1081</v>
      </c>
      <c r="R25" s="1212">
        <v>612.1</v>
      </c>
      <c r="S25" s="1212">
        <v>14168.5</v>
      </c>
      <c r="T25" s="1211" t="s">
        <v>1081</v>
      </c>
    </row>
    <row r="26" spans="2:20">
      <c r="B26" s="1193" t="s">
        <v>1745</v>
      </c>
      <c r="C26" s="1212">
        <v>55461.8</v>
      </c>
      <c r="D26" s="1212">
        <v>1943.5</v>
      </c>
      <c r="E26" s="1210" t="s">
        <v>1081</v>
      </c>
      <c r="F26" s="1210" t="s">
        <v>1081</v>
      </c>
      <c r="G26" s="1210" t="s">
        <v>1081</v>
      </c>
      <c r="H26" s="1210" t="s">
        <v>1081</v>
      </c>
      <c r="I26" s="1210" t="s">
        <v>1081</v>
      </c>
      <c r="J26" s="1210" t="s">
        <v>1081</v>
      </c>
      <c r="K26" s="1210" t="s">
        <v>1081</v>
      </c>
      <c r="L26" s="1210" t="s">
        <v>1081</v>
      </c>
      <c r="M26" s="1210" t="s">
        <v>1081</v>
      </c>
      <c r="N26" s="1210" t="s">
        <v>1081</v>
      </c>
      <c r="O26" s="1210" t="s">
        <v>1081</v>
      </c>
      <c r="P26" s="1212">
        <v>42458.2</v>
      </c>
      <c r="Q26" s="1210" t="s">
        <v>1081</v>
      </c>
      <c r="R26" s="1212">
        <v>733.1</v>
      </c>
      <c r="S26" s="1212">
        <v>10327</v>
      </c>
      <c r="T26" s="1211" t="s">
        <v>1081</v>
      </c>
    </row>
    <row r="27" spans="2:20">
      <c r="B27" s="1193" t="s">
        <v>1746</v>
      </c>
      <c r="C27" s="1212">
        <v>381342.3</v>
      </c>
      <c r="D27" s="1210" t="s">
        <v>1081</v>
      </c>
      <c r="E27" s="1210" t="s">
        <v>1081</v>
      </c>
      <c r="F27" s="1212">
        <v>147008.70000000001</v>
      </c>
      <c r="G27" s="1210" t="s">
        <v>1081</v>
      </c>
      <c r="H27" s="1210">
        <v>7232.2</v>
      </c>
      <c r="I27" s="1210">
        <v>55966</v>
      </c>
      <c r="J27" s="1210">
        <v>8427.5</v>
      </c>
      <c r="K27" s="1210">
        <v>495.2</v>
      </c>
      <c r="L27" s="1210">
        <v>45787</v>
      </c>
      <c r="M27" s="1210">
        <v>751.8</v>
      </c>
      <c r="N27" s="1210">
        <v>6727.8</v>
      </c>
      <c r="O27" s="1210">
        <v>21621.200000000001</v>
      </c>
      <c r="P27" s="1212">
        <v>161704.29999999999</v>
      </c>
      <c r="Q27" s="1212">
        <v>3281.4</v>
      </c>
      <c r="R27" s="1212">
        <v>5155.8999999999996</v>
      </c>
      <c r="S27" s="1212">
        <v>63428.7</v>
      </c>
      <c r="T27" s="1213">
        <v>763.3</v>
      </c>
    </row>
    <row r="28" spans="2:20">
      <c r="B28" s="1193" t="s">
        <v>1747</v>
      </c>
      <c r="C28" s="1212">
        <v>344985</v>
      </c>
      <c r="D28" s="1210" t="s">
        <v>1081</v>
      </c>
      <c r="E28" s="1210" t="s">
        <v>1081</v>
      </c>
      <c r="F28" s="1212">
        <v>112682.9</v>
      </c>
      <c r="G28" s="1210" t="s">
        <v>1081</v>
      </c>
      <c r="H28" s="1210">
        <v>2119.8000000000002</v>
      </c>
      <c r="I28" s="1210">
        <v>55966</v>
      </c>
      <c r="J28" s="1210">
        <v>8151.2</v>
      </c>
      <c r="K28" s="1210">
        <v>68.900000000000006</v>
      </c>
      <c r="L28" s="1210">
        <v>45710.2</v>
      </c>
      <c r="M28" s="1210">
        <v>666.8</v>
      </c>
      <c r="N28" s="1210" t="s">
        <v>1081</v>
      </c>
      <c r="O28" s="1210" t="s">
        <v>1081</v>
      </c>
      <c r="P28" s="1212">
        <v>160306</v>
      </c>
      <c r="Q28" s="1212">
        <v>3281.4</v>
      </c>
      <c r="R28" s="1212">
        <v>5155.8999999999996</v>
      </c>
      <c r="S28" s="1212">
        <v>63428.7</v>
      </c>
      <c r="T28" s="1213">
        <v>130.1</v>
      </c>
    </row>
    <row r="29" spans="2:20">
      <c r="B29" s="1192" t="s">
        <v>1749</v>
      </c>
      <c r="C29" s="1212">
        <v>56164.5</v>
      </c>
      <c r="D29" s="1210" t="s">
        <v>1081</v>
      </c>
      <c r="E29" s="1210" t="s">
        <v>1081</v>
      </c>
      <c r="F29" s="1212">
        <v>2827.8</v>
      </c>
      <c r="G29" s="1210" t="s">
        <v>1081</v>
      </c>
      <c r="H29" s="1210">
        <v>147</v>
      </c>
      <c r="I29" s="1210" t="s">
        <v>1081</v>
      </c>
      <c r="J29" s="1210" t="s">
        <v>1081</v>
      </c>
      <c r="K29" s="1210">
        <v>4.3</v>
      </c>
      <c r="L29" s="1210">
        <v>2137.1</v>
      </c>
      <c r="M29" s="1210">
        <v>539.4</v>
      </c>
      <c r="N29" s="1210" t="s">
        <v>1081</v>
      </c>
      <c r="O29" s="1210" t="s">
        <v>1081</v>
      </c>
      <c r="P29" s="1212">
        <v>41930.9</v>
      </c>
      <c r="Q29" s="1212">
        <v>19</v>
      </c>
      <c r="R29" s="1210" t="s">
        <v>1081</v>
      </c>
      <c r="S29" s="1212">
        <v>11386.8</v>
      </c>
      <c r="T29" s="1211" t="s">
        <v>1081</v>
      </c>
    </row>
    <row r="30" spans="2:20">
      <c r="B30" s="1187" t="s">
        <v>1751</v>
      </c>
      <c r="C30" s="1210">
        <v>2787.2</v>
      </c>
      <c r="D30" s="1210" t="s">
        <v>1081</v>
      </c>
      <c r="E30" s="1210" t="s">
        <v>1081</v>
      </c>
      <c r="F30" s="1210">
        <v>25.5</v>
      </c>
      <c r="G30" s="1210" t="s">
        <v>1081</v>
      </c>
      <c r="H30" s="1210" t="s">
        <v>1081</v>
      </c>
      <c r="I30" s="1210" t="s">
        <v>1081</v>
      </c>
      <c r="J30" s="1210" t="s">
        <v>1081</v>
      </c>
      <c r="K30" s="1210" t="s">
        <v>1081</v>
      </c>
      <c r="L30" s="1210" t="s">
        <v>1081</v>
      </c>
      <c r="M30" s="1210">
        <v>25.5</v>
      </c>
      <c r="N30" s="1210" t="s">
        <v>1081</v>
      </c>
      <c r="O30" s="1210" t="s">
        <v>1081</v>
      </c>
      <c r="P30" s="1210">
        <v>1835.8</v>
      </c>
      <c r="Q30" s="1210" t="s">
        <v>1081</v>
      </c>
      <c r="R30" s="1210" t="s">
        <v>1081</v>
      </c>
      <c r="S30" s="1210">
        <v>925.9</v>
      </c>
      <c r="T30" s="1211" t="s">
        <v>1081</v>
      </c>
    </row>
    <row r="31" spans="2:20">
      <c r="B31" s="1187" t="s">
        <v>1753</v>
      </c>
      <c r="C31" s="1210">
        <v>11521.8</v>
      </c>
      <c r="D31" s="1210" t="s">
        <v>1081</v>
      </c>
      <c r="E31" s="1210" t="s">
        <v>1081</v>
      </c>
      <c r="F31" s="1210">
        <v>8.6</v>
      </c>
      <c r="G31" s="1210" t="s">
        <v>1081</v>
      </c>
      <c r="H31" s="1210" t="s">
        <v>1081</v>
      </c>
      <c r="I31" s="1210" t="s">
        <v>1081</v>
      </c>
      <c r="J31" s="1210" t="s">
        <v>1081</v>
      </c>
      <c r="K31" s="1210">
        <v>4.3</v>
      </c>
      <c r="L31" s="1210">
        <v>4.3</v>
      </c>
      <c r="M31" s="1210" t="s">
        <v>1081</v>
      </c>
      <c r="N31" s="1210" t="s">
        <v>1081</v>
      </c>
      <c r="O31" s="1210" t="s">
        <v>1081</v>
      </c>
      <c r="P31" s="1210">
        <v>10151.700000000001</v>
      </c>
      <c r="Q31" s="1210" t="s">
        <v>1081</v>
      </c>
      <c r="R31" s="1210" t="s">
        <v>1081</v>
      </c>
      <c r="S31" s="1210">
        <v>1361.5</v>
      </c>
      <c r="T31" s="1211" t="s">
        <v>1081</v>
      </c>
    </row>
    <row r="32" spans="2:20">
      <c r="B32" s="1187" t="s">
        <v>1754</v>
      </c>
      <c r="C32" s="1210">
        <v>3130</v>
      </c>
      <c r="D32" s="1210" t="s">
        <v>1081</v>
      </c>
      <c r="E32" s="1210" t="s">
        <v>1081</v>
      </c>
      <c r="F32" s="1210">
        <v>4.2</v>
      </c>
      <c r="G32" s="1210" t="s">
        <v>1081</v>
      </c>
      <c r="H32" s="1210" t="s">
        <v>1081</v>
      </c>
      <c r="I32" s="1210" t="s">
        <v>1081</v>
      </c>
      <c r="J32" s="1210" t="s">
        <v>1081</v>
      </c>
      <c r="K32" s="1210" t="s">
        <v>1081</v>
      </c>
      <c r="L32" s="1210" t="s">
        <v>1081</v>
      </c>
      <c r="M32" s="1210">
        <v>4.2</v>
      </c>
      <c r="N32" s="1210" t="s">
        <v>1081</v>
      </c>
      <c r="O32" s="1210" t="s">
        <v>1081</v>
      </c>
      <c r="P32" s="1210">
        <v>168</v>
      </c>
      <c r="Q32" s="1210" t="s">
        <v>1081</v>
      </c>
      <c r="R32" s="1210" t="s">
        <v>1081</v>
      </c>
      <c r="S32" s="1210">
        <v>2957.8</v>
      </c>
      <c r="T32" s="1211" t="s">
        <v>1081</v>
      </c>
    </row>
    <row r="33" spans="2:20">
      <c r="B33" s="1187" t="s">
        <v>1756</v>
      </c>
      <c r="C33" s="1210">
        <v>11138.4</v>
      </c>
      <c r="D33" s="1210" t="s">
        <v>1081</v>
      </c>
      <c r="E33" s="1210" t="s">
        <v>1081</v>
      </c>
      <c r="F33" s="1210">
        <v>38.299999999999997</v>
      </c>
      <c r="G33" s="1210" t="s">
        <v>1081</v>
      </c>
      <c r="H33" s="1210" t="s">
        <v>1081</v>
      </c>
      <c r="I33" s="1210" t="s">
        <v>1081</v>
      </c>
      <c r="J33" s="1210" t="s">
        <v>1081</v>
      </c>
      <c r="K33" s="1210" t="s">
        <v>1081</v>
      </c>
      <c r="L33" s="1210">
        <v>4.3</v>
      </c>
      <c r="M33" s="1210">
        <v>34</v>
      </c>
      <c r="N33" s="1210" t="s">
        <v>1081</v>
      </c>
      <c r="O33" s="1210" t="s">
        <v>1081</v>
      </c>
      <c r="P33" s="1210">
        <v>9960.2999999999993</v>
      </c>
      <c r="Q33" s="1210" t="s">
        <v>1081</v>
      </c>
      <c r="R33" s="1210" t="s">
        <v>1081</v>
      </c>
      <c r="S33" s="1210">
        <v>1139.8</v>
      </c>
      <c r="T33" s="1211" t="s">
        <v>1081</v>
      </c>
    </row>
    <row r="34" spans="2:20">
      <c r="B34" s="1187" t="s">
        <v>1758</v>
      </c>
      <c r="C34" s="1210">
        <v>390.2</v>
      </c>
      <c r="D34" s="1210" t="s">
        <v>1081</v>
      </c>
      <c r="E34" s="1210" t="s">
        <v>1081</v>
      </c>
      <c r="F34" s="1210">
        <v>4.3</v>
      </c>
      <c r="G34" s="1210" t="s">
        <v>1081</v>
      </c>
      <c r="H34" s="1210" t="s">
        <v>1081</v>
      </c>
      <c r="I34" s="1210" t="s">
        <v>1081</v>
      </c>
      <c r="J34" s="1210" t="s">
        <v>1081</v>
      </c>
      <c r="K34" s="1210" t="s">
        <v>1081</v>
      </c>
      <c r="L34" s="1210">
        <v>4.3</v>
      </c>
      <c r="M34" s="1210" t="s">
        <v>1081</v>
      </c>
      <c r="N34" s="1210" t="s">
        <v>1081</v>
      </c>
      <c r="O34" s="1210" t="s">
        <v>1081</v>
      </c>
      <c r="P34" s="1210">
        <v>367.2</v>
      </c>
      <c r="Q34" s="1210" t="s">
        <v>1081</v>
      </c>
      <c r="R34" s="1210" t="s">
        <v>1081</v>
      </c>
      <c r="S34" s="1210">
        <v>18.7</v>
      </c>
      <c r="T34" s="1211" t="s">
        <v>1081</v>
      </c>
    </row>
    <row r="35" spans="2:20">
      <c r="B35" s="1187" t="s">
        <v>1010</v>
      </c>
      <c r="C35" s="1210">
        <v>1811.6</v>
      </c>
      <c r="D35" s="1210" t="s">
        <v>1081</v>
      </c>
      <c r="E35" s="1210" t="s">
        <v>1081</v>
      </c>
      <c r="F35" s="1210">
        <v>4.3</v>
      </c>
      <c r="G35" s="1210" t="s">
        <v>1081</v>
      </c>
      <c r="H35" s="1210" t="s">
        <v>1081</v>
      </c>
      <c r="I35" s="1210" t="s">
        <v>1081</v>
      </c>
      <c r="J35" s="1210" t="s">
        <v>1081</v>
      </c>
      <c r="K35" s="1210" t="s">
        <v>1081</v>
      </c>
      <c r="L35" s="1210">
        <v>4.3</v>
      </c>
      <c r="M35" s="1210" t="s">
        <v>1081</v>
      </c>
      <c r="N35" s="1210" t="s">
        <v>1081</v>
      </c>
      <c r="O35" s="1210" t="s">
        <v>1081</v>
      </c>
      <c r="P35" s="1210">
        <v>1136.5999999999999</v>
      </c>
      <c r="Q35" s="1210" t="s">
        <v>1081</v>
      </c>
      <c r="R35" s="1210" t="s">
        <v>1081</v>
      </c>
      <c r="S35" s="1210">
        <v>670.7</v>
      </c>
      <c r="T35" s="1211" t="s">
        <v>1081</v>
      </c>
    </row>
    <row r="36" spans="2:20">
      <c r="B36" s="1186" t="s">
        <v>948</v>
      </c>
      <c r="C36" s="1210">
        <v>743.7</v>
      </c>
      <c r="D36" s="1210" t="s">
        <v>1081</v>
      </c>
      <c r="E36" s="1210" t="s">
        <v>1081</v>
      </c>
      <c r="F36" s="1210">
        <v>170.6</v>
      </c>
      <c r="G36" s="1210" t="s">
        <v>1081</v>
      </c>
      <c r="H36" s="1210" t="s">
        <v>1081</v>
      </c>
      <c r="I36" s="1210" t="s">
        <v>1081</v>
      </c>
      <c r="J36" s="1210" t="s">
        <v>1081</v>
      </c>
      <c r="K36" s="1210" t="s">
        <v>1081</v>
      </c>
      <c r="L36" s="1210">
        <v>170.6</v>
      </c>
      <c r="M36" s="1210" t="s">
        <v>1081</v>
      </c>
      <c r="N36" s="1210" t="s">
        <v>1081</v>
      </c>
      <c r="O36" s="1210" t="s">
        <v>1081</v>
      </c>
      <c r="P36" s="1210">
        <v>285.10000000000002</v>
      </c>
      <c r="Q36" s="1210" t="s">
        <v>1081</v>
      </c>
      <c r="R36" s="1210" t="s">
        <v>1081</v>
      </c>
      <c r="S36" s="1210">
        <v>288</v>
      </c>
      <c r="T36" s="1211" t="s">
        <v>1081</v>
      </c>
    </row>
    <row r="37" spans="2:20">
      <c r="B37" s="1186" t="s">
        <v>1762</v>
      </c>
      <c r="C37" s="1210">
        <v>16409.599999999999</v>
      </c>
      <c r="D37" s="1210" t="s">
        <v>1081</v>
      </c>
      <c r="E37" s="1210" t="s">
        <v>1081</v>
      </c>
      <c r="F37" s="1210">
        <v>345.5</v>
      </c>
      <c r="G37" s="1210" t="s">
        <v>1081</v>
      </c>
      <c r="H37" s="1210">
        <v>9.5</v>
      </c>
      <c r="I37" s="1210" t="s">
        <v>1081</v>
      </c>
      <c r="J37" s="1210" t="s">
        <v>1081</v>
      </c>
      <c r="K37" s="1210" t="s">
        <v>1081</v>
      </c>
      <c r="L37" s="1210">
        <v>119.4</v>
      </c>
      <c r="M37" s="1210">
        <v>216.6</v>
      </c>
      <c r="N37" s="1210" t="s">
        <v>1081</v>
      </c>
      <c r="O37" s="1210" t="s">
        <v>1081</v>
      </c>
      <c r="P37" s="1210">
        <v>14729.5</v>
      </c>
      <c r="Q37" s="1210">
        <v>12.7</v>
      </c>
      <c r="R37" s="1210" t="s">
        <v>1081</v>
      </c>
      <c r="S37" s="1210">
        <v>1321.9</v>
      </c>
      <c r="T37" s="1211" t="s">
        <v>1081</v>
      </c>
    </row>
    <row r="38" spans="2:20">
      <c r="B38" s="1186" t="s">
        <v>1764</v>
      </c>
      <c r="C38" s="1210">
        <v>248.4</v>
      </c>
      <c r="D38" s="1210" t="s">
        <v>1081</v>
      </c>
      <c r="E38" s="1210" t="s">
        <v>1081</v>
      </c>
      <c r="F38" s="1210" t="s">
        <v>1081</v>
      </c>
      <c r="G38" s="1210" t="s">
        <v>1081</v>
      </c>
      <c r="H38" s="1210" t="s">
        <v>1081</v>
      </c>
      <c r="I38" s="1210" t="s">
        <v>1081</v>
      </c>
      <c r="J38" s="1210" t="s">
        <v>1081</v>
      </c>
      <c r="K38" s="1210" t="s">
        <v>1081</v>
      </c>
      <c r="L38" s="1210" t="s">
        <v>1081</v>
      </c>
      <c r="M38" s="1210" t="s">
        <v>1081</v>
      </c>
      <c r="N38" s="1210" t="s">
        <v>1081</v>
      </c>
      <c r="O38" s="1210" t="s">
        <v>1081</v>
      </c>
      <c r="P38" s="1210">
        <v>78.099999999999994</v>
      </c>
      <c r="Q38" s="1210" t="s">
        <v>1081</v>
      </c>
      <c r="R38" s="1210" t="s">
        <v>1081</v>
      </c>
      <c r="S38" s="1210">
        <v>170.3</v>
      </c>
      <c r="T38" s="1211" t="s">
        <v>1081</v>
      </c>
    </row>
    <row r="39" spans="2:20">
      <c r="B39" s="1187" t="s">
        <v>1766</v>
      </c>
      <c r="C39" s="1210">
        <v>156.9</v>
      </c>
      <c r="D39" s="1210" t="s">
        <v>1081</v>
      </c>
      <c r="E39" s="1210" t="s">
        <v>1081</v>
      </c>
      <c r="F39" s="1210" t="s">
        <v>1081</v>
      </c>
      <c r="G39" s="1210" t="s">
        <v>1081</v>
      </c>
      <c r="H39" s="1210" t="s">
        <v>1081</v>
      </c>
      <c r="I39" s="1210" t="s">
        <v>1081</v>
      </c>
      <c r="J39" s="1210" t="s">
        <v>1081</v>
      </c>
      <c r="K39" s="1210" t="s">
        <v>1081</v>
      </c>
      <c r="L39" s="1210" t="s">
        <v>1081</v>
      </c>
      <c r="M39" s="1210" t="s">
        <v>1081</v>
      </c>
      <c r="N39" s="1210" t="s">
        <v>1081</v>
      </c>
      <c r="O39" s="1210" t="s">
        <v>1081</v>
      </c>
      <c r="P39" s="1210">
        <v>109.4</v>
      </c>
      <c r="Q39" s="1210" t="s">
        <v>1081</v>
      </c>
      <c r="R39" s="1210" t="s">
        <v>1081</v>
      </c>
      <c r="S39" s="1210">
        <v>47.5</v>
      </c>
      <c r="T39" s="1211" t="s">
        <v>1081</v>
      </c>
    </row>
    <row r="40" spans="2:20">
      <c r="B40" s="1186" t="s">
        <v>1768</v>
      </c>
      <c r="C40" s="1210">
        <v>505.9</v>
      </c>
      <c r="D40" s="1210" t="s">
        <v>1081</v>
      </c>
      <c r="E40" s="1210" t="s">
        <v>1081</v>
      </c>
      <c r="F40" s="1210">
        <v>12.7</v>
      </c>
      <c r="G40" s="1210" t="s">
        <v>1081</v>
      </c>
      <c r="H40" s="1210" t="s">
        <v>1081</v>
      </c>
      <c r="I40" s="1210" t="s">
        <v>1081</v>
      </c>
      <c r="J40" s="1210" t="s">
        <v>1081</v>
      </c>
      <c r="K40" s="1210" t="s">
        <v>1081</v>
      </c>
      <c r="L40" s="1210">
        <v>8.5</v>
      </c>
      <c r="M40" s="1210">
        <v>4.2</v>
      </c>
      <c r="N40" s="1210" t="s">
        <v>1081</v>
      </c>
      <c r="O40" s="1210" t="s">
        <v>1081</v>
      </c>
      <c r="P40" s="1210">
        <v>257.8</v>
      </c>
      <c r="Q40" s="1210" t="s">
        <v>1081</v>
      </c>
      <c r="R40" s="1210" t="s">
        <v>1081</v>
      </c>
      <c r="S40" s="1210">
        <v>235.4</v>
      </c>
      <c r="T40" s="1211" t="s">
        <v>1081</v>
      </c>
    </row>
    <row r="41" spans="2:20">
      <c r="B41" s="1186" t="s">
        <v>1000</v>
      </c>
      <c r="C41" s="1210">
        <v>6034</v>
      </c>
      <c r="D41" s="1210" t="s">
        <v>1081</v>
      </c>
      <c r="E41" s="1210" t="s">
        <v>1081</v>
      </c>
      <c r="F41" s="1210">
        <v>2209.5</v>
      </c>
      <c r="G41" s="1210" t="s">
        <v>1081</v>
      </c>
      <c r="H41" s="1210">
        <v>137.5</v>
      </c>
      <c r="I41" s="1210" t="s">
        <v>1081</v>
      </c>
      <c r="J41" s="1210" t="s">
        <v>1081</v>
      </c>
      <c r="K41" s="1210" t="s">
        <v>1081</v>
      </c>
      <c r="L41" s="1210">
        <v>1817.1</v>
      </c>
      <c r="M41" s="1210">
        <v>254.9</v>
      </c>
      <c r="N41" s="1210" t="s">
        <v>1081</v>
      </c>
      <c r="O41" s="1210" t="s">
        <v>1081</v>
      </c>
      <c r="P41" s="1210">
        <v>1874.9</v>
      </c>
      <c r="Q41" s="1210">
        <v>6.3</v>
      </c>
      <c r="R41" s="1210" t="s">
        <v>1081</v>
      </c>
      <c r="S41" s="1210">
        <v>1943.3</v>
      </c>
      <c r="T41" s="1211" t="s">
        <v>1081</v>
      </c>
    </row>
    <row r="42" spans="2:20">
      <c r="B42" s="1187" t="s">
        <v>1769</v>
      </c>
      <c r="C42" s="1210">
        <v>1286.8</v>
      </c>
      <c r="D42" s="1210" t="s">
        <v>1081</v>
      </c>
      <c r="E42" s="1210" t="s">
        <v>1081</v>
      </c>
      <c r="F42" s="1210">
        <v>4.3</v>
      </c>
      <c r="G42" s="1210" t="s">
        <v>1081</v>
      </c>
      <c r="H42" s="1210" t="s">
        <v>1081</v>
      </c>
      <c r="I42" s="1210" t="s">
        <v>1081</v>
      </c>
      <c r="J42" s="1210" t="s">
        <v>1081</v>
      </c>
      <c r="K42" s="1210" t="s">
        <v>1081</v>
      </c>
      <c r="L42" s="1210">
        <v>4.3</v>
      </c>
      <c r="M42" s="1210" t="s">
        <v>1081</v>
      </c>
      <c r="N42" s="1210" t="s">
        <v>1081</v>
      </c>
      <c r="O42" s="1210" t="s">
        <v>1081</v>
      </c>
      <c r="P42" s="1210">
        <v>976.5</v>
      </c>
      <c r="Q42" s="1210" t="s">
        <v>1081</v>
      </c>
      <c r="R42" s="1210" t="s">
        <v>1081</v>
      </c>
      <c r="S42" s="1210">
        <v>306</v>
      </c>
      <c r="T42" s="1211" t="s">
        <v>1081</v>
      </c>
    </row>
    <row r="43" spans="2:20">
      <c r="B43" s="1190" t="s">
        <v>994</v>
      </c>
      <c r="C43" s="1212">
        <v>96866</v>
      </c>
      <c r="D43" s="1210" t="s">
        <v>1081</v>
      </c>
      <c r="E43" s="1210" t="s">
        <v>1081</v>
      </c>
      <c r="F43" s="1212">
        <v>94826.5</v>
      </c>
      <c r="G43" s="1210" t="s">
        <v>1081</v>
      </c>
      <c r="H43" s="1210">
        <v>1005.4</v>
      </c>
      <c r="I43" s="1210">
        <v>55503.8</v>
      </c>
      <c r="J43" s="1210">
        <v>8151.2</v>
      </c>
      <c r="K43" s="1210" t="s">
        <v>1081</v>
      </c>
      <c r="L43" s="1210">
        <v>30106.6</v>
      </c>
      <c r="M43" s="1210">
        <v>59.5</v>
      </c>
      <c r="N43" s="1210" t="s">
        <v>1081</v>
      </c>
      <c r="O43" s="1210" t="s">
        <v>1081</v>
      </c>
      <c r="P43" s="1212">
        <v>171.8</v>
      </c>
      <c r="Q43" s="1212">
        <v>8.4</v>
      </c>
      <c r="R43" s="1210" t="s">
        <v>1081</v>
      </c>
      <c r="S43" s="1212">
        <v>1734.8</v>
      </c>
      <c r="T43" s="1213">
        <v>124.5</v>
      </c>
    </row>
    <row r="44" spans="2:20">
      <c r="B44" s="1186" t="s">
        <v>1771</v>
      </c>
      <c r="C44" s="1210">
        <v>85428.3</v>
      </c>
      <c r="D44" s="1210" t="s">
        <v>1081</v>
      </c>
      <c r="E44" s="1210" t="s">
        <v>1081</v>
      </c>
      <c r="F44" s="1210">
        <v>85276</v>
      </c>
      <c r="G44" s="1210" t="s">
        <v>1081</v>
      </c>
      <c r="H44" s="1210">
        <v>1000.7</v>
      </c>
      <c r="I44" s="1210">
        <v>55503.8</v>
      </c>
      <c r="J44" s="1210" t="s">
        <v>1081</v>
      </c>
      <c r="K44" s="1210" t="s">
        <v>1081</v>
      </c>
      <c r="L44" s="1210">
        <v>28771.5</v>
      </c>
      <c r="M44" s="1210" t="s">
        <v>1081</v>
      </c>
      <c r="N44" s="1210" t="s">
        <v>1081</v>
      </c>
      <c r="O44" s="1210" t="s">
        <v>1081</v>
      </c>
      <c r="P44" s="1210">
        <v>152.30000000000001</v>
      </c>
      <c r="Q44" s="1210" t="s">
        <v>1081</v>
      </c>
      <c r="R44" s="1210" t="s">
        <v>1081</v>
      </c>
      <c r="S44" s="1210" t="s">
        <v>1081</v>
      </c>
      <c r="T44" s="1211" t="s">
        <v>1081</v>
      </c>
    </row>
    <row r="45" spans="2:20">
      <c r="B45" s="1187" t="s">
        <v>992</v>
      </c>
      <c r="C45" s="1210">
        <v>1831.7</v>
      </c>
      <c r="D45" s="1210" t="s">
        <v>1081</v>
      </c>
      <c r="E45" s="1210" t="s">
        <v>1081</v>
      </c>
      <c r="F45" s="1210">
        <v>277.2</v>
      </c>
      <c r="G45" s="1210" t="s">
        <v>1081</v>
      </c>
      <c r="H45" s="1210" t="s">
        <v>1081</v>
      </c>
      <c r="I45" s="1210" t="s">
        <v>1081</v>
      </c>
      <c r="J45" s="1210" t="s">
        <v>1081</v>
      </c>
      <c r="K45" s="1210" t="s">
        <v>1081</v>
      </c>
      <c r="L45" s="1210">
        <v>264.5</v>
      </c>
      <c r="M45" s="1210">
        <v>12.7</v>
      </c>
      <c r="N45" s="1210" t="s">
        <v>1081</v>
      </c>
      <c r="O45" s="1210" t="s">
        <v>1081</v>
      </c>
      <c r="P45" s="1210" t="s">
        <v>1081</v>
      </c>
      <c r="Q45" s="1210">
        <v>8.4</v>
      </c>
      <c r="R45" s="1210" t="s">
        <v>1081</v>
      </c>
      <c r="S45" s="1210">
        <v>1421.6</v>
      </c>
      <c r="T45" s="1211">
        <v>124.5</v>
      </c>
    </row>
    <row r="46" spans="2:20">
      <c r="B46" s="1186" t="s">
        <v>986</v>
      </c>
      <c r="C46" s="1210">
        <v>8159.7</v>
      </c>
      <c r="D46" s="1210" t="s">
        <v>1081</v>
      </c>
      <c r="E46" s="1210" t="s">
        <v>1081</v>
      </c>
      <c r="F46" s="1210">
        <v>8159.7</v>
      </c>
      <c r="G46" s="1210" t="s">
        <v>1081</v>
      </c>
      <c r="H46" s="1210" t="s">
        <v>1081</v>
      </c>
      <c r="I46" s="1210" t="s">
        <v>1081</v>
      </c>
      <c r="J46" s="1210">
        <v>8151.2</v>
      </c>
      <c r="K46" s="1210" t="s">
        <v>1081</v>
      </c>
      <c r="L46" s="1210">
        <v>8.5</v>
      </c>
      <c r="M46" s="1210" t="s">
        <v>1081</v>
      </c>
      <c r="N46" s="1210" t="s">
        <v>1081</v>
      </c>
      <c r="O46" s="1210" t="s">
        <v>1081</v>
      </c>
      <c r="P46" s="1210" t="s">
        <v>1081</v>
      </c>
      <c r="Q46" s="1210" t="s">
        <v>1081</v>
      </c>
      <c r="R46" s="1210" t="s">
        <v>1081</v>
      </c>
      <c r="S46" s="1210" t="s">
        <v>1081</v>
      </c>
      <c r="T46" s="1211" t="s">
        <v>1081</v>
      </c>
    </row>
    <row r="47" spans="2:20">
      <c r="B47" s="1186" t="s">
        <v>1774</v>
      </c>
      <c r="C47" s="1210">
        <v>1108.9000000000001</v>
      </c>
      <c r="D47" s="1210" t="s">
        <v>1081</v>
      </c>
      <c r="E47" s="1210" t="s">
        <v>1081</v>
      </c>
      <c r="F47" s="1210">
        <v>1108.9000000000001</v>
      </c>
      <c r="G47" s="1210" t="s">
        <v>1081</v>
      </c>
      <c r="H47" s="1210" t="s">
        <v>1081</v>
      </c>
      <c r="I47" s="1210" t="s">
        <v>1081</v>
      </c>
      <c r="J47" s="1210" t="s">
        <v>1081</v>
      </c>
      <c r="K47" s="1210" t="s">
        <v>1081</v>
      </c>
      <c r="L47" s="1210">
        <v>1062.0999999999999</v>
      </c>
      <c r="M47" s="1210">
        <v>46.8</v>
      </c>
      <c r="N47" s="1210" t="s">
        <v>1081</v>
      </c>
      <c r="O47" s="1210" t="s">
        <v>1081</v>
      </c>
      <c r="P47" s="1210" t="s">
        <v>1081</v>
      </c>
      <c r="Q47" s="1210" t="s">
        <v>1081</v>
      </c>
      <c r="R47" s="1210" t="s">
        <v>1081</v>
      </c>
      <c r="S47" s="1210" t="s">
        <v>1081</v>
      </c>
      <c r="T47" s="1211" t="s">
        <v>1081</v>
      </c>
    </row>
    <row r="48" spans="2:20">
      <c r="B48" s="1214" t="s">
        <v>1804</v>
      </c>
      <c r="C48" s="1210">
        <v>337.4</v>
      </c>
      <c r="D48" s="1210" t="s">
        <v>1081</v>
      </c>
      <c r="E48" s="1210" t="s">
        <v>1081</v>
      </c>
      <c r="F48" s="1210">
        <v>4.7</v>
      </c>
      <c r="G48" s="1210" t="s">
        <v>1081</v>
      </c>
      <c r="H48" s="1210">
        <v>4.7</v>
      </c>
      <c r="I48" s="1210" t="s">
        <v>1081</v>
      </c>
      <c r="J48" s="1210" t="s">
        <v>1081</v>
      </c>
      <c r="K48" s="1210" t="s">
        <v>1081</v>
      </c>
      <c r="L48" s="1210" t="s">
        <v>1081</v>
      </c>
      <c r="M48" s="1210" t="s">
        <v>1081</v>
      </c>
      <c r="N48" s="1210" t="s">
        <v>1081</v>
      </c>
      <c r="O48" s="1210" t="s">
        <v>1081</v>
      </c>
      <c r="P48" s="1210">
        <v>19.5</v>
      </c>
      <c r="Q48" s="1210" t="s">
        <v>1081</v>
      </c>
      <c r="R48" s="1210" t="s">
        <v>1081</v>
      </c>
      <c r="S48" s="1210">
        <v>313.2</v>
      </c>
      <c r="T48" s="1211" t="s">
        <v>1081</v>
      </c>
    </row>
    <row r="49" spans="2:20" ht="27.6">
      <c r="B49" s="1171" t="s">
        <v>1776</v>
      </c>
      <c r="C49" s="1210" t="s">
        <v>1081</v>
      </c>
      <c r="D49" s="1210" t="s">
        <v>1081</v>
      </c>
      <c r="E49" s="1210" t="s">
        <v>1081</v>
      </c>
      <c r="F49" s="1210" t="s">
        <v>1081</v>
      </c>
      <c r="G49" s="1210" t="s">
        <v>1081</v>
      </c>
      <c r="H49" s="1210" t="s">
        <v>1081</v>
      </c>
      <c r="I49" s="1210" t="s">
        <v>1081</v>
      </c>
      <c r="J49" s="1210" t="s">
        <v>1081</v>
      </c>
      <c r="K49" s="1210" t="s">
        <v>1081</v>
      </c>
      <c r="L49" s="1210" t="s">
        <v>1081</v>
      </c>
      <c r="M49" s="1210" t="s">
        <v>1081</v>
      </c>
      <c r="N49" s="1210" t="s">
        <v>1081</v>
      </c>
      <c r="O49" s="1210" t="s">
        <v>1081</v>
      </c>
      <c r="P49" s="1210" t="s">
        <v>1081</v>
      </c>
      <c r="Q49" s="1210" t="s">
        <v>1081</v>
      </c>
      <c r="R49" s="1210" t="s">
        <v>1081</v>
      </c>
      <c r="S49" s="1210" t="s">
        <v>1081</v>
      </c>
      <c r="T49" s="1211" t="s">
        <v>1081</v>
      </c>
    </row>
    <row r="50" spans="2:20">
      <c r="B50" s="1190" t="s">
        <v>1777</v>
      </c>
      <c r="C50" s="1212">
        <v>191954.5</v>
      </c>
      <c r="D50" s="1210" t="s">
        <v>1081</v>
      </c>
      <c r="E50" s="1210" t="s">
        <v>1081</v>
      </c>
      <c r="F50" s="1212">
        <v>15028.6</v>
      </c>
      <c r="G50" s="1210" t="s">
        <v>1081</v>
      </c>
      <c r="H50" s="1210">
        <v>967.4</v>
      </c>
      <c r="I50" s="1210">
        <v>462.2</v>
      </c>
      <c r="J50" s="1210" t="s">
        <v>1081</v>
      </c>
      <c r="K50" s="1210">
        <v>64.599999999999994</v>
      </c>
      <c r="L50" s="1210">
        <v>13466.5</v>
      </c>
      <c r="M50" s="1210">
        <v>67.900000000000006</v>
      </c>
      <c r="N50" s="1210" t="s">
        <v>1081</v>
      </c>
      <c r="O50" s="1210" t="s">
        <v>1081</v>
      </c>
      <c r="P50" s="1212">
        <v>118203.3</v>
      </c>
      <c r="Q50" s="1212">
        <v>3254</v>
      </c>
      <c r="R50" s="1212">
        <v>5155.8999999999996</v>
      </c>
      <c r="S50" s="1212">
        <v>50307.1</v>
      </c>
      <c r="T50" s="1213">
        <v>5.6</v>
      </c>
    </row>
    <row r="51" spans="2:20">
      <c r="B51" s="1187" t="s">
        <v>1779</v>
      </c>
      <c r="C51" s="1210">
        <v>18803.599999999999</v>
      </c>
      <c r="D51" s="1210" t="s">
        <v>1081</v>
      </c>
      <c r="E51" s="1210" t="s">
        <v>1081</v>
      </c>
      <c r="F51" s="1210">
        <v>13297.5</v>
      </c>
      <c r="G51" s="1210" t="s">
        <v>1081</v>
      </c>
      <c r="H51" s="1210">
        <v>4.7</v>
      </c>
      <c r="I51" s="1210">
        <v>444.9</v>
      </c>
      <c r="J51" s="1210" t="s">
        <v>1081</v>
      </c>
      <c r="K51" s="1210" t="s">
        <v>1081</v>
      </c>
      <c r="L51" s="1210">
        <v>12835.2</v>
      </c>
      <c r="M51" s="1210">
        <v>12.7</v>
      </c>
      <c r="N51" s="1210" t="s">
        <v>1081</v>
      </c>
      <c r="O51" s="1210" t="s">
        <v>1081</v>
      </c>
      <c r="P51" s="1210">
        <v>2167.8000000000002</v>
      </c>
      <c r="Q51" s="1210">
        <v>84.3</v>
      </c>
      <c r="R51" s="1210" t="s">
        <v>1081</v>
      </c>
      <c r="S51" s="1210">
        <v>3251.2</v>
      </c>
      <c r="T51" s="1211">
        <v>2.8</v>
      </c>
    </row>
    <row r="52" spans="2:20">
      <c r="B52" s="1186" t="s">
        <v>1781</v>
      </c>
      <c r="C52" s="1210">
        <v>29320.1</v>
      </c>
      <c r="D52" s="1210" t="s">
        <v>1081</v>
      </c>
      <c r="E52" s="1210" t="s">
        <v>1081</v>
      </c>
      <c r="F52" s="1210">
        <v>432.6</v>
      </c>
      <c r="G52" s="1210" t="s">
        <v>1081</v>
      </c>
      <c r="H52" s="1210">
        <v>99.6</v>
      </c>
      <c r="I52" s="1210" t="s">
        <v>1081</v>
      </c>
      <c r="J52" s="1210" t="s">
        <v>1081</v>
      </c>
      <c r="K52" s="1210">
        <v>51.7</v>
      </c>
      <c r="L52" s="1210">
        <v>226.1</v>
      </c>
      <c r="M52" s="1210">
        <v>55.2</v>
      </c>
      <c r="N52" s="1210" t="s">
        <v>1081</v>
      </c>
      <c r="O52" s="1210" t="s">
        <v>1081</v>
      </c>
      <c r="P52" s="1210">
        <v>8593.2000000000007</v>
      </c>
      <c r="Q52" s="1210">
        <v>921</v>
      </c>
      <c r="R52" s="1210">
        <v>891</v>
      </c>
      <c r="S52" s="1210">
        <v>18479.5</v>
      </c>
      <c r="T52" s="1211">
        <v>2.8</v>
      </c>
    </row>
    <row r="53" spans="2:20">
      <c r="B53" s="1186" t="s">
        <v>1783</v>
      </c>
      <c r="C53" s="1210">
        <v>143830.79999999999</v>
      </c>
      <c r="D53" s="1210" t="s">
        <v>1081</v>
      </c>
      <c r="E53" s="1210" t="s">
        <v>1081</v>
      </c>
      <c r="F53" s="1210">
        <v>1298.5</v>
      </c>
      <c r="G53" s="1210" t="s">
        <v>1081</v>
      </c>
      <c r="H53" s="1210">
        <v>863.1</v>
      </c>
      <c r="I53" s="1210">
        <v>17.3</v>
      </c>
      <c r="J53" s="1210" t="s">
        <v>1081</v>
      </c>
      <c r="K53" s="1210">
        <v>12.9</v>
      </c>
      <c r="L53" s="1210">
        <v>405.2</v>
      </c>
      <c r="M53" s="1210" t="s">
        <v>1081</v>
      </c>
      <c r="N53" s="1210" t="s">
        <v>1081</v>
      </c>
      <c r="O53" s="1210" t="s">
        <v>1081</v>
      </c>
      <c r="P53" s="1210">
        <v>107442.3</v>
      </c>
      <c r="Q53" s="1210">
        <v>2248.6999999999998</v>
      </c>
      <c r="R53" s="1210">
        <v>4264.8999999999996</v>
      </c>
      <c r="S53" s="1210">
        <v>28576.400000000001</v>
      </c>
      <c r="T53" s="1211" t="s">
        <v>1081</v>
      </c>
    </row>
    <row r="54" spans="2:20">
      <c r="B54" s="1186" t="s">
        <v>1785</v>
      </c>
      <c r="C54" s="1210" t="s">
        <v>1081</v>
      </c>
      <c r="D54" s="1210" t="s">
        <v>1081</v>
      </c>
      <c r="E54" s="1210" t="s">
        <v>1081</v>
      </c>
      <c r="F54" s="1210" t="s">
        <v>1081</v>
      </c>
      <c r="G54" s="1210" t="s">
        <v>1081</v>
      </c>
      <c r="H54" s="1210" t="s">
        <v>1081</v>
      </c>
      <c r="I54" s="1210" t="s">
        <v>1081</v>
      </c>
      <c r="J54" s="1210" t="s">
        <v>1081</v>
      </c>
      <c r="K54" s="1210" t="s">
        <v>1081</v>
      </c>
      <c r="L54" s="1210" t="s">
        <v>1081</v>
      </c>
      <c r="M54" s="1210" t="s">
        <v>1081</v>
      </c>
      <c r="N54" s="1210" t="s">
        <v>1081</v>
      </c>
      <c r="O54" s="1210" t="s">
        <v>1081</v>
      </c>
      <c r="P54" s="1210" t="s">
        <v>1081</v>
      </c>
      <c r="Q54" s="1210" t="s">
        <v>1081</v>
      </c>
      <c r="R54" s="1210" t="s">
        <v>1081</v>
      </c>
      <c r="S54" s="1210" t="s">
        <v>1081</v>
      </c>
      <c r="T54" s="1211" t="s">
        <v>1081</v>
      </c>
    </row>
    <row r="55" spans="2:20" ht="14.4" thickBot="1">
      <c r="B55" s="1183" t="s">
        <v>1787</v>
      </c>
      <c r="C55" s="1215">
        <v>36357.300000000003</v>
      </c>
      <c r="D55" s="1216" t="s">
        <v>1081</v>
      </c>
      <c r="E55" s="1216" t="s">
        <v>1081</v>
      </c>
      <c r="F55" s="1215">
        <v>34325.800000000003</v>
      </c>
      <c r="G55" s="1216" t="s">
        <v>1081</v>
      </c>
      <c r="H55" s="1216">
        <v>5112.3999999999996</v>
      </c>
      <c r="I55" s="1216" t="s">
        <v>1081</v>
      </c>
      <c r="J55" s="1216">
        <v>276.3</v>
      </c>
      <c r="K55" s="1216">
        <v>426.3</v>
      </c>
      <c r="L55" s="1216">
        <v>76.8</v>
      </c>
      <c r="M55" s="1216">
        <v>85</v>
      </c>
      <c r="N55" s="1216">
        <v>6727.8</v>
      </c>
      <c r="O55" s="1216">
        <v>21621.200000000001</v>
      </c>
      <c r="P55" s="1215">
        <v>1398.3</v>
      </c>
      <c r="Q55" s="1216" t="s">
        <v>1081</v>
      </c>
      <c r="R55" s="1216" t="s">
        <v>1081</v>
      </c>
      <c r="S55" s="1216" t="s">
        <v>1081</v>
      </c>
      <c r="T55" s="1217">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09375" defaultRowHeight="13.8"/>
  <cols>
    <col min="1" max="1" width="8.5546875" style="1148" bestFit="1" customWidth="1"/>
    <col min="2" max="2" width="31.5546875" style="1148" bestFit="1" customWidth="1"/>
    <col min="3" max="20" width="11.5546875" style="1148" customWidth="1"/>
    <col min="21" max="26" width="9.109375" style="1148"/>
    <col min="27" max="27" width="9.5546875" style="1148" bestFit="1" customWidth="1"/>
    <col min="28" max="256" width="9.109375" style="1148"/>
    <col min="257" max="257" width="8.5546875" style="1148" bestFit="1" customWidth="1"/>
    <col min="258" max="258" width="31.5546875" style="1148" bestFit="1" customWidth="1"/>
    <col min="259" max="276" width="11.5546875" style="1148" customWidth="1"/>
    <col min="277" max="282" width="9.109375" style="1148"/>
    <col min="283" max="283" width="9.5546875" style="1148" bestFit="1" customWidth="1"/>
    <col min="284" max="512" width="9.109375" style="1148"/>
    <col min="513" max="513" width="8.5546875" style="1148" bestFit="1" customWidth="1"/>
    <col min="514" max="514" width="31.5546875" style="1148" bestFit="1" customWidth="1"/>
    <col min="515" max="532" width="11.5546875" style="1148" customWidth="1"/>
    <col min="533" max="538" width="9.109375" style="1148"/>
    <col min="539" max="539" width="9.5546875" style="1148" bestFit="1" customWidth="1"/>
    <col min="540" max="768" width="9.109375" style="1148"/>
    <col min="769" max="769" width="8.5546875" style="1148" bestFit="1" customWidth="1"/>
    <col min="770" max="770" width="31.5546875" style="1148" bestFit="1" customWidth="1"/>
    <col min="771" max="788" width="11.5546875" style="1148" customWidth="1"/>
    <col min="789" max="794" width="9.109375" style="1148"/>
    <col min="795" max="795" width="9.5546875" style="1148" bestFit="1" customWidth="1"/>
    <col min="796" max="1024" width="9.109375" style="1148"/>
    <col min="1025" max="1025" width="8.5546875" style="1148" bestFit="1" customWidth="1"/>
    <col min="1026" max="1026" width="31.5546875" style="1148" bestFit="1" customWidth="1"/>
    <col min="1027" max="1044" width="11.5546875" style="1148" customWidth="1"/>
    <col min="1045" max="1050" width="9.109375" style="1148"/>
    <col min="1051" max="1051" width="9.5546875" style="1148" bestFit="1" customWidth="1"/>
    <col min="1052" max="1280" width="9.109375" style="1148"/>
    <col min="1281" max="1281" width="8.5546875" style="1148" bestFit="1" customWidth="1"/>
    <col min="1282" max="1282" width="31.5546875" style="1148" bestFit="1" customWidth="1"/>
    <col min="1283" max="1300" width="11.5546875" style="1148" customWidth="1"/>
    <col min="1301" max="1306" width="9.109375" style="1148"/>
    <col min="1307" max="1307" width="9.5546875" style="1148" bestFit="1" customWidth="1"/>
    <col min="1308" max="1536" width="9.109375" style="1148"/>
    <col min="1537" max="1537" width="8.5546875" style="1148" bestFit="1" customWidth="1"/>
    <col min="1538" max="1538" width="31.5546875" style="1148" bestFit="1" customWidth="1"/>
    <col min="1539" max="1556" width="11.5546875" style="1148" customWidth="1"/>
    <col min="1557" max="1562" width="9.109375" style="1148"/>
    <col min="1563" max="1563" width="9.5546875" style="1148" bestFit="1" customWidth="1"/>
    <col min="1564" max="1792" width="9.109375" style="1148"/>
    <col min="1793" max="1793" width="8.5546875" style="1148" bestFit="1" customWidth="1"/>
    <col min="1794" max="1794" width="31.5546875" style="1148" bestFit="1" customWidth="1"/>
    <col min="1795" max="1812" width="11.5546875" style="1148" customWidth="1"/>
    <col min="1813" max="1818" width="9.109375" style="1148"/>
    <col min="1819" max="1819" width="9.5546875" style="1148" bestFit="1" customWidth="1"/>
    <col min="1820" max="2048" width="9.109375" style="1148"/>
    <col min="2049" max="2049" width="8.5546875" style="1148" bestFit="1" customWidth="1"/>
    <col min="2050" max="2050" width="31.5546875" style="1148" bestFit="1" customWidth="1"/>
    <col min="2051" max="2068" width="11.5546875" style="1148" customWidth="1"/>
    <col min="2069" max="2074" width="9.109375" style="1148"/>
    <col min="2075" max="2075" width="9.5546875" style="1148" bestFit="1" customWidth="1"/>
    <col min="2076" max="2304" width="9.109375" style="1148"/>
    <col min="2305" max="2305" width="8.5546875" style="1148" bestFit="1" customWidth="1"/>
    <col min="2306" max="2306" width="31.5546875" style="1148" bestFit="1" customWidth="1"/>
    <col min="2307" max="2324" width="11.5546875" style="1148" customWidth="1"/>
    <col min="2325" max="2330" width="9.109375" style="1148"/>
    <col min="2331" max="2331" width="9.5546875" style="1148" bestFit="1" customWidth="1"/>
    <col min="2332" max="2560" width="9.109375" style="1148"/>
    <col min="2561" max="2561" width="8.5546875" style="1148" bestFit="1" customWidth="1"/>
    <col min="2562" max="2562" width="31.5546875" style="1148" bestFit="1" customWidth="1"/>
    <col min="2563" max="2580" width="11.5546875" style="1148" customWidth="1"/>
    <col min="2581" max="2586" width="9.109375" style="1148"/>
    <col min="2587" max="2587" width="9.5546875" style="1148" bestFit="1" customWidth="1"/>
    <col min="2588" max="2816" width="9.109375" style="1148"/>
    <col min="2817" max="2817" width="8.5546875" style="1148" bestFit="1" customWidth="1"/>
    <col min="2818" max="2818" width="31.5546875" style="1148" bestFit="1" customWidth="1"/>
    <col min="2819" max="2836" width="11.5546875" style="1148" customWidth="1"/>
    <col min="2837" max="2842" width="9.109375" style="1148"/>
    <col min="2843" max="2843" width="9.5546875" style="1148" bestFit="1" customWidth="1"/>
    <col min="2844" max="3072" width="9.109375" style="1148"/>
    <col min="3073" max="3073" width="8.5546875" style="1148" bestFit="1" customWidth="1"/>
    <col min="3074" max="3074" width="31.5546875" style="1148" bestFit="1" customWidth="1"/>
    <col min="3075" max="3092" width="11.5546875" style="1148" customWidth="1"/>
    <col min="3093" max="3098" width="9.109375" style="1148"/>
    <col min="3099" max="3099" width="9.5546875" style="1148" bestFit="1" customWidth="1"/>
    <col min="3100" max="3328" width="9.109375" style="1148"/>
    <col min="3329" max="3329" width="8.5546875" style="1148" bestFit="1" customWidth="1"/>
    <col min="3330" max="3330" width="31.5546875" style="1148" bestFit="1" customWidth="1"/>
    <col min="3331" max="3348" width="11.5546875" style="1148" customWidth="1"/>
    <col min="3349" max="3354" width="9.109375" style="1148"/>
    <col min="3355" max="3355" width="9.5546875" style="1148" bestFit="1" customWidth="1"/>
    <col min="3356" max="3584" width="9.109375" style="1148"/>
    <col min="3585" max="3585" width="8.5546875" style="1148" bestFit="1" customWidth="1"/>
    <col min="3586" max="3586" width="31.5546875" style="1148" bestFit="1" customWidth="1"/>
    <col min="3587" max="3604" width="11.5546875" style="1148" customWidth="1"/>
    <col min="3605" max="3610" width="9.109375" style="1148"/>
    <col min="3611" max="3611" width="9.5546875" style="1148" bestFit="1" customWidth="1"/>
    <col min="3612" max="3840" width="9.109375" style="1148"/>
    <col min="3841" max="3841" width="8.5546875" style="1148" bestFit="1" customWidth="1"/>
    <col min="3842" max="3842" width="31.5546875" style="1148" bestFit="1" customWidth="1"/>
    <col min="3843" max="3860" width="11.5546875" style="1148" customWidth="1"/>
    <col min="3861" max="3866" width="9.109375" style="1148"/>
    <col min="3867" max="3867" width="9.5546875" style="1148" bestFit="1" customWidth="1"/>
    <col min="3868" max="4096" width="9.109375" style="1148"/>
    <col min="4097" max="4097" width="8.5546875" style="1148" bestFit="1" customWidth="1"/>
    <col min="4098" max="4098" width="31.5546875" style="1148" bestFit="1" customWidth="1"/>
    <col min="4099" max="4116" width="11.5546875" style="1148" customWidth="1"/>
    <col min="4117" max="4122" width="9.109375" style="1148"/>
    <col min="4123" max="4123" width="9.5546875" style="1148" bestFit="1" customWidth="1"/>
    <col min="4124" max="4352" width="9.109375" style="1148"/>
    <col min="4353" max="4353" width="8.5546875" style="1148" bestFit="1" customWidth="1"/>
    <col min="4354" max="4354" width="31.5546875" style="1148" bestFit="1" customWidth="1"/>
    <col min="4355" max="4372" width="11.5546875" style="1148" customWidth="1"/>
    <col min="4373" max="4378" width="9.109375" style="1148"/>
    <col min="4379" max="4379" width="9.5546875" style="1148" bestFit="1" customWidth="1"/>
    <col min="4380" max="4608" width="9.109375" style="1148"/>
    <col min="4609" max="4609" width="8.5546875" style="1148" bestFit="1" customWidth="1"/>
    <col min="4610" max="4610" width="31.5546875" style="1148" bestFit="1" customWidth="1"/>
    <col min="4611" max="4628" width="11.5546875" style="1148" customWidth="1"/>
    <col min="4629" max="4634" width="9.109375" style="1148"/>
    <col min="4635" max="4635" width="9.5546875" style="1148" bestFit="1" customWidth="1"/>
    <col min="4636" max="4864" width="9.109375" style="1148"/>
    <col min="4865" max="4865" width="8.5546875" style="1148" bestFit="1" customWidth="1"/>
    <col min="4866" max="4866" width="31.5546875" style="1148" bestFit="1" customWidth="1"/>
    <col min="4867" max="4884" width="11.5546875" style="1148" customWidth="1"/>
    <col min="4885" max="4890" width="9.109375" style="1148"/>
    <col min="4891" max="4891" width="9.5546875" style="1148" bestFit="1" customWidth="1"/>
    <col min="4892" max="5120" width="9.109375" style="1148"/>
    <col min="5121" max="5121" width="8.5546875" style="1148" bestFit="1" customWidth="1"/>
    <col min="5122" max="5122" width="31.5546875" style="1148" bestFit="1" customWidth="1"/>
    <col min="5123" max="5140" width="11.5546875" style="1148" customWidth="1"/>
    <col min="5141" max="5146" width="9.109375" style="1148"/>
    <col min="5147" max="5147" width="9.5546875" style="1148" bestFit="1" customWidth="1"/>
    <col min="5148" max="5376" width="9.109375" style="1148"/>
    <col min="5377" max="5377" width="8.5546875" style="1148" bestFit="1" customWidth="1"/>
    <col min="5378" max="5378" width="31.5546875" style="1148" bestFit="1" customWidth="1"/>
    <col min="5379" max="5396" width="11.5546875" style="1148" customWidth="1"/>
    <col min="5397" max="5402" width="9.109375" style="1148"/>
    <col min="5403" max="5403" width="9.5546875" style="1148" bestFit="1" customWidth="1"/>
    <col min="5404" max="5632" width="9.109375" style="1148"/>
    <col min="5633" max="5633" width="8.5546875" style="1148" bestFit="1" customWidth="1"/>
    <col min="5634" max="5634" width="31.5546875" style="1148" bestFit="1" customWidth="1"/>
    <col min="5635" max="5652" width="11.5546875" style="1148" customWidth="1"/>
    <col min="5653" max="5658" width="9.109375" style="1148"/>
    <col min="5659" max="5659" width="9.5546875" style="1148" bestFit="1" customWidth="1"/>
    <col min="5660" max="5888" width="9.109375" style="1148"/>
    <col min="5889" max="5889" width="8.5546875" style="1148" bestFit="1" customWidth="1"/>
    <col min="5890" max="5890" width="31.5546875" style="1148" bestFit="1" customWidth="1"/>
    <col min="5891" max="5908" width="11.5546875" style="1148" customWidth="1"/>
    <col min="5909" max="5914" width="9.109375" style="1148"/>
    <col min="5915" max="5915" width="9.5546875" style="1148" bestFit="1" customWidth="1"/>
    <col min="5916" max="6144" width="9.109375" style="1148"/>
    <col min="6145" max="6145" width="8.5546875" style="1148" bestFit="1" customWidth="1"/>
    <col min="6146" max="6146" width="31.5546875" style="1148" bestFit="1" customWidth="1"/>
    <col min="6147" max="6164" width="11.5546875" style="1148" customWidth="1"/>
    <col min="6165" max="6170" width="9.109375" style="1148"/>
    <col min="6171" max="6171" width="9.5546875" style="1148" bestFit="1" customWidth="1"/>
    <col min="6172" max="6400" width="9.109375" style="1148"/>
    <col min="6401" max="6401" width="8.5546875" style="1148" bestFit="1" customWidth="1"/>
    <col min="6402" max="6402" width="31.5546875" style="1148" bestFit="1" customWidth="1"/>
    <col min="6403" max="6420" width="11.5546875" style="1148" customWidth="1"/>
    <col min="6421" max="6426" width="9.109375" style="1148"/>
    <col min="6427" max="6427" width="9.5546875" style="1148" bestFit="1" customWidth="1"/>
    <col min="6428" max="6656" width="9.109375" style="1148"/>
    <col min="6657" max="6657" width="8.5546875" style="1148" bestFit="1" customWidth="1"/>
    <col min="6658" max="6658" width="31.5546875" style="1148" bestFit="1" customWidth="1"/>
    <col min="6659" max="6676" width="11.5546875" style="1148" customWidth="1"/>
    <col min="6677" max="6682" width="9.109375" style="1148"/>
    <col min="6683" max="6683" width="9.5546875" style="1148" bestFit="1" customWidth="1"/>
    <col min="6684" max="6912" width="9.109375" style="1148"/>
    <col min="6913" max="6913" width="8.5546875" style="1148" bestFit="1" customWidth="1"/>
    <col min="6914" max="6914" width="31.5546875" style="1148" bestFit="1" customWidth="1"/>
    <col min="6915" max="6932" width="11.5546875" style="1148" customWidth="1"/>
    <col min="6933" max="6938" width="9.109375" style="1148"/>
    <col min="6939" max="6939" width="9.5546875" style="1148" bestFit="1" customWidth="1"/>
    <col min="6940" max="7168" width="9.109375" style="1148"/>
    <col min="7169" max="7169" width="8.5546875" style="1148" bestFit="1" customWidth="1"/>
    <col min="7170" max="7170" width="31.5546875" style="1148" bestFit="1" customWidth="1"/>
    <col min="7171" max="7188" width="11.5546875" style="1148" customWidth="1"/>
    <col min="7189" max="7194" width="9.109375" style="1148"/>
    <col min="7195" max="7195" width="9.5546875" style="1148" bestFit="1" customWidth="1"/>
    <col min="7196" max="7424" width="9.109375" style="1148"/>
    <col min="7425" max="7425" width="8.5546875" style="1148" bestFit="1" customWidth="1"/>
    <col min="7426" max="7426" width="31.5546875" style="1148" bestFit="1" customWidth="1"/>
    <col min="7427" max="7444" width="11.5546875" style="1148" customWidth="1"/>
    <col min="7445" max="7450" width="9.109375" style="1148"/>
    <col min="7451" max="7451" width="9.5546875" style="1148" bestFit="1" customWidth="1"/>
    <col min="7452" max="7680" width="9.109375" style="1148"/>
    <col min="7681" max="7681" width="8.5546875" style="1148" bestFit="1" customWidth="1"/>
    <col min="7682" max="7682" width="31.5546875" style="1148" bestFit="1" customWidth="1"/>
    <col min="7683" max="7700" width="11.5546875" style="1148" customWidth="1"/>
    <col min="7701" max="7706" width="9.109375" style="1148"/>
    <col min="7707" max="7707" width="9.5546875" style="1148" bestFit="1" customWidth="1"/>
    <col min="7708" max="7936" width="9.109375" style="1148"/>
    <col min="7937" max="7937" width="8.5546875" style="1148" bestFit="1" customWidth="1"/>
    <col min="7938" max="7938" width="31.5546875" style="1148" bestFit="1" customWidth="1"/>
    <col min="7939" max="7956" width="11.5546875" style="1148" customWidth="1"/>
    <col min="7957" max="7962" width="9.109375" style="1148"/>
    <col min="7963" max="7963" width="9.5546875" style="1148" bestFit="1" customWidth="1"/>
    <col min="7964" max="8192" width="9.109375" style="1148"/>
    <col min="8193" max="8193" width="8.5546875" style="1148" bestFit="1" customWidth="1"/>
    <col min="8194" max="8194" width="31.5546875" style="1148" bestFit="1" customWidth="1"/>
    <col min="8195" max="8212" width="11.5546875" style="1148" customWidth="1"/>
    <col min="8213" max="8218" width="9.109375" style="1148"/>
    <col min="8219" max="8219" width="9.5546875" style="1148" bestFit="1" customWidth="1"/>
    <col min="8220" max="8448" width="9.109375" style="1148"/>
    <col min="8449" max="8449" width="8.5546875" style="1148" bestFit="1" customWidth="1"/>
    <col min="8450" max="8450" width="31.5546875" style="1148" bestFit="1" customWidth="1"/>
    <col min="8451" max="8468" width="11.5546875" style="1148" customWidth="1"/>
    <col min="8469" max="8474" width="9.109375" style="1148"/>
    <col min="8475" max="8475" width="9.5546875" style="1148" bestFit="1" customWidth="1"/>
    <col min="8476" max="8704" width="9.109375" style="1148"/>
    <col min="8705" max="8705" width="8.5546875" style="1148" bestFit="1" customWidth="1"/>
    <col min="8706" max="8706" width="31.5546875" style="1148" bestFit="1" customWidth="1"/>
    <col min="8707" max="8724" width="11.5546875" style="1148" customWidth="1"/>
    <col min="8725" max="8730" width="9.109375" style="1148"/>
    <col min="8731" max="8731" width="9.5546875" style="1148" bestFit="1" customWidth="1"/>
    <col min="8732" max="8960" width="9.109375" style="1148"/>
    <col min="8961" max="8961" width="8.5546875" style="1148" bestFit="1" customWidth="1"/>
    <col min="8962" max="8962" width="31.5546875" style="1148" bestFit="1" customWidth="1"/>
    <col min="8963" max="8980" width="11.5546875" style="1148" customWidth="1"/>
    <col min="8981" max="8986" width="9.109375" style="1148"/>
    <col min="8987" max="8987" width="9.5546875" style="1148" bestFit="1" customWidth="1"/>
    <col min="8988" max="9216" width="9.109375" style="1148"/>
    <col min="9217" max="9217" width="8.5546875" style="1148" bestFit="1" customWidth="1"/>
    <col min="9218" max="9218" width="31.5546875" style="1148" bestFit="1" customWidth="1"/>
    <col min="9219" max="9236" width="11.5546875" style="1148" customWidth="1"/>
    <col min="9237" max="9242" width="9.109375" style="1148"/>
    <col min="9243" max="9243" width="9.5546875" style="1148" bestFit="1" customWidth="1"/>
    <col min="9244" max="9472" width="9.109375" style="1148"/>
    <col min="9473" max="9473" width="8.5546875" style="1148" bestFit="1" customWidth="1"/>
    <col min="9474" max="9474" width="31.5546875" style="1148" bestFit="1" customWidth="1"/>
    <col min="9475" max="9492" width="11.5546875" style="1148" customWidth="1"/>
    <col min="9493" max="9498" width="9.109375" style="1148"/>
    <col min="9499" max="9499" width="9.5546875" style="1148" bestFit="1" customWidth="1"/>
    <col min="9500" max="9728" width="9.109375" style="1148"/>
    <col min="9729" max="9729" width="8.5546875" style="1148" bestFit="1" customWidth="1"/>
    <col min="9730" max="9730" width="31.5546875" style="1148" bestFit="1" customWidth="1"/>
    <col min="9731" max="9748" width="11.5546875" style="1148" customWidth="1"/>
    <col min="9749" max="9754" width="9.109375" style="1148"/>
    <col min="9755" max="9755" width="9.5546875" style="1148" bestFit="1" customWidth="1"/>
    <col min="9756" max="9984" width="9.109375" style="1148"/>
    <col min="9985" max="9985" width="8.5546875" style="1148" bestFit="1" customWidth="1"/>
    <col min="9986" max="9986" width="31.5546875" style="1148" bestFit="1" customWidth="1"/>
    <col min="9987" max="10004" width="11.5546875" style="1148" customWidth="1"/>
    <col min="10005" max="10010" width="9.109375" style="1148"/>
    <col min="10011" max="10011" width="9.5546875" style="1148" bestFit="1" customWidth="1"/>
    <col min="10012" max="10240" width="9.109375" style="1148"/>
    <col min="10241" max="10241" width="8.5546875" style="1148" bestFit="1" customWidth="1"/>
    <col min="10242" max="10242" width="31.5546875" style="1148" bestFit="1" customWidth="1"/>
    <col min="10243" max="10260" width="11.5546875" style="1148" customWidth="1"/>
    <col min="10261" max="10266" width="9.109375" style="1148"/>
    <col min="10267" max="10267" width="9.5546875" style="1148" bestFit="1" customWidth="1"/>
    <col min="10268" max="10496" width="9.109375" style="1148"/>
    <col min="10497" max="10497" width="8.5546875" style="1148" bestFit="1" customWidth="1"/>
    <col min="10498" max="10498" width="31.5546875" style="1148" bestFit="1" customWidth="1"/>
    <col min="10499" max="10516" width="11.5546875" style="1148" customWidth="1"/>
    <col min="10517" max="10522" width="9.109375" style="1148"/>
    <col min="10523" max="10523" width="9.5546875" style="1148" bestFit="1" customWidth="1"/>
    <col min="10524" max="10752" width="9.109375" style="1148"/>
    <col min="10753" max="10753" width="8.5546875" style="1148" bestFit="1" customWidth="1"/>
    <col min="10754" max="10754" width="31.5546875" style="1148" bestFit="1" customWidth="1"/>
    <col min="10755" max="10772" width="11.5546875" style="1148" customWidth="1"/>
    <col min="10773" max="10778" width="9.109375" style="1148"/>
    <col min="10779" max="10779" width="9.5546875" style="1148" bestFit="1" customWidth="1"/>
    <col min="10780" max="11008" width="9.109375" style="1148"/>
    <col min="11009" max="11009" width="8.5546875" style="1148" bestFit="1" customWidth="1"/>
    <col min="11010" max="11010" width="31.5546875" style="1148" bestFit="1" customWidth="1"/>
    <col min="11011" max="11028" width="11.5546875" style="1148" customWidth="1"/>
    <col min="11029" max="11034" width="9.109375" style="1148"/>
    <col min="11035" max="11035" width="9.5546875" style="1148" bestFit="1" customWidth="1"/>
    <col min="11036" max="11264" width="9.109375" style="1148"/>
    <col min="11265" max="11265" width="8.5546875" style="1148" bestFit="1" customWidth="1"/>
    <col min="11266" max="11266" width="31.5546875" style="1148" bestFit="1" customWidth="1"/>
    <col min="11267" max="11284" width="11.5546875" style="1148" customWidth="1"/>
    <col min="11285" max="11290" width="9.109375" style="1148"/>
    <col min="11291" max="11291" width="9.5546875" style="1148" bestFit="1" customWidth="1"/>
    <col min="11292" max="11520" width="9.109375" style="1148"/>
    <col min="11521" max="11521" width="8.5546875" style="1148" bestFit="1" customWidth="1"/>
    <col min="11522" max="11522" width="31.5546875" style="1148" bestFit="1" customWidth="1"/>
    <col min="11523" max="11540" width="11.5546875" style="1148" customWidth="1"/>
    <col min="11541" max="11546" width="9.109375" style="1148"/>
    <col min="11547" max="11547" width="9.5546875" style="1148" bestFit="1" customWidth="1"/>
    <col min="11548" max="11776" width="9.109375" style="1148"/>
    <col min="11777" max="11777" width="8.5546875" style="1148" bestFit="1" customWidth="1"/>
    <col min="11778" max="11778" width="31.5546875" style="1148" bestFit="1" customWidth="1"/>
    <col min="11779" max="11796" width="11.5546875" style="1148" customWidth="1"/>
    <col min="11797" max="11802" width="9.109375" style="1148"/>
    <col min="11803" max="11803" width="9.5546875" style="1148" bestFit="1" customWidth="1"/>
    <col min="11804" max="12032" width="9.109375" style="1148"/>
    <col min="12033" max="12033" width="8.5546875" style="1148" bestFit="1" customWidth="1"/>
    <col min="12034" max="12034" width="31.5546875" style="1148" bestFit="1" customWidth="1"/>
    <col min="12035" max="12052" width="11.5546875" style="1148" customWidth="1"/>
    <col min="12053" max="12058" width="9.109375" style="1148"/>
    <col min="12059" max="12059" width="9.5546875" style="1148" bestFit="1" customWidth="1"/>
    <col min="12060" max="12288" width="9.109375" style="1148"/>
    <col min="12289" max="12289" width="8.5546875" style="1148" bestFit="1" customWidth="1"/>
    <col min="12290" max="12290" width="31.5546875" style="1148" bestFit="1" customWidth="1"/>
    <col min="12291" max="12308" width="11.5546875" style="1148" customWidth="1"/>
    <col min="12309" max="12314" width="9.109375" style="1148"/>
    <col min="12315" max="12315" width="9.5546875" style="1148" bestFit="1" customWidth="1"/>
    <col min="12316" max="12544" width="9.109375" style="1148"/>
    <col min="12545" max="12545" width="8.5546875" style="1148" bestFit="1" customWidth="1"/>
    <col min="12546" max="12546" width="31.5546875" style="1148" bestFit="1" customWidth="1"/>
    <col min="12547" max="12564" width="11.5546875" style="1148" customWidth="1"/>
    <col min="12565" max="12570" width="9.109375" style="1148"/>
    <col min="12571" max="12571" width="9.5546875" style="1148" bestFit="1" customWidth="1"/>
    <col min="12572" max="12800" width="9.109375" style="1148"/>
    <col min="12801" max="12801" width="8.5546875" style="1148" bestFit="1" customWidth="1"/>
    <col min="12802" max="12802" width="31.5546875" style="1148" bestFit="1" customWidth="1"/>
    <col min="12803" max="12820" width="11.5546875" style="1148" customWidth="1"/>
    <col min="12821" max="12826" width="9.109375" style="1148"/>
    <col min="12827" max="12827" width="9.5546875" style="1148" bestFit="1" customWidth="1"/>
    <col min="12828" max="13056" width="9.109375" style="1148"/>
    <col min="13057" max="13057" width="8.5546875" style="1148" bestFit="1" customWidth="1"/>
    <col min="13058" max="13058" width="31.5546875" style="1148" bestFit="1" customWidth="1"/>
    <col min="13059" max="13076" width="11.5546875" style="1148" customWidth="1"/>
    <col min="13077" max="13082" width="9.109375" style="1148"/>
    <col min="13083" max="13083" width="9.5546875" style="1148" bestFit="1" customWidth="1"/>
    <col min="13084" max="13312" width="9.109375" style="1148"/>
    <col min="13313" max="13313" width="8.5546875" style="1148" bestFit="1" customWidth="1"/>
    <col min="13314" max="13314" width="31.5546875" style="1148" bestFit="1" customWidth="1"/>
    <col min="13315" max="13332" width="11.5546875" style="1148" customWidth="1"/>
    <col min="13333" max="13338" width="9.109375" style="1148"/>
    <col min="13339" max="13339" width="9.5546875" style="1148" bestFit="1" customWidth="1"/>
    <col min="13340" max="13568" width="9.109375" style="1148"/>
    <col min="13569" max="13569" width="8.5546875" style="1148" bestFit="1" customWidth="1"/>
    <col min="13570" max="13570" width="31.5546875" style="1148" bestFit="1" customWidth="1"/>
    <col min="13571" max="13588" width="11.5546875" style="1148" customWidth="1"/>
    <col min="13589" max="13594" width="9.109375" style="1148"/>
    <col min="13595" max="13595" width="9.5546875" style="1148" bestFit="1" customWidth="1"/>
    <col min="13596" max="13824" width="9.109375" style="1148"/>
    <col min="13825" max="13825" width="8.5546875" style="1148" bestFit="1" customWidth="1"/>
    <col min="13826" max="13826" width="31.5546875" style="1148" bestFit="1" customWidth="1"/>
    <col min="13827" max="13844" width="11.5546875" style="1148" customWidth="1"/>
    <col min="13845" max="13850" width="9.109375" style="1148"/>
    <col min="13851" max="13851" width="9.5546875" style="1148" bestFit="1" customWidth="1"/>
    <col min="13852" max="14080" width="9.109375" style="1148"/>
    <col min="14081" max="14081" width="8.5546875" style="1148" bestFit="1" customWidth="1"/>
    <col min="14082" max="14082" width="31.5546875" style="1148" bestFit="1" customWidth="1"/>
    <col min="14083" max="14100" width="11.5546875" style="1148" customWidth="1"/>
    <col min="14101" max="14106" width="9.109375" style="1148"/>
    <col min="14107" max="14107" width="9.5546875" style="1148" bestFit="1" customWidth="1"/>
    <col min="14108" max="14336" width="9.109375" style="1148"/>
    <col min="14337" max="14337" width="8.5546875" style="1148" bestFit="1" customWidth="1"/>
    <col min="14338" max="14338" width="31.5546875" style="1148" bestFit="1" customWidth="1"/>
    <col min="14339" max="14356" width="11.5546875" style="1148" customWidth="1"/>
    <col min="14357" max="14362" width="9.109375" style="1148"/>
    <col min="14363" max="14363" width="9.5546875" style="1148" bestFit="1" customWidth="1"/>
    <col min="14364" max="14592" width="9.109375" style="1148"/>
    <col min="14593" max="14593" width="8.5546875" style="1148" bestFit="1" customWidth="1"/>
    <col min="14594" max="14594" width="31.5546875" style="1148" bestFit="1" customWidth="1"/>
    <col min="14595" max="14612" width="11.5546875" style="1148" customWidth="1"/>
    <col min="14613" max="14618" width="9.109375" style="1148"/>
    <col min="14619" max="14619" width="9.5546875" style="1148" bestFit="1" customWidth="1"/>
    <col min="14620" max="14848" width="9.109375" style="1148"/>
    <col min="14849" max="14849" width="8.5546875" style="1148" bestFit="1" customWidth="1"/>
    <col min="14850" max="14850" width="31.5546875" style="1148" bestFit="1" customWidth="1"/>
    <col min="14851" max="14868" width="11.5546875" style="1148" customWidth="1"/>
    <col min="14869" max="14874" width="9.109375" style="1148"/>
    <col min="14875" max="14875" width="9.5546875" style="1148" bestFit="1" customWidth="1"/>
    <col min="14876" max="15104" width="9.109375" style="1148"/>
    <col min="15105" max="15105" width="8.5546875" style="1148" bestFit="1" customWidth="1"/>
    <col min="15106" max="15106" width="31.5546875" style="1148" bestFit="1" customWidth="1"/>
    <col min="15107" max="15124" width="11.5546875" style="1148" customWidth="1"/>
    <col min="15125" max="15130" width="9.109375" style="1148"/>
    <col min="15131" max="15131" width="9.5546875" style="1148" bestFit="1" customWidth="1"/>
    <col min="15132" max="15360" width="9.109375" style="1148"/>
    <col min="15361" max="15361" width="8.5546875" style="1148" bestFit="1" customWidth="1"/>
    <col min="15362" max="15362" width="31.5546875" style="1148" bestFit="1" customWidth="1"/>
    <col min="15363" max="15380" width="11.5546875" style="1148" customWidth="1"/>
    <col min="15381" max="15386" width="9.109375" style="1148"/>
    <col min="15387" max="15387" width="9.5546875" style="1148" bestFit="1" customWidth="1"/>
    <col min="15388" max="15616" width="9.109375" style="1148"/>
    <col min="15617" max="15617" width="8.5546875" style="1148" bestFit="1" customWidth="1"/>
    <col min="15618" max="15618" width="31.5546875" style="1148" bestFit="1" customWidth="1"/>
    <col min="15619" max="15636" width="11.5546875" style="1148" customWidth="1"/>
    <col min="15637" max="15642" width="9.109375" style="1148"/>
    <col min="15643" max="15643" width="9.5546875" style="1148" bestFit="1" customWidth="1"/>
    <col min="15644" max="15872" width="9.109375" style="1148"/>
    <col min="15873" max="15873" width="8.5546875" style="1148" bestFit="1" customWidth="1"/>
    <col min="15874" max="15874" width="31.5546875" style="1148" bestFit="1" customWidth="1"/>
    <col min="15875" max="15892" width="11.5546875" style="1148" customWidth="1"/>
    <col min="15893" max="15898" width="9.109375" style="1148"/>
    <col min="15899" max="15899" width="9.5546875" style="1148" bestFit="1" customWidth="1"/>
    <col min="15900" max="16128" width="9.109375" style="1148"/>
    <col min="16129" max="16129" width="8.5546875" style="1148" bestFit="1" customWidth="1"/>
    <col min="16130" max="16130" width="31.5546875" style="1148" bestFit="1" customWidth="1"/>
    <col min="16131" max="16148" width="11.5546875" style="1148" customWidth="1"/>
    <col min="16149" max="16154" width="9.109375" style="1148"/>
    <col min="16155" max="16155" width="9.5546875" style="1148" bestFit="1" customWidth="1"/>
    <col min="16156" max="16384" width="9.109375" style="1148"/>
  </cols>
  <sheetData>
    <row r="1" spans="1:21">
      <c r="D1" s="1149">
        <f>SUM(D17:D24)</f>
        <v>-266941.5</v>
      </c>
      <c r="F1" s="1149">
        <f>SUM(F17:F24)</f>
        <v>256780.2</v>
      </c>
      <c r="P1" s="1149" t="e">
        <f>P6+P7+P8+P17+P18+P19+P20-P27+P12</f>
        <v>#VALUE!</v>
      </c>
      <c r="Q1" s="1149">
        <f>SUM(Q17:Q24)</f>
        <v>-9248.9</v>
      </c>
      <c r="R1" s="1149">
        <f>SUM(R17:R24)</f>
        <v>14016</v>
      </c>
      <c r="S1" s="1149">
        <f>SUM(S17:S24)</f>
        <v>93862.5</v>
      </c>
    </row>
    <row r="2" spans="1:21">
      <c r="B2" s="1271" t="s">
        <v>1905</v>
      </c>
      <c r="C2" s="1271"/>
      <c r="D2" s="1271"/>
      <c r="E2" s="1271"/>
      <c r="F2" s="1271"/>
      <c r="G2" s="1271"/>
      <c r="H2" s="1271"/>
      <c r="I2" s="1271"/>
      <c r="J2" s="1271"/>
      <c r="K2" s="1271"/>
      <c r="L2" s="1271"/>
      <c r="M2" s="1271"/>
      <c r="N2" s="1271"/>
      <c r="O2" s="1271"/>
      <c r="P2" s="1271"/>
      <c r="Q2" s="1271"/>
      <c r="R2" s="1271"/>
      <c r="S2" s="1271"/>
      <c r="T2" s="1271"/>
    </row>
    <row r="3" spans="1:21" ht="14.4" thickBot="1">
      <c r="B3" s="1219" t="s">
        <v>1709</v>
      </c>
      <c r="C3" s="1219"/>
      <c r="D3" s="1218" t="s">
        <v>93</v>
      </c>
      <c r="E3" s="1218"/>
      <c r="F3" s="1218"/>
      <c r="G3" s="1218"/>
      <c r="H3" s="1218"/>
      <c r="I3" s="1218" t="s">
        <v>76</v>
      </c>
      <c r="J3" s="1218" t="s">
        <v>764</v>
      </c>
      <c r="K3" s="1218"/>
      <c r="L3" s="1218" t="s">
        <v>45</v>
      </c>
      <c r="M3" s="1218" t="s">
        <v>759</v>
      </c>
      <c r="N3" s="1218"/>
      <c r="O3" s="1218"/>
      <c r="P3" s="1218" t="s">
        <v>41</v>
      </c>
      <c r="Q3" s="1218"/>
      <c r="R3" s="1218"/>
      <c r="S3" s="1218" t="s">
        <v>215</v>
      </c>
      <c r="T3" s="1219"/>
    </row>
    <row r="4" spans="1:21" s="1150" customFormat="1" ht="18.75" customHeight="1">
      <c r="B4" s="1294"/>
      <c r="C4" s="1280" t="s">
        <v>1710</v>
      </c>
      <c r="D4" s="1280" t="s">
        <v>1711</v>
      </c>
      <c r="E4" s="1280" t="s">
        <v>1712</v>
      </c>
      <c r="F4" s="1280" t="s">
        <v>1713</v>
      </c>
      <c r="G4" s="1296" t="s">
        <v>1714</v>
      </c>
      <c r="H4" s="1297"/>
      <c r="I4" s="1297"/>
      <c r="J4" s="1297"/>
      <c r="K4" s="1297"/>
      <c r="L4" s="1297"/>
      <c r="M4" s="1297"/>
      <c r="N4" s="1297"/>
      <c r="O4" s="1298"/>
      <c r="P4" s="1280" t="s">
        <v>1715</v>
      </c>
      <c r="Q4" s="1280" t="s">
        <v>1716</v>
      </c>
      <c r="R4" s="1280" t="s">
        <v>1717</v>
      </c>
      <c r="S4" s="1280" t="s">
        <v>1718</v>
      </c>
      <c r="T4" s="1292" t="s">
        <v>1719</v>
      </c>
    </row>
    <row r="5" spans="1:21" s="1153" customFormat="1" ht="50.25" customHeight="1" thickBot="1">
      <c r="B5" s="1295"/>
      <c r="C5" s="1281"/>
      <c r="D5" s="1281"/>
      <c r="E5" s="1281"/>
      <c r="F5" s="1281"/>
      <c r="G5" s="1151" t="s">
        <v>1720</v>
      </c>
      <c r="H5" s="1151" t="s">
        <v>1721</v>
      </c>
      <c r="I5" s="1151" t="s">
        <v>1722</v>
      </c>
      <c r="J5" s="1151" t="s">
        <v>1723</v>
      </c>
      <c r="K5" s="1151" t="s">
        <v>1724</v>
      </c>
      <c r="L5" s="1151" t="s">
        <v>1725</v>
      </c>
      <c r="M5" s="1152" t="s">
        <v>1726</v>
      </c>
      <c r="N5" s="1151" t="s">
        <v>1727</v>
      </c>
      <c r="O5" s="1151" t="s">
        <v>1728</v>
      </c>
      <c r="P5" s="1281"/>
      <c r="Q5" s="1281"/>
      <c r="R5" s="1281"/>
      <c r="S5" s="1281"/>
      <c r="T5" s="1293"/>
    </row>
    <row r="6" spans="1:21">
      <c r="A6" s="1148" t="s">
        <v>171</v>
      </c>
      <c r="B6" s="1154" t="s">
        <v>927</v>
      </c>
      <c r="C6" s="1250">
        <v>2584672.0999999996</v>
      </c>
      <c r="D6" s="1250">
        <v>1616076.7</v>
      </c>
      <c r="E6" s="1250" t="s">
        <v>1081</v>
      </c>
      <c r="F6" s="1250" t="s">
        <v>1081</v>
      </c>
      <c r="G6" s="1250" t="s">
        <v>1081</v>
      </c>
      <c r="H6" s="1250" t="s">
        <v>1081</v>
      </c>
      <c r="I6" s="1250" t="s">
        <v>1081</v>
      </c>
      <c r="J6" s="1250" t="s">
        <v>1081</v>
      </c>
      <c r="K6" s="1250" t="s">
        <v>1081</v>
      </c>
      <c r="L6" s="1250" t="s">
        <v>1081</v>
      </c>
      <c r="M6" s="1250" t="s">
        <v>1081</v>
      </c>
      <c r="N6" s="1250" t="s">
        <v>1081</v>
      </c>
      <c r="O6" s="1250" t="s">
        <v>1081</v>
      </c>
      <c r="P6" s="1250">
        <v>957528.6</v>
      </c>
      <c r="Q6" s="1250">
        <v>11066.799999999997</v>
      </c>
      <c r="R6" s="1250" t="s">
        <v>1081</v>
      </c>
      <c r="S6" s="1250" t="s">
        <v>1081</v>
      </c>
      <c r="T6" s="1251" t="s">
        <v>1081</v>
      </c>
    </row>
    <row r="7" spans="1:21">
      <c r="A7" s="1148" t="s">
        <v>61</v>
      </c>
      <c r="B7" s="1155" t="s">
        <v>1729</v>
      </c>
      <c r="C7" s="1252">
        <v>12678.1</v>
      </c>
      <c r="D7" s="1252" t="s">
        <v>1081</v>
      </c>
      <c r="E7" s="1252" t="s">
        <v>1081</v>
      </c>
      <c r="F7" s="1252">
        <v>11999.1</v>
      </c>
      <c r="G7" s="1252" t="s">
        <v>1081</v>
      </c>
      <c r="H7" s="1252">
        <v>52.1</v>
      </c>
      <c r="I7" s="1252">
        <v>7343.5</v>
      </c>
      <c r="J7" s="1252">
        <v>2884</v>
      </c>
      <c r="K7" s="1252">
        <v>189.4</v>
      </c>
      <c r="L7" s="1252">
        <v>21.3</v>
      </c>
      <c r="M7" s="1252" t="s">
        <v>1081</v>
      </c>
      <c r="N7" s="1252">
        <v>4.0999999999999996</v>
      </c>
      <c r="O7" s="1252">
        <v>1504.7</v>
      </c>
      <c r="P7" s="1252" t="s">
        <v>1081</v>
      </c>
      <c r="Q7" s="1252" t="s">
        <v>1081</v>
      </c>
      <c r="R7" s="1252" t="s">
        <v>1081</v>
      </c>
      <c r="S7" s="1252">
        <v>492.8</v>
      </c>
      <c r="T7" s="1253">
        <v>186.2</v>
      </c>
    </row>
    <row r="8" spans="1:21">
      <c r="A8" s="1148" t="s">
        <v>298</v>
      </c>
      <c r="B8" s="1155" t="s">
        <v>912</v>
      </c>
      <c r="C8" s="1252">
        <v>-1861834.3</v>
      </c>
      <c r="D8" s="1252">
        <v>-1346170.4</v>
      </c>
      <c r="E8" s="1252" t="s">
        <v>1081</v>
      </c>
      <c r="F8" s="1252">
        <v>-48099.7</v>
      </c>
      <c r="G8" s="1252" t="s">
        <v>1081</v>
      </c>
      <c r="H8" s="1252">
        <v>-2499.3000000000002</v>
      </c>
      <c r="I8" s="1252" t="s">
        <v>1081</v>
      </c>
      <c r="J8" s="1252">
        <v>-5163.6000000000004</v>
      </c>
      <c r="K8" s="1252" t="s">
        <v>1081</v>
      </c>
      <c r="L8" s="1252">
        <v>-32461.200000000001</v>
      </c>
      <c r="M8" s="1252">
        <v>-8.5</v>
      </c>
      <c r="N8" s="1252">
        <v>-495.5</v>
      </c>
      <c r="O8" s="1252">
        <v>-7471.6</v>
      </c>
      <c r="P8" s="1252">
        <v>-462197</v>
      </c>
      <c r="Q8" s="1252" t="s">
        <v>1081</v>
      </c>
      <c r="R8" s="1252" t="s">
        <v>1081</v>
      </c>
      <c r="S8" s="1252">
        <v>-5367.2</v>
      </c>
      <c r="T8" s="1253" t="s">
        <v>1081</v>
      </c>
    </row>
    <row r="9" spans="1:21">
      <c r="B9" s="1156" t="s">
        <v>1730</v>
      </c>
      <c r="C9" s="1252">
        <v>-14818.8</v>
      </c>
      <c r="D9" s="1252" t="s">
        <v>1081</v>
      </c>
      <c r="E9" s="1252" t="s">
        <v>1081</v>
      </c>
      <c r="F9" s="1252">
        <v>-14818.8</v>
      </c>
      <c r="G9" s="1252" t="s">
        <v>1081</v>
      </c>
      <c r="H9" s="1252" t="s">
        <v>1081</v>
      </c>
      <c r="I9" s="1252" t="s">
        <v>1081</v>
      </c>
      <c r="J9" s="1252">
        <v>-13513.5</v>
      </c>
      <c r="K9" s="1252" t="s">
        <v>1081</v>
      </c>
      <c r="L9" s="1252">
        <v>-1305.3</v>
      </c>
      <c r="M9" s="1252" t="s">
        <v>1081</v>
      </c>
      <c r="N9" s="1252" t="s">
        <v>1081</v>
      </c>
      <c r="O9" s="1252" t="s">
        <v>1081</v>
      </c>
      <c r="P9" s="1252" t="s">
        <v>1081</v>
      </c>
      <c r="Q9" s="1252" t="s">
        <v>1081</v>
      </c>
      <c r="R9" s="1252" t="s">
        <v>1081</v>
      </c>
      <c r="S9" s="1252" t="s">
        <v>1081</v>
      </c>
      <c r="T9" s="1253" t="s">
        <v>1081</v>
      </c>
    </row>
    <row r="10" spans="1:21">
      <c r="B10" s="1157" t="s">
        <v>1731</v>
      </c>
      <c r="C10" s="1252">
        <v>-1305.3</v>
      </c>
      <c r="D10" s="1252" t="s">
        <v>1081</v>
      </c>
      <c r="E10" s="1252" t="s">
        <v>1081</v>
      </c>
      <c r="F10" s="1252">
        <v>-1305.3</v>
      </c>
      <c r="G10" s="1252" t="s">
        <v>1081</v>
      </c>
      <c r="H10" s="1252" t="s">
        <v>1081</v>
      </c>
      <c r="I10" s="1252" t="s">
        <v>1081</v>
      </c>
      <c r="J10" s="1252" t="s">
        <v>1081</v>
      </c>
      <c r="K10" s="1252" t="s">
        <v>1081</v>
      </c>
      <c r="L10" s="1252">
        <v>-1305.3</v>
      </c>
      <c r="M10" s="1252" t="s">
        <v>1081</v>
      </c>
      <c r="N10" s="1252" t="s">
        <v>1081</v>
      </c>
      <c r="O10" s="1252" t="s">
        <v>1081</v>
      </c>
      <c r="P10" s="1252" t="s">
        <v>1081</v>
      </c>
      <c r="Q10" s="1252" t="s">
        <v>1081</v>
      </c>
      <c r="R10" s="1252" t="s">
        <v>1081</v>
      </c>
      <c r="S10" s="1252" t="s">
        <v>1081</v>
      </c>
      <c r="T10" s="1253" t="s">
        <v>1081</v>
      </c>
    </row>
    <row r="11" spans="1:21">
      <c r="B11" s="1157" t="s">
        <v>1732</v>
      </c>
      <c r="C11" s="1252">
        <v>-13513.5</v>
      </c>
      <c r="D11" s="1252" t="s">
        <v>1081</v>
      </c>
      <c r="E11" s="1252" t="s">
        <v>1081</v>
      </c>
      <c r="F11" s="1252">
        <v>-13513.5</v>
      </c>
      <c r="G11" s="1252" t="s">
        <v>1081</v>
      </c>
      <c r="H11" s="1252" t="s">
        <v>1081</v>
      </c>
      <c r="I11" s="1252" t="s">
        <v>1081</v>
      </c>
      <c r="J11" s="1252">
        <v>-13513.5</v>
      </c>
      <c r="K11" s="1252" t="s">
        <v>1081</v>
      </c>
      <c r="L11" s="1252" t="s">
        <v>1081</v>
      </c>
      <c r="M11" s="1252" t="s">
        <v>1081</v>
      </c>
      <c r="N11" s="1252" t="s">
        <v>1081</v>
      </c>
      <c r="O11" s="1252" t="s">
        <v>1081</v>
      </c>
      <c r="P11" s="1252" t="s">
        <v>1081</v>
      </c>
      <c r="Q11" s="1252" t="s">
        <v>1081</v>
      </c>
      <c r="R11" s="1252" t="s">
        <v>1081</v>
      </c>
      <c r="S11" s="1252" t="s">
        <v>1081</v>
      </c>
      <c r="T11" s="1253" t="s">
        <v>1081</v>
      </c>
    </row>
    <row r="12" spans="1:21">
      <c r="B12" s="1158" t="s">
        <v>1733</v>
      </c>
      <c r="C12" s="1252">
        <v>-7141.9000000000005</v>
      </c>
      <c r="D12" s="1252">
        <v>-758.4</v>
      </c>
      <c r="E12" s="1252" t="s">
        <v>1081</v>
      </c>
      <c r="F12" s="1252">
        <v>-1403.8000000000002</v>
      </c>
      <c r="G12" s="1252" t="s">
        <v>1081</v>
      </c>
      <c r="H12" s="1252">
        <v>464.7</v>
      </c>
      <c r="I12" s="1252">
        <v>1114.5</v>
      </c>
      <c r="J12" s="1252">
        <v>-25.9</v>
      </c>
      <c r="K12" s="1252" t="s">
        <v>1081</v>
      </c>
      <c r="L12" s="1252">
        <v>170.6</v>
      </c>
      <c r="M12" s="1252">
        <v>-2081.5</v>
      </c>
      <c r="N12" s="1252">
        <v>-200.6</v>
      </c>
      <c r="O12" s="1252">
        <v>-845.6</v>
      </c>
      <c r="P12" s="1252">
        <v>-4948.8999999999996</v>
      </c>
      <c r="Q12" s="1252">
        <v>-33.6</v>
      </c>
      <c r="R12" s="1252" t="s">
        <v>1081</v>
      </c>
      <c r="S12" s="1252" t="s">
        <v>1081</v>
      </c>
      <c r="T12" s="1253">
        <v>2.8</v>
      </c>
    </row>
    <row r="13" spans="1:21">
      <c r="B13" s="1159" t="s">
        <v>1734</v>
      </c>
      <c r="C13" s="1254">
        <v>713555.2</v>
      </c>
      <c r="D13" s="1254">
        <v>269147.90000000002</v>
      </c>
      <c r="E13" s="1252" t="s">
        <v>1081</v>
      </c>
      <c r="F13" s="1254">
        <v>-52323.199999999997</v>
      </c>
      <c r="G13" s="1252" t="s">
        <v>1081</v>
      </c>
      <c r="H13" s="1252">
        <v>-1982.5</v>
      </c>
      <c r="I13" s="1252">
        <v>8458</v>
      </c>
      <c r="J13" s="1252">
        <v>-15819</v>
      </c>
      <c r="K13" s="1252">
        <v>189.4</v>
      </c>
      <c r="L13" s="1252">
        <v>-33574.6</v>
      </c>
      <c r="M13" s="1252">
        <v>-2090</v>
      </c>
      <c r="N13" s="1252">
        <v>-692</v>
      </c>
      <c r="O13" s="1252">
        <v>-6812.5</v>
      </c>
      <c r="P13" s="1254">
        <v>490382.7</v>
      </c>
      <c r="Q13" s="1254">
        <v>11033.199999999999</v>
      </c>
      <c r="R13" s="1252" t="s">
        <v>1081</v>
      </c>
      <c r="S13" s="1254">
        <v>-4874.3999999999996</v>
      </c>
      <c r="T13" s="1255">
        <v>189</v>
      </c>
      <c r="U13" s="1149"/>
    </row>
    <row r="14" spans="1:21">
      <c r="B14" s="1160" t="s">
        <v>1735</v>
      </c>
      <c r="C14" s="1254">
        <v>2461.4</v>
      </c>
      <c r="D14" s="1254" t="s">
        <v>1081</v>
      </c>
      <c r="E14" s="1252" t="s">
        <v>1081</v>
      </c>
      <c r="F14" s="1254">
        <v>955.00000000000011</v>
      </c>
      <c r="G14" s="1252" t="s">
        <v>1081</v>
      </c>
      <c r="H14" s="1252" t="s">
        <v>1081</v>
      </c>
      <c r="I14" s="1252">
        <v>375.8</v>
      </c>
      <c r="J14" s="1252" t="s">
        <v>1081</v>
      </c>
      <c r="K14" s="1252" t="s">
        <v>1081</v>
      </c>
      <c r="L14" s="1252">
        <v>563.1</v>
      </c>
      <c r="M14" s="1252" t="s">
        <v>1081</v>
      </c>
      <c r="N14" s="1252" t="s">
        <v>1081</v>
      </c>
      <c r="O14" s="1252">
        <v>16.100000000000001</v>
      </c>
      <c r="P14" s="1254">
        <v>1402.3</v>
      </c>
      <c r="Q14" s="1252" t="s">
        <v>1081</v>
      </c>
      <c r="R14" s="1252" t="s">
        <v>1081</v>
      </c>
      <c r="S14" s="1254">
        <v>104.1</v>
      </c>
      <c r="T14" s="1253" t="s">
        <v>1081</v>
      </c>
      <c r="U14" s="1149"/>
    </row>
    <row r="15" spans="1:21">
      <c r="B15" s="1160" t="s">
        <v>1736</v>
      </c>
      <c r="C15" s="1252" t="s">
        <v>1081</v>
      </c>
      <c r="D15" s="1252" t="s">
        <v>1081</v>
      </c>
      <c r="E15" s="1252" t="s">
        <v>1081</v>
      </c>
      <c r="F15" s="1252" t="s">
        <v>1081</v>
      </c>
      <c r="G15" s="1252" t="s">
        <v>1081</v>
      </c>
      <c r="H15" s="1252" t="s">
        <v>1081</v>
      </c>
      <c r="I15" s="1252" t="s">
        <v>1081</v>
      </c>
      <c r="J15" s="1252" t="s">
        <v>1081</v>
      </c>
      <c r="K15" s="1252" t="s">
        <v>1081</v>
      </c>
      <c r="L15" s="1252" t="s">
        <v>1081</v>
      </c>
      <c r="M15" s="1252" t="s">
        <v>1081</v>
      </c>
      <c r="N15" s="1252" t="s">
        <v>1081</v>
      </c>
      <c r="O15" s="1252" t="s">
        <v>1081</v>
      </c>
      <c r="P15" s="1252" t="s">
        <v>1081</v>
      </c>
      <c r="Q15" s="1252" t="s">
        <v>1081</v>
      </c>
      <c r="R15" s="1252" t="s">
        <v>1081</v>
      </c>
      <c r="S15" s="1252" t="s">
        <v>1081</v>
      </c>
      <c r="T15" s="1253" t="s">
        <v>1081</v>
      </c>
    </row>
    <row r="16" spans="1:21">
      <c r="B16" s="1160" t="s">
        <v>1737</v>
      </c>
      <c r="C16" s="1254">
        <v>-152555.29999999999</v>
      </c>
      <c r="D16" s="1254">
        <v>-266941.5</v>
      </c>
      <c r="E16" s="1252" t="s">
        <v>1081</v>
      </c>
      <c r="F16" s="1254">
        <v>256780.2</v>
      </c>
      <c r="G16" s="1252">
        <v>10275.5</v>
      </c>
      <c r="H16" s="1252">
        <v>9959.2000000000007</v>
      </c>
      <c r="I16" s="1252">
        <v>50169</v>
      </c>
      <c r="J16" s="1252">
        <v>28779.8</v>
      </c>
      <c r="K16" s="1252" t="s">
        <v>1081</v>
      </c>
      <c r="L16" s="1252">
        <v>95067.5</v>
      </c>
      <c r="M16" s="1252">
        <v>5365.2</v>
      </c>
      <c r="N16" s="1252">
        <v>10650.6</v>
      </c>
      <c r="O16" s="1252">
        <v>46513.4</v>
      </c>
      <c r="P16" s="1254">
        <v>-241023.6</v>
      </c>
      <c r="Q16" s="1254">
        <v>-9248.8999999999978</v>
      </c>
      <c r="R16" s="1254">
        <v>14016</v>
      </c>
      <c r="S16" s="1254">
        <v>93862.5</v>
      </c>
      <c r="T16" s="1253" t="s">
        <v>1081</v>
      </c>
      <c r="U16" s="1149"/>
    </row>
    <row r="17" spans="1:28">
      <c r="B17" s="1157" t="s">
        <v>1738</v>
      </c>
      <c r="C17" s="1252">
        <v>-85949.999999999985</v>
      </c>
      <c r="D17" s="1252" t="s">
        <v>1081</v>
      </c>
      <c r="E17" s="1252" t="s">
        <v>1081</v>
      </c>
      <c r="F17" s="1252">
        <v>-597.20000000000005</v>
      </c>
      <c r="G17" s="1252" t="s">
        <v>1081</v>
      </c>
      <c r="H17" s="1252" t="s">
        <v>1081</v>
      </c>
      <c r="I17" s="1252" t="s">
        <v>1081</v>
      </c>
      <c r="J17" s="1252" t="s">
        <v>1081</v>
      </c>
      <c r="K17" s="1252" t="s">
        <v>1081</v>
      </c>
      <c r="L17" s="1252">
        <v>-597.20000000000005</v>
      </c>
      <c r="M17" s="1252" t="s">
        <v>1081</v>
      </c>
      <c r="N17" s="1252" t="s">
        <v>1081</v>
      </c>
      <c r="O17" s="1252" t="s">
        <v>1081</v>
      </c>
      <c r="P17" s="1252">
        <v>-142783.79999999999</v>
      </c>
      <c r="Q17" s="1252">
        <v>-9246.7999999999993</v>
      </c>
      <c r="R17" s="1252" t="s">
        <v>1081</v>
      </c>
      <c r="S17" s="1252">
        <v>66677.8</v>
      </c>
      <c r="T17" s="1253" t="s">
        <v>1081</v>
      </c>
      <c r="U17" s="1148">
        <f>S17/SUM(P17:Q17)</f>
        <v>-0.43858144347256417</v>
      </c>
      <c r="V17" s="1161">
        <f>(S17+Q17)/SUM(G17:P17)*-1</f>
        <v>0.40054818978804724</v>
      </c>
      <c r="X17" s="1162">
        <f>SUM(R17:S17)/SUM(G17:Q17)*-1</f>
        <v>0.43686536790807445</v>
      </c>
    </row>
    <row r="18" spans="1:28">
      <c r="B18" s="1157" t="s">
        <v>1739</v>
      </c>
      <c r="C18" s="1252">
        <v>-54926.900000000009</v>
      </c>
      <c r="D18" s="1252" t="s">
        <v>1081</v>
      </c>
      <c r="E18" s="1252" t="s">
        <v>1081</v>
      </c>
      <c r="F18" s="1252">
        <v>-8.5</v>
      </c>
      <c r="G18" s="1252" t="s">
        <v>1081</v>
      </c>
      <c r="H18" s="1252" t="s">
        <v>1081</v>
      </c>
      <c r="I18" s="1252" t="s">
        <v>1081</v>
      </c>
      <c r="J18" s="1252" t="s">
        <v>1081</v>
      </c>
      <c r="K18" s="1252" t="s">
        <v>1081</v>
      </c>
      <c r="L18" s="1252">
        <v>-8.5</v>
      </c>
      <c r="M18" s="1252" t="s">
        <v>1081</v>
      </c>
      <c r="N18" s="1252" t="s">
        <v>1081</v>
      </c>
      <c r="O18" s="1252" t="s">
        <v>1081</v>
      </c>
      <c r="P18" s="1252">
        <v>-89888.8</v>
      </c>
      <c r="Q18" s="1252" t="s">
        <v>1081</v>
      </c>
      <c r="R18" s="1252">
        <v>7785.7</v>
      </c>
      <c r="S18" s="1252">
        <v>27184.7</v>
      </c>
      <c r="T18" s="1253" t="s">
        <v>1081</v>
      </c>
      <c r="U18" s="1148">
        <f>R18/S18</f>
        <v>0.28640007062796352</v>
      </c>
      <c r="V18" s="1162">
        <f>SUM(R18:S18)/SUM(G18:Q18)*-1</f>
        <v>0.38900389666875423</v>
      </c>
    </row>
    <row r="19" spans="1:28">
      <c r="B19" s="1157" t="s">
        <v>1740</v>
      </c>
      <c r="C19" s="1252">
        <v>-1922.8999999999996</v>
      </c>
      <c r="D19" s="1252" t="s">
        <v>1081</v>
      </c>
      <c r="E19" s="1252" t="s">
        <v>1081</v>
      </c>
      <c r="F19" s="1252">
        <v>-17</v>
      </c>
      <c r="G19" s="1252" t="s">
        <v>1081</v>
      </c>
      <c r="H19" s="1252" t="s">
        <v>1081</v>
      </c>
      <c r="I19" s="1252" t="s">
        <v>1081</v>
      </c>
      <c r="J19" s="1252" t="s">
        <v>1081</v>
      </c>
      <c r="K19" s="1252" t="s">
        <v>1081</v>
      </c>
      <c r="L19" s="1252">
        <v>-8.5</v>
      </c>
      <c r="M19" s="1252">
        <v>-8.5</v>
      </c>
      <c r="N19" s="1252" t="s">
        <v>1081</v>
      </c>
      <c r="O19" s="1252" t="s">
        <v>1081</v>
      </c>
      <c r="P19" s="1252">
        <v>-8136.2</v>
      </c>
      <c r="Q19" s="1252" t="s">
        <v>1081</v>
      </c>
      <c r="R19" s="1252">
        <v>6230.3</v>
      </c>
      <c r="S19" s="1252" t="s">
        <v>1081</v>
      </c>
      <c r="T19" s="1253" t="s">
        <v>1081</v>
      </c>
      <c r="V19" s="1162">
        <f>SUM(R19:S19)/SUM(G19:Q19)*-1</f>
        <v>0.76415395182259727</v>
      </c>
    </row>
    <row r="20" spans="1:28">
      <c r="B20" s="1157" t="s">
        <v>1060</v>
      </c>
      <c r="C20" s="1252">
        <v>1174.4000000000001</v>
      </c>
      <c r="D20" s="1252" t="s">
        <v>1081</v>
      </c>
      <c r="E20" s="1252" t="s">
        <v>1081</v>
      </c>
      <c r="F20" s="1252">
        <v>1389.2</v>
      </c>
      <c r="G20" s="1252" t="s">
        <v>1081</v>
      </c>
      <c r="H20" s="1252">
        <v>569.1</v>
      </c>
      <c r="I20" s="1252" t="s">
        <v>1081</v>
      </c>
      <c r="J20" s="1252" t="s">
        <v>1081</v>
      </c>
      <c r="K20" s="1252" t="s">
        <v>1081</v>
      </c>
      <c r="L20" s="1252" t="s">
        <v>1081</v>
      </c>
      <c r="M20" s="1252" t="s">
        <v>1081</v>
      </c>
      <c r="N20" s="1252" t="s">
        <v>1081</v>
      </c>
      <c r="O20" s="1252">
        <v>820.1</v>
      </c>
      <c r="P20" s="1252">
        <v>-214.8</v>
      </c>
      <c r="Q20" s="1252" t="s">
        <v>1081</v>
      </c>
      <c r="R20" s="1252" t="s">
        <v>1081</v>
      </c>
      <c r="S20" s="1252" t="s">
        <v>1081</v>
      </c>
      <c r="T20" s="1253" t="s">
        <v>1081</v>
      </c>
    </row>
    <row r="21" spans="1:28">
      <c r="B21" s="1157" t="s">
        <v>1741</v>
      </c>
      <c r="C21" s="1252" t="s">
        <v>1081</v>
      </c>
      <c r="D21" s="1252" t="s">
        <v>1081</v>
      </c>
      <c r="E21" s="1252" t="s">
        <v>1081</v>
      </c>
      <c r="F21" s="1252" t="s">
        <v>1081</v>
      </c>
      <c r="G21" s="1252" t="s">
        <v>1081</v>
      </c>
      <c r="H21" s="1252" t="s">
        <v>1081</v>
      </c>
      <c r="I21" s="1252" t="s">
        <v>1081</v>
      </c>
      <c r="J21" s="1252" t="s">
        <v>1081</v>
      </c>
      <c r="K21" s="1252" t="s">
        <v>1081</v>
      </c>
      <c r="L21" s="1252" t="s">
        <v>1081</v>
      </c>
      <c r="M21" s="1252" t="s">
        <v>1081</v>
      </c>
      <c r="N21" s="1252" t="s">
        <v>1081</v>
      </c>
      <c r="O21" s="1252" t="s">
        <v>1081</v>
      </c>
      <c r="P21" s="1252" t="s">
        <v>1081</v>
      </c>
      <c r="Q21" s="1252" t="s">
        <v>1081</v>
      </c>
      <c r="R21" s="1252" t="s">
        <v>1081</v>
      </c>
      <c r="S21" s="1252" t="s">
        <v>1081</v>
      </c>
      <c r="T21" s="1253" t="s">
        <v>1081</v>
      </c>
    </row>
    <row r="22" spans="1:28">
      <c r="A22" s="1162"/>
      <c r="B22" s="1163" t="s">
        <v>1642</v>
      </c>
      <c r="C22" s="1252">
        <v>-10927.8</v>
      </c>
      <c r="D22" s="1252">
        <v>-266941.5</v>
      </c>
      <c r="E22" s="1252" t="s">
        <v>1081</v>
      </c>
      <c r="F22" s="1252">
        <v>256013.7</v>
      </c>
      <c r="G22" s="1252">
        <v>10275.5</v>
      </c>
      <c r="H22" s="1252">
        <v>9390.1</v>
      </c>
      <c r="I22" s="1252">
        <v>50169</v>
      </c>
      <c r="J22" s="1252">
        <v>28779.8</v>
      </c>
      <c r="K22" s="1252" t="s">
        <v>1081</v>
      </c>
      <c r="L22" s="1252">
        <v>95681.7</v>
      </c>
      <c r="M22" s="1252">
        <v>5373.7</v>
      </c>
      <c r="N22" s="1252">
        <v>10650.6</v>
      </c>
      <c r="O22" s="1252">
        <v>45693.3</v>
      </c>
      <c r="P22" s="1252" t="s">
        <v>1081</v>
      </c>
      <c r="Q22" s="1252" t="s">
        <v>1081</v>
      </c>
      <c r="R22" s="1252" t="s">
        <v>1081</v>
      </c>
      <c r="S22" s="1252" t="s">
        <v>1081</v>
      </c>
      <c r="T22" s="1253" t="s">
        <v>1081</v>
      </c>
      <c r="V22" s="1148">
        <v>29</v>
      </c>
      <c r="W22" s="1148">
        <f>V22/$V$26</f>
        <v>5.8467741935483868E-2</v>
      </c>
    </row>
    <row r="23" spans="1:28">
      <c r="B23" s="1163" t="s">
        <v>1742</v>
      </c>
      <c r="C23" s="1252" t="s">
        <v>1081</v>
      </c>
      <c r="D23" s="1252" t="s">
        <v>1081</v>
      </c>
      <c r="E23" s="1252" t="s">
        <v>1081</v>
      </c>
      <c r="F23" s="1252" t="s">
        <v>1081</v>
      </c>
      <c r="G23" s="1252" t="s">
        <v>1081</v>
      </c>
      <c r="H23" s="1252" t="s">
        <v>1081</v>
      </c>
      <c r="I23" s="1252" t="s">
        <v>1081</v>
      </c>
      <c r="J23" s="1252" t="s">
        <v>1081</v>
      </c>
      <c r="K23" s="1252" t="s">
        <v>1081</v>
      </c>
      <c r="L23" s="1252" t="s">
        <v>1081</v>
      </c>
      <c r="M23" s="1252" t="s">
        <v>1081</v>
      </c>
      <c r="N23" s="1252" t="s">
        <v>1081</v>
      </c>
      <c r="O23" s="1252" t="s">
        <v>1081</v>
      </c>
      <c r="P23" s="1252" t="s">
        <v>1081</v>
      </c>
      <c r="Q23" s="1252" t="s">
        <v>1081</v>
      </c>
      <c r="R23" s="1252" t="s">
        <v>1081</v>
      </c>
      <c r="S23" s="1252" t="s">
        <v>1081</v>
      </c>
      <c r="T23" s="1253" t="s">
        <v>1081</v>
      </c>
      <c r="V23" s="1148">
        <v>54</v>
      </c>
      <c r="W23" s="1148">
        <f>V23/$V$26</f>
        <v>0.10887096774193548</v>
      </c>
    </row>
    <row r="24" spans="1:28">
      <c r="B24" s="1157" t="s">
        <v>1743</v>
      </c>
      <c r="C24" s="1252">
        <v>-2.0999999999999996</v>
      </c>
      <c r="D24" s="1252" t="s">
        <v>1081</v>
      </c>
      <c r="E24" s="1252" t="s">
        <v>1081</v>
      </c>
      <c r="F24" s="1252" t="s">
        <v>1081</v>
      </c>
      <c r="G24" s="1252" t="s">
        <v>1081</v>
      </c>
      <c r="H24" s="1252" t="s">
        <v>1081</v>
      </c>
      <c r="I24" s="1252" t="s">
        <v>1081</v>
      </c>
      <c r="J24" s="1252" t="s">
        <v>1081</v>
      </c>
      <c r="K24" s="1252" t="s">
        <v>1081</v>
      </c>
      <c r="L24" s="1252" t="s">
        <v>1081</v>
      </c>
      <c r="M24" s="1252" t="s">
        <v>1081</v>
      </c>
      <c r="N24" s="1252" t="s">
        <v>1081</v>
      </c>
      <c r="O24" s="1252" t="s">
        <v>1081</v>
      </c>
      <c r="P24" s="1252" t="s">
        <v>1081</v>
      </c>
      <c r="Q24" s="1252">
        <v>-2.0999999999999996</v>
      </c>
      <c r="R24" s="1252" t="s">
        <v>1081</v>
      </c>
      <c r="S24" s="1252" t="s">
        <v>1081</v>
      </c>
      <c r="T24" s="1253" t="s">
        <v>1081</v>
      </c>
      <c r="V24" s="1148">
        <v>98</v>
      </c>
      <c r="W24" s="1148">
        <f>V24/$V$26</f>
        <v>0.19758064516129031</v>
      </c>
    </row>
    <row r="25" spans="1:28">
      <c r="B25" s="1164" t="s">
        <v>1744</v>
      </c>
      <c r="C25" s="1254">
        <v>47230.5</v>
      </c>
      <c r="D25" s="1254">
        <v>452.5</v>
      </c>
      <c r="E25" s="1252" t="s">
        <v>1081</v>
      </c>
      <c r="F25" s="1254">
        <v>13615.7</v>
      </c>
      <c r="G25" s="1252">
        <v>7968</v>
      </c>
      <c r="H25" s="1252" t="s">
        <v>1081</v>
      </c>
      <c r="I25" s="1252" t="s">
        <v>1081</v>
      </c>
      <c r="J25" s="1252" t="s">
        <v>1081</v>
      </c>
      <c r="K25" s="1252" t="s">
        <v>1081</v>
      </c>
      <c r="L25" s="1252" t="s">
        <v>1081</v>
      </c>
      <c r="M25" s="1252" t="s">
        <v>1081</v>
      </c>
      <c r="N25" s="1252" t="s">
        <v>1081</v>
      </c>
      <c r="O25" s="1252">
        <v>5647.7</v>
      </c>
      <c r="P25" s="1254">
        <v>19479.2</v>
      </c>
      <c r="Q25" s="1252" t="s">
        <v>1081</v>
      </c>
      <c r="R25" s="1254">
        <v>9.6</v>
      </c>
      <c r="S25" s="1254">
        <v>13673.5</v>
      </c>
      <c r="T25" s="1253" t="s">
        <v>1081</v>
      </c>
      <c r="U25" s="1149"/>
      <c r="V25" s="1148">
        <v>315</v>
      </c>
      <c r="W25" s="1148">
        <f>V25/$V$26</f>
        <v>0.63508064516129037</v>
      </c>
    </row>
    <row r="26" spans="1:28">
      <c r="B26" s="1164" t="s">
        <v>1745</v>
      </c>
      <c r="C26" s="1254">
        <v>38719.5</v>
      </c>
      <c r="D26" s="1254">
        <v>1753.9</v>
      </c>
      <c r="E26" s="1252" t="s">
        <v>1081</v>
      </c>
      <c r="F26" s="1252" t="s">
        <v>1081</v>
      </c>
      <c r="G26" s="1252" t="s">
        <v>1081</v>
      </c>
      <c r="H26" s="1252" t="s">
        <v>1081</v>
      </c>
      <c r="I26" s="1252" t="s">
        <v>1081</v>
      </c>
      <c r="J26" s="1252" t="s">
        <v>1081</v>
      </c>
      <c r="K26" s="1252" t="s">
        <v>1081</v>
      </c>
      <c r="L26" s="1252" t="s">
        <v>1081</v>
      </c>
      <c r="M26" s="1252" t="s">
        <v>1081</v>
      </c>
      <c r="N26" s="1252" t="s">
        <v>1081</v>
      </c>
      <c r="O26" s="1252" t="s">
        <v>1081</v>
      </c>
      <c r="P26" s="1254">
        <v>28154.5</v>
      </c>
      <c r="Q26" s="1252" t="s">
        <v>1081</v>
      </c>
      <c r="R26" s="1254">
        <v>798.9</v>
      </c>
      <c r="S26" s="1254">
        <v>8012.2</v>
      </c>
      <c r="T26" s="1253" t="s">
        <v>1081</v>
      </c>
      <c r="U26" s="1149"/>
      <c r="V26" s="1148">
        <f>SUM(V22:V25)</f>
        <v>496</v>
      </c>
      <c r="W26" s="1149"/>
    </row>
    <row r="27" spans="1:28">
      <c r="B27" s="1164" t="s">
        <v>1746</v>
      </c>
      <c r="C27" s="1254">
        <v>472588.5</v>
      </c>
      <c r="D27" s="1252" t="s">
        <v>1081</v>
      </c>
      <c r="E27" s="1252" t="s">
        <v>1081</v>
      </c>
      <c r="F27" s="1254">
        <v>189886.30000000002</v>
      </c>
      <c r="G27" s="1252">
        <v>2307.5</v>
      </c>
      <c r="H27" s="1252">
        <v>7976.7</v>
      </c>
      <c r="I27" s="1252">
        <v>58251.199999999997</v>
      </c>
      <c r="J27" s="1252">
        <v>12960.8</v>
      </c>
      <c r="K27" s="1252">
        <v>189.4</v>
      </c>
      <c r="L27" s="1252">
        <v>60929.8</v>
      </c>
      <c r="M27" s="1252">
        <v>3275.2</v>
      </c>
      <c r="N27" s="1252">
        <v>9958.6</v>
      </c>
      <c r="O27" s="1252">
        <v>34037.1</v>
      </c>
      <c r="P27" s="1254">
        <v>200323.1</v>
      </c>
      <c r="Q27" s="1254">
        <v>1784.3000000000002</v>
      </c>
      <c r="R27" s="1254">
        <v>13207.5</v>
      </c>
      <c r="S27" s="1254">
        <v>67198.3</v>
      </c>
      <c r="T27" s="1255">
        <v>189</v>
      </c>
      <c r="U27" s="1149"/>
      <c r="Z27" s="1149">
        <f>P27-P16</f>
        <v>441346.7</v>
      </c>
      <c r="AA27" s="1148">
        <f>Z27*56</f>
        <v>24715415.199999999</v>
      </c>
    </row>
    <row r="28" spans="1:28">
      <c r="B28" s="1164" t="s">
        <v>1747</v>
      </c>
      <c r="C28" s="1254">
        <v>417127.69999999995</v>
      </c>
      <c r="D28" s="1252" t="s">
        <v>1081</v>
      </c>
      <c r="E28" s="1252" t="s">
        <v>1081</v>
      </c>
      <c r="F28" s="1254">
        <v>135808.9</v>
      </c>
      <c r="G28" s="1252" t="s">
        <v>1081</v>
      </c>
      <c r="H28" s="1252">
        <v>1033.7</v>
      </c>
      <c r="I28" s="1252">
        <v>58251.199999999997</v>
      </c>
      <c r="J28" s="1252">
        <v>12960.8</v>
      </c>
      <c r="K28" s="1252">
        <v>25.8</v>
      </c>
      <c r="L28" s="1252">
        <v>60784.800000000003</v>
      </c>
      <c r="M28" s="1252">
        <v>2655</v>
      </c>
      <c r="N28" s="1252" t="s">
        <v>1081</v>
      </c>
      <c r="O28" s="1252">
        <v>97.6</v>
      </c>
      <c r="P28" s="1254">
        <v>199092.7</v>
      </c>
      <c r="Q28" s="1254">
        <v>1784.3000000000002</v>
      </c>
      <c r="R28" s="1254">
        <v>13207.5</v>
      </c>
      <c r="S28" s="1254">
        <v>67198.3</v>
      </c>
      <c r="T28" s="1255">
        <v>36</v>
      </c>
      <c r="U28" s="1149"/>
      <c r="W28" s="1149">
        <f>SUM(S25:S27)-S13</f>
        <v>93758.399999999994</v>
      </c>
      <c r="AA28" s="1148">
        <f>P16*-1*56/1000000</f>
        <v>13.497321599999999</v>
      </c>
      <c r="AB28" s="1148" t="s">
        <v>1748</v>
      </c>
    </row>
    <row r="29" spans="1:28">
      <c r="B29" s="1165" t="s">
        <v>1749</v>
      </c>
      <c r="C29" s="1254">
        <v>67965.7</v>
      </c>
      <c r="D29" s="1252" t="s">
        <v>1081</v>
      </c>
      <c r="E29" s="1252" t="s">
        <v>1081</v>
      </c>
      <c r="F29" s="1254">
        <v>5794.4000000000005</v>
      </c>
      <c r="G29" s="1252" t="s">
        <v>1081</v>
      </c>
      <c r="H29" s="1252">
        <v>23.5</v>
      </c>
      <c r="I29" s="1252" t="s">
        <v>1081</v>
      </c>
      <c r="J29" s="1252" t="s">
        <v>1081</v>
      </c>
      <c r="K29" s="1252" t="s">
        <v>1081</v>
      </c>
      <c r="L29" s="1252">
        <v>3630</v>
      </c>
      <c r="M29" s="1252">
        <v>2043.3</v>
      </c>
      <c r="N29" s="1252" t="s">
        <v>1081</v>
      </c>
      <c r="O29" s="1252">
        <v>97.6</v>
      </c>
      <c r="P29" s="1254">
        <v>38903.800000000003</v>
      </c>
      <c r="Q29" s="1254">
        <v>269</v>
      </c>
      <c r="R29" s="1254">
        <v>7166.1</v>
      </c>
      <c r="S29" s="1254">
        <v>15832.4</v>
      </c>
      <c r="T29" s="1253" t="s">
        <v>1081</v>
      </c>
      <c r="W29" s="1149"/>
      <c r="AA29" s="1148">
        <f>P27*56/1000000</f>
        <v>11.2180936</v>
      </c>
      <c r="AB29" s="1148" t="s">
        <v>1750</v>
      </c>
    </row>
    <row r="30" spans="1:28">
      <c r="B30" s="1166" t="s">
        <v>1751</v>
      </c>
      <c r="C30" s="1252">
        <v>2365.1000000000004</v>
      </c>
      <c r="D30" s="1252" t="s">
        <v>1081</v>
      </c>
      <c r="E30" s="1252" t="s">
        <v>1081</v>
      </c>
      <c r="F30" s="1252" t="s">
        <v>1081</v>
      </c>
      <c r="G30" s="1252" t="s">
        <v>1081</v>
      </c>
      <c r="H30" s="1252" t="s">
        <v>1081</v>
      </c>
      <c r="I30" s="1252" t="s">
        <v>1081</v>
      </c>
      <c r="J30" s="1252" t="s">
        <v>1081</v>
      </c>
      <c r="K30" s="1252" t="s">
        <v>1081</v>
      </c>
      <c r="L30" s="1252" t="s">
        <v>1081</v>
      </c>
      <c r="M30" s="1252" t="s">
        <v>1081</v>
      </c>
      <c r="N30" s="1252" t="s">
        <v>1081</v>
      </c>
      <c r="O30" s="1252" t="s">
        <v>1081</v>
      </c>
      <c r="P30" s="1252">
        <v>1070.2</v>
      </c>
      <c r="Q30" s="1252" t="s">
        <v>1081</v>
      </c>
      <c r="R30" s="1252" t="s">
        <v>1081</v>
      </c>
      <c r="S30" s="1252">
        <v>1294.9000000000001</v>
      </c>
      <c r="T30" s="1253" t="s">
        <v>1081</v>
      </c>
      <c r="AA30" s="1148">
        <f>F27*65/1000000</f>
        <v>12.342609500000002</v>
      </c>
      <c r="AB30" s="1148" t="s">
        <v>1752</v>
      </c>
    </row>
    <row r="31" spans="1:28">
      <c r="B31" s="1166" t="s">
        <v>1753</v>
      </c>
      <c r="C31" s="1252">
        <v>22995.5</v>
      </c>
      <c r="D31" s="1252" t="s">
        <v>1081</v>
      </c>
      <c r="E31" s="1252" t="s">
        <v>1081</v>
      </c>
      <c r="F31" s="1252">
        <v>85</v>
      </c>
      <c r="G31" s="1252" t="s">
        <v>1081</v>
      </c>
      <c r="H31" s="1252" t="s">
        <v>1081</v>
      </c>
      <c r="I31" s="1252" t="s">
        <v>1081</v>
      </c>
      <c r="J31" s="1252" t="s">
        <v>1081</v>
      </c>
      <c r="K31" s="1252" t="s">
        <v>1081</v>
      </c>
      <c r="L31" s="1252" t="s">
        <v>1081</v>
      </c>
      <c r="M31" s="1252" t="s">
        <v>1081</v>
      </c>
      <c r="N31" s="1252" t="s">
        <v>1081</v>
      </c>
      <c r="O31" s="1252">
        <v>85</v>
      </c>
      <c r="P31" s="1252">
        <v>13917.1</v>
      </c>
      <c r="Q31" s="1252" t="s">
        <v>1081</v>
      </c>
      <c r="R31" s="1252">
        <v>7166.1</v>
      </c>
      <c r="S31" s="1252">
        <v>1827.3</v>
      </c>
      <c r="T31" s="1253" t="s">
        <v>1081</v>
      </c>
    </row>
    <row r="32" spans="1:28">
      <c r="B32" s="1166" t="s">
        <v>1754</v>
      </c>
      <c r="C32" s="1252">
        <v>3361.1</v>
      </c>
      <c r="D32" s="1252" t="s">
        <v>1081</v>
      </c>
      <c r="E32" s="1252" t="s">
        <v>1081</v>
      </c>
      <c r="F32" s="1252">
        <v>123.2</v>
      </c>
      <c r="G32" s="1252" t="s">
        <v>1081</v>
      </c>
      <c r="H32" s="1252" t="s">
        <v>1081</v>
      </c>
      <c r="I32" s="1252" t="s">
        <v>1081</v>
      </c>
      <c r="J32" s="1252" t="s">
        <v>1081</v>
      </c>
      <c r="K32" s="1252" t="s">
        <v>1081</v>
      </c>
      <c r="L32" s="1252" t="s">
        <v>1081</v>
      </c>
      <c r="M32" s="1252">
        <v>123.2</v>
      </c>
      <c r="N32" s="1252" t="s">
        <v>1081</v>
      </c>
      <c r="O32" s="1252" t="s">
        <v>1081</v>
      </c>
      <c r="P32" s="1252">
        <v>74.2</v>
      </c>
      <c r="Q32" s="1252" t="s">
        <v>1081</v>
      </c>
      <c r="R32" s="1252" t="s">
        <v>1081</v>
      </c>
      <c r="S32" s="1252">
        <v>3163.7</v>
      </c>
      <c r="T32" s="1253" t="s">
        <v>1081</v>
      </c>
      <c r="Z32" s="1148" t="s">
        <v>1755</v>
      </c>
      <c r="AA32" s="1148" t="s">
        <v>62</v>
      </c>
    </row>
    <row r="33" spans="2:28">
      <c r="B33" s="1166" t="s">
        <v>1756</v>
      </c>
      <c r="C33" s="1252">
        <v>12373.6</v>
      </c>
      <c r="D33" s="1252" t="s">
        <v>1081</v>
      </c>
      <c r="E33" s="1252" t="s">
        <v>1081</v>
      </c>
      <c r="F33" s="1252">
        <v>148.6</v>
      </c>
      <c r="G33" s="1252" t="s">
        <v>1081</v>
      </c>
      <c r="H33" s="1252" t="s">
        <v>1081</v>
      </c>
      <c r="I33" s="1252" t="s">
        <v>1081</v>
      </c>
      <c r="J33" s="1252" t="s">
        <v>1081</v>
      </c>
      <c r="K33" s="1252" t="s">
        <v>1081</v>
      </c>
      <c r="L33" s="1252">
        <v>4.3</v>
      </c>
      <c r="M33" s="1252">
        <v>131.69999999999999</v>
      </c>
      <c r="N33" s="1252" t="s">
        <v>1081</v>
      </c>
      <c r="O33" s="1252">
        <v>12.6</v>
      </c>
      <c r="P33" s="1252">
        <v>10460.299999999999</v>
      </c>
      <c r="Q33" s="1252" t="s">
        <v>1081</v>
      </c>
      <c r="R33" s="1252" t="s">
        <v>1081</v>
      </c>
      <c r="S33" s="1252">
        <v>1764.7</v>
      </c>
      <c r="T33" s="1253" t="s">
        <v>1081</v>
      </c>
      <c r="Z33" s="1148">
        <f>AA33*56/1000</f>
        <v>11.920669600000002</v>
      </c>
      <c r="AA33" s="1149">
        <f>(-1*P16-P26)/1000</f>
        <v>212.8691</v>
      </c>
      <c r="AB33" s="1148" t="s">
        <v>1757</v>
      </c>
    </row>
    <row r="34" spans="2:28">
      <c r="B34" s="1166" t="s">
        <v>1758</v>
      </c>
      <c r="C34" s="1252">
        <v>21.5</v>
      </c>
      <c r="D34" s="1252" t="s">
        <v>1081</v>
      </c>
      <c r="E34" s="1252" t="s">
        <v>1081</v>
      </c>
      <c r="F34" s="1252">
        <v>4.3</v>
      </c>
      <c r="G34" s="1252" t="s">
        <v>1081</v>
      </c>
      <c r="H34" s="1252" t="s">
        <v>1081</v>
      </c>
      <c r="I34" s="1252" t="s">
        <v>1081</v>
      </c>
      <c r="J34" s="1252" t="s">
        <v>1081</v>
      </c>
      <c r="K34" s="1252" t="s">
        <v>1081</v>
      </c>
      <c r="L34" s="1252">
        <v>4.3</v>
      </c>
      <c r="M34" s="1252" t="s">
        <v>1081</v>
      </c>
      <c r="N34" s="1252" t="s">
        <v>1081</v>
      </c>
      <c r="O34" s="1252" t="s">
        <v>1081</v>
      </c>
      <c r="P34" s="1252">
        <v>7.8</v>
      </c>
      <c r="Q34" s="1252" t="s">
        <v>1081</v>
      </c>
      <c r="R34" s="1252" t="s">
        <v>1081</v>
      </c>
      <c r="S34" s="1252">
        <v>9.4</v>
      </c>
      <c r="T34" s="1253" t="s">
        <v>1081</v>
      </c>
      <c r="Z34" s="1148">
        <f>AA34*65/1000</f>
        <v>0.71030700000000002</v>
      </c>
      <c r="AA34" s="1149">
        <f>C22/-1000</f>
        <v>10.9278</v>
      </c>
      <c r="AB34" s="1148" t="s">
        <v>1759</v>
      </c>
    </row>
    <row r="35" spans="2:28">
      <c r="B35" s="1166" t="s">
        <v>1010</v>
      </c>
      <c r="C35" s="1252">
        <v>1481.5</v>
      </c>
      <c r="D35" s="1252" t="s">
        <v>1081</v>
      </c>
      <c r="E35" s="1252" t="s">
        <v>1081</v>
      </c>
      <c r="F35" s="1252">
        <v>26</v>
      </c>
      <c r="G35" s="1252" t="s">
        <v>1081</v>
      </c>
      <c r="H35" s="1252">
        <v>4.7</v>
      </c>
      <c r="I35" s="1252" t="s">
        <v>1081</v>
      </c>
      <c r="J35" s="1252" t="s">
        <v>1081</v>
      </c>
      <c r="K35" s="1252" t="s">
        <v>1081</v>
      </c>
      <c r="L35" s="1252">
        <v>4.3</v>
      </c>
      <c r="M35" s="1252">
        <v>17</v>
      </c>
      <c r="N35" s="1252" t="s">
        <v>1081</v>
      </c>
      <c r="O35" s="1252" t="s">
        <v>1081</v>
      </c>
      <c r="P35" s="1252">
        <v>703.1</v>
      </c>
      <c r="Q35" s="1252" t="s">
        <v>1081</v>
      </c>
      <c r="R35" s="1252" t="s">
        <v>1081</v>
      </c>
      <c r="S35" s="1252">
        <v>752.4</v>
      </c>
      <c r="T35" s="1253" t="s">
        <v>1081</v>
      </c>
      <c r="Z35" s="1148">
        <f>AA35*56/1000</f>
        <v>11.2180936</v>
      </c>
      <c r="AA35" s="1149">
        <f>P27/1000</f>
        <v>200.32310000000001</v>
      </c>
      <c r="AB35" s="1148" t="s">
        <v>1760</v>
      </c>
    </row>
    <row r="36" spans="2:28">
      <c r="B36" s="1167" t="s">
        <v>948</v>
      </c>
      <c r="C36" s="1252">
        <v>1162.8999999999999</v>
      </c>
      <c r="D36" s="1252" t="s">
        <v>1081</v>
      </c>
      <c r="E36" s="1252" t="s">
        <v>1081</v>
      </c>
      <c r="F36" s="1252">
        <v>328.79999999999995</v>
      </c>
      <c r="G36" s="1252" t="s">
        <v>1081</v>
      </c>
      <c r="H36" s="1252">
        <v>4.7</v>
      </c>
      <c r="I36" s="1252" t="s">
        <v>1081</v>
      </c>
      <c r="J36" s="1252" t="s">
        <v>1081</v>
      </c>
      <c r="K36" s="1252" t="s">
        <v>1081</v>
      </c>
      <c r="L36" s="1252">
        <v>319.89999999999998</v>
      </c>
      <c r="M36" s="1252">
        <v>4.2</v>
      </c>
      <c r="N36" s="1252" t="s">
        <v>1081</v>
      </c>
      <c r="O36" s="1252" t="s">
        <v>1081</v>
      </c>
      <c r="P36" s="1252">
        <v>441.4</v>
      </c>
      <c r="Q36" s="1252" t="s">
        <v>1081</v>
      </c>
      <c r="R36" s="1252" t="s">
        <v>1081</v>
      </c>
      <c r="S36" s="1252">
        <v>392.7</v>
      </c>
      <c r="T36" s="1253" t="s">
        <v>1081</v>
      </c>
      <c r="Z36" s="1148">
        <f>AA36*65/1000</f>
        <v>12.3426095</v>
      </c>
      <c r="AA36" s="1149">
        <f>F27/1000</f>
        <v>189.88630000000001</v>
      </c>
      <c r="AB36" s="1148" t="s">
        <v>1761</v>
      </c>
    </row>
    <row r="37" spans="2:28">
      <c r="B37" s="1167" t="s">
        <v>1762</v>
      </c>
      <c r="C37" s="1252">
        <v>12769.2</v>
      </c>
      <c r="D37" s="1252" t="s">
        <v>1081</v>
      </c>
      <c r="E37" s="1252" t="s">
        <v>1081</v>
      </c>
      <c r="F37" s="1252">
        <v>289.60000000000002</v>
      </c>
      <c r="G37" s="1252" t="s">
        <v>1081</v>
      </c>
      <c r="H37" s="1252">
        <v>4.7</v>
      </c>
      <c r="I37" s="1252" t="s">
        <v>1081</v>
      </c>
      <c r="J37" s="1252" t="s">
        <v>1081</v>
      </c>
      <c r="K37" s="1252" t="s">
        <v>1081</v>
      </c>
      <c r="L37" s="1252">
        <v>89.5</v>
      </c>
      <c r="M37" s="1252">
        <v>195.4</v>
      </c>
      <c r="N37" s="1252" t="s">
        <v>1081</v>
      </c>
      <c r="O37" s="1252" t="s">
        <v>1081</v>
      </c>
      <c r="P37" s="1252">
        <v>9593.1</v>
      </c>
      <c r="Q37" s="1252">
        <v>258.5</v>
      </c>
      <c r="R37" s="1252" t="s">
        <v>1081</v>
      </c>
      <c r="S37" s="1252">
        <v>2628</v>
      </c>
      <c r="T37" s="1253" t="s">
        <v>1081</v>
      </c>
      <c r="Z37" s="1168">
        <f>SUM(Z33:Z36)</f>
        <v>36.191679700000002</v>
      </c>
      <c r="AA37" s="1169">
        <f>SUM(AA33:AA36)</f>
        <v>614.00630000000001</v>
      </c>
      <c r="AB37" s="1168" t="s">
        <v>1763</v>
      </c>
    </row>
    <row r="38" spans="2:28">
      <c r="B38" s="1167" t="s">
        <v>1764</v>
      </c>
      <c r="C38" s="1252">
        <v>361.2</v>
      </c>
      <c r="D38" s="1252" t="s">
        <v>1081</v>
      </c>
      <c r="E38" s="1252" t="s">
        <v>1081</v>
      </c>
      <c r="F38" s="1252" t="s">
        <v>1081</v>
      </c>
      <c r="G38" s="1252" t="s">
        <v>1081</v>
      </c>
      <c r="H38" s="1252" t="s">
        <v>1081</v>
      </c>
      <c r="I38" s="1252" t="s">
        <v>1081</v>
      </c>
      <c r="J38" s="1252" t="s">
        <v>1081</v>
      </c>
      <c r="K38" s="1252" t="s">
        <v>1081</v>
      </c>
      <c r="L38" s="1252" t="s">
        <v>1081</v>
      </c>
      <c r="M38" s="1252" t="s">
        <v>1081</v>
      </c>
      <c r="N38" s="1252" t="s">
        <v>1081</v>
      </c>
      <c r="O38" s="1252" t="s">
        <v>1081</v>
      </c>
      <c r="P38" s="1252">
        <v>97.7</v>
      </c>
      <c r="Q38" s="1252" t="s">
        <v>1081</v>
      </c>
      <c r="R38" s="1252" t="s">
        <v>1081</v>
      </c>
      <c r="S38" s="1252">
        <v>263.5</v>
      </c>
      <c r="T38" s="1253" t="s">
        <v>1081</v>
      </c>
      <c r="Z38" s="1148">
        <f>AA38*56*24/1000</f>
        <v>37.839648000000004</v>
      </c>
      <c r="AA38" s="1149">
        <f>P26/1000</f>
        <v>28.154499999999999</v>
      </c>
      <c r="AB38" s="1148" t="s">
        <v>1765</v>
      </c>
    </row>
    <row r="39" spans="2:28">
      <c r="B39" s="1166" t="s">
        <v>1766</v>
      </c>
      <c r="C39" s="1252">
        <v>159.4</v>
      </c>
      <c r="D39" s="1252" t="s">
        <v>1081</v>
      </c>
      <c r="E39" s="1252" t="s">
        <v>1081</v>
      </c>
      <c r="F39" s="1252" t="s">
        <v>1081</v>
      </c>
      <c r="G39" s="1252" t="s">
        <v>1081</v>
      </c>
      <c r="H39" s="1252" t="s">
        <v>1081</v>
      </c>
      <c r="I39" s="1252" t="s">
        <v>1081</v>
      </c>
      <c r="J39" s="1252" t="s">
        <v>1081</v>
      </c>
      <c r="K39" s="1252" t="s">
        <v>1081</v>
      </c>
      <c r="L39" s="1252" t="s">
        <v>1081</v>
      </c>
      <c r="M39" s="1252" t="s">
        <v>1081</v>
      </c>
      <c r="N39" s="1252" t="s">
        <v>1081</v>
      </c>
      <c r="O39" s="1252" t="s">
        <v>1081</v>
      </c>
      <c r="P39" s="1252">
        <v>3.9</v>
      </c>
      <c r="Q39" s="1252" t="s">
        <v>1081</v>
      </c>
      <c r="R39" s="1252" t="s">
        <v>1081</v>
      </c>
      <c r="S39" s="1252">
        <v>155.5</v>
      </c>
      <c r="T39" s="1253" t="s">
        <v>1081</v>
      </c>
      <c r="Z39" s="1169">
        <f>SUM(Z37:Z38)</f>
        <v>74.031327700000006</v>
      </c>
      <c r="AA39" s="1169">
        <f>SUM(AA37:AA38)</f>
        <v>642.16079999999999</v>
      </c>
      <c r="AB39" s="1168" t="s">
        <v>1767</v>
      </c>
    </row>
    <row r="40" spans="2:28">
      <c r="B40" s="1167" t="s">
        <v>1768</v>
      </c>
      <c r="C40" s="1252">
        <v>1170.0999999999999</v>
      </c>
      <c r="D40" s="1252" t="s">
        <v>1081</v>
      </c>
      <c r="E40" s="1252" t="s">
        <v>1081</v>
      </c>
      <c r="F40" s="1252">
        <v>30.3</v>
      </c>
      <c r="G40" s="1252" t="s">
        <v>1081</v>
      </c>
      <c r="H40" s="1252">
        <v>4.7</v>
      </c>
      <c r="I40" s="1252" t="s">
        <v>1081</v>
      </c>
      <c r="J40" s="1252" t="s">
        <v>1081</v>
      </c>
      <c r="K40" s="1252" t="s">
        <v>1081</v>
      </c>
      <c r="L40" s="1252">
        <v>25.6</v>
      </c>
      <c r="M40" s="1252" t="s">
        <v>1081</v>
      </c>
      <c r="N40" s="1252" t="s">
        <v>1081</v>
      </c>
      <c r="O40" s="1252" t="s">
        <v>1081</v>
      </c>
      <c r="P40" s="1252">
        <v>519.5</v>
      </c>
      <c r="Q40" s="1252" t="s">
        <v>1081</v>
      </c>
      <c r="R40" s="1252" t="s">
        <v>1081</v>
      </c>
      <c r="S40" s="1252">
        <v>620.29999999999995</v>
      </c>
      <c r="T40" s="1253" t="s">
        <v>1081</v>
      </c>
    </row>
    <row r="41" spans="2:28">
      <c r="B41" s="1167" t="s">
        <v>1000</v>
      </c>
      <c r="C41" s="1252">
        <v>8683.7999999999993</v>
      </c>
      <c r="D41" s="1252" t="s">
        <v>1081</v>
      </c>
      <c r="E41" s="1252" t="s">
        <v>1081</v>
      </c>
      <c r="F41" s="1252">
        <v>4707.5</v>
      </c>
      <c r="G41" s="1252" t="s">
        <v>1081</v>
      </c>
      <c r="H41" s="1252">
        <v>4.7</v>
      </c>
      <c r="I41" s="1252" t="s">
        <v>1081</v>
      </c>
      <c r="J41" s="1252" t="s">
        <v>1081</v>
      </c>
      <c r="K41" s="1252" t="s">
        <v>1081</v>
      </c>
      <c r="L41" s="1252">
        <v>3135.2</v>
      </c>
      <c r="M41" s="1252">
        <v>1567.6</v>
      </c>
      <c r="N41" s="1252" t="s">
        <v>1081</v>
      </c>
      <c r="O41" s="1252" t="s">
        <v>1081</v>
      </c>
      <c r="P41" s="1252">
        <v>1562.4</v>
      </c>
      <c r="Q41" s="1252">
        <v>10.5</v>
      </c>
      <c r="R41" s="1252" t="s">
        <v>1081</v>
      </c>
      <c r="S41" s="1252">
        <v>2403.4</v>
      </c>
      <c r="T41" s="1253" t="s">
        <v>1081</v>
      </c>
    </row>
    <row r="42" spans="2:28">
      <c r="B42" s="1166" t="s">
        <v>1769</v>
      </c>
      <c r="C42" s="1252">
        <v>1060.8000000000002</v>
      </c>
      <c r="D42" s="1252" t="s">
        <v>1081</v>
      </c>
      <c r="E42" s="1252" t="s">
        <v>1081</v>
      </c>
      <c r="F42" s="1252">
        <v>51.1</v>
      </c>
      <c r="G42" s="1252" t="s">
        <v>1081</v>
      </c>
      <c r="H42" s="1252" t="s">
        <v>1081</v>
      </c>
      <c r="I42" s="1252" t="s">
        <v>1081</v>
      </c>
      <c r="J42" s="1252" t="s">
        <v>1081</v>
      </c>
      <c r="K42" s="1252" t="s">
        <v>1081</v>
      </c>
      <c r="L42" s="1252">
        <v>46.9</v>
      </c>
      <c r="M42" s="1252">
        <v>4.2</v>
      </c>
      <c r="N42" s="1252" t="s">
        <v>1081</v>
      </c>
      <c r="O42" s="1252" t="s">
        <v>1081</v>
      </c>
      <c r="P42" s="1252">
        <v>453.1</v>
      </c>
      <c r="Q42" s="1252" t="s">
        <v>1081</v>
      </c>
      <c r="R42" s="1252" t="s">
        <v>1081</v>
      </c>
      <c r="S42" s="1252">
        <v>556.6</v>
      </c>
      <c r="T42" s="1253" t="s">
        <v>1081</v>
      </c>
      <c r="AA42" s="1148" t="s">
        <v>1770</v>
      </c>
    </row>
    <row r="43" spans="2:28">
      <c r="B43" s="1170" t="s">
        <v>994</v>
      </c>
      <c r="C43" s="1254">
        <v>116855.90000000001</v>
      </c>
      <c r="D43" s="1252" t="s">
        <v>1081</v>
      </c>
      <c r="E43" s="1252" t="s">
        <v>1081</v>
      </c>
      <c r="F43" s="1254">
        <v>115375.30000000002</v>
      </c>
      <c r="G43" s="1252" t="s">
        <v>1081</v>
      </c>
      <c r="H43" s="1252">
        <v>848.9</v>
      </c>
      <c r="I43" s="1252">
        <v>58030.9</v>
      </c>
      <c r="J43" s="1252">
        <v>12960.8</v>
      </c>
      <c r="K43" s="1252">
        <v>4.3</v>
      </c>
      <c r="L43" s="1252">
        <v>43513.4</v>
      </c>
      <c r="M43" s="1252">
        <v>17</v>
      </c>
      <c r="N43" s="1252" t="s">
        <v>1081</v>
      </c>
      <c r="O43" s="1252" t="s">
        <v>1081</v>
      </c>
      <c r="P43" s="1254">
        <v>23.4</v>
      </c>
      <c r="Q43" s="1254">
        <v>2.1</v>
      </c>
      <c r="R43" s="1252" t="s">
        <v>1081</v>
      </c>
      <c r="S43" s="1254">
        <v>1427.4</v>
      </c>
      <c r="T43" s="1255">
        <v>27.7</v>
      </c>
      <c r="AA43" s="1148">
        <v>14.3</v>
      </c>
      <c r="AB43" s="1148" t="s">
        <v>1695</v>
      </c>
    </row>
    <row r="44" spans="2:28">
      <c r="B44" s="1167" t="s">
        <v>1771</v>
      </c>
      <c r="C44" s="1252">
        <v>100725.3</v>
      </c>
      <c r="D44" s="1252" t="s">
        <v>1081</v>
      </c>
      <c r="E44" s="1252" t="s">
        <v>1081</v>
      </c>
      <c r="F44" s="1252">
        <v>100725.3</v>
      </c>
      <c r="G44" s="1252" t="s">
        <v>1081</v>
      </c>
      <c r="H44" s="1252">
        <v>848.9</v>
      </c>
      <c r="I44" s="1252">
        <v>58030.9</v>
      </c>
      <c r="J44" s="1252" t="s">
        <v>1081</v>
      </c>
      <c r="K44" s="1252" t="s">
        <v>1081</v>
      </c>
      <c r="L44" s="1252">
        <v>41845.5</v>
      </c>
      <c r="M44" s="1252" t="s">
        <v>1081</v>
      </c>
      <c r="N44" s="1252" t="s">
        <v>1081</v>
      </c>
      <c r="O44" s="1252" t="s">
        <v>1081</v>
      </c>
      <c r="P44" s="1252" t="s">
        <v>1081</v>
      </c>
      <c r="Q44" s="1252" t="s">
        <v>1081</v>
      </c>
      <c r="R44" s="1252" t="s">
        <v>1081</v>
      </c>
      <c r="S44" s="1252" t="s">
        <v>1081</v>
      </c>
      <c r="T44" s="1253" t="s">
        <v>1081</v>
      </c>
      <c r="AA44" s="1148">
        <v>6.94</v>
      </c>
      <c r="AB44" s="1148" t="s">
        <v>1772</v>
      </c>
    </row>
    <row r="45" spans="2:28">
      <c r="B45" s="1166" t="s">
        <v>992</v>
      </c>
      <c r="C45" s="1252">
        <v>1543</v>
      </c>
      <c r="D45" s="1252" t="s">
        <v>1081</v>
      </c>
      <c r="E45" s="1252" t="s">
        <v>1081</v>
      </c>
      <c r="F45" s="1252">
        <v>349.7</v>
      </c>
      <c r="G45" s="1252" t="s">
        <v>1081</v>
      </c>
      <c r="H45" s="1252" t="s">
        <v>1081</v>
      </c>
      <c r="I45" s="1252" t="s">
        <v>1081</v>
      </c>
      <c r="J45" s="1252" t="s">
        <v>1081</v>
      </c>
      <c r="K45" s="1252" t="s">
        <v>1081</v>
      </c>
      <c r="L45" s="1252">
        <v>345.5</v>
      </c>
      <c r="M45" s="1252">
        <v>4.2</v>
      </c>
      <c r="N45" s="1252" t="s">
        <v>1081</v>
      </c>
      <c r="O45" s="1252" t="s">
        <v>1081</v>
      </c>
      <c r="P45" s="1252" t="s">
        <v>1081</v>
      </c>
      <c r="Q45" s="1252">
        <v>2.1</v>
      </c>
      <c r="R45" s="1252" t="s">
        <v>1081</v>
      </c>
      <c r="S45" s="1252">
        <v>1163.5</v>
      </c>
      <c r="T45" s="1253">
        <v>27.7</v>
      </c>
      <c r="AA45" s="1148">
        <v>6.7</v>
      </c>
      <c r="AB45" s="1148" t="s">
        <v>1773</v>
      </c>
    </row>
    <row r="46" spans="2:28">
      <c r="B46" s="1167" t="s">
        <v>986</v>
      </c>
      <c r="C46" s="1252">
        <v>12977.999999999998</v>
      </c>
      <c r="D46" s="1252" t="s">
        <v>1081</v>
      </c>
      <c r="E46" s="1252" t="s">
        <v>1081</v>
      </c>
      <c r="F46" s="1252">
        <v>12977.999999999998</v>
      </c>
      <c r="G46" s="1252" t="s">
        <v>1081</v>
      </c>
      <c r="H46" s="1252" t="s">
        <v>1081</v>
      </c>
      <c r="I46" s="1252" t="s">
        <v>1081</v>
      </c>
      <c r="J46" s="1252">
        <v>12960.8</v>
      </c>
      <c r="K46" s="1252">
        <v>4.3</v>
      </c>
      <c r="L46" s="1252">
        <v>12.9</v>
      </c>
      <c r="M46" s="1252" t="s">
        <v>1081</v>
      </c>
      <c r="N46" s="1252" t="s">
        <v>1081</v>
      </c>
      <c r="O46" s="1252" t="s">
        <v>1081</v>
      </c>
      <c r="P46" s="1252" t="s">
        <v>1081</v>
      </c>
      <c r="Q46" s="1252" t="s">
        <v>1081</v>
      </c>
      <c r="R46" s="1252" t="s">
        <v>1081</v>
      </c>
      <c r="S46" s="1252" t="s">
        <v>1081</v>
      </c>
      <c r="T46" s="1253" t="s">
        <v>1081</v>
      </c>
      <c r="AA46" s="1148">
        <v>6.5</v>
      </c>
      <c r="AB46" s="1148" t="s">
        <v>994</v>
      </c>
    </row>
    <row r="47" spans="2:28">
      <c r="B47" s="1167" t="s">
        <v>1774</v>
      </c>
      <c r="C47" s="1252">
        <v>1309.5</v>
      </c>
      <c r="D47" s="1252" t="s">
        <v>1081</v>
      </c>
      <c r="E47" s="1252" t="s">
        <v>1081</v>
      </c>
      <c r="F47" s="1252">
        <v>1309.5</v>
      </c>
      <c r="G47" s="1252" t="s">
        <v>1081</v>
      </c>
      <c r="H47" s="1252" t="s">
        <v>1081</v>
      </c>
      <c r="I47" s="1252" t="s">
        <v>1081</v>
      </c>
      <c r="J47" s="1252" t="s">
        <v>1081</v>
      </c>
      <c r="K47" s="1252" t="s">
        <v>1081</v>
      </c>
      <c r="L47" s="1252">
        <v>1309.5</v>
      </c>
      <c r="M47" s="1252" t="s">
        <v>1081</v>
      </c>
      <c r="N47" s="1252" t="s">
        <v>1081</v>
      </c>
      <c r="O47" s="1252" t="s">
        <v>1081</v>
      </c>
      <c r="P47" s="1252" t="s">
        <v>1081</v>
      </c>
      <c r="Q47" s="1252" t="s">
        <v>1081</v>
      </c>
      <c r="R47" s="1252" t="s">
        <v>1081</v>
      </c>
      <c r="S47" s="1252" t="s">
        <v>1081</v>
      </c>
      <c r="T47" s="1253" t="s">
        <v>1081</v>
      </c>
      <c r="AA47" s="1148">
        <v>3.92</v>
      </c>
      <c r="AB47" s="1148" t="s">
        <v>56</v>
      </c>
    </row>
    <row r="48" spans="2:28">
      <c r="B48" s="1167" t="s">
        <v>982</v>
      </c>
      <c r="C48" s="1252">
        <v>287.29999999999995</v>
      </c>
      <c r="D48" s="1252" t="s">
        <v>1081</v>
      </c>
      <c r="E48" s="1252" t="s">
        <v>1081</v>
      </c>
      <c r="F48" s="1252" t="s">
        <v>1081</v>
      </c>
      <c r="G48" s="1252" t="s">
        <v>1081</v>
      </c>
      <c r="H48" s="1252" t="s">
        <v>1081</v>
      </c>
      <c r="I48" s="1252" t="s">
        <v>1081</v>
      </c>
      <c r="J48" s="1252" t="s">
        <v>1081</v>
      </c>
      <c r="K48" s="1252" t="s">
        <v>1081</v>
      </c>
      <c r="L48" s="1252" t="s">
        <v>1081</v>
      </c>
      <c r="M48" s="1252" t="s">
        <v>1081</v>
      </c>
      <c r="N48" s="1252" t="s">
        <v>1081</v>
      </c>
      <c r="O48" s="1252" t="s">
        <v>1081</v>
      </c>
      <c r="P48" s="1252">
        <v>23.4</v>
      </c>
      <c r="Q48" s="1252" t="s">
        <v>1081</v>
      </c>
      <c r="R48" s="1252" t="s">
        <v>1081</v>
      </c>
      <c r="S48" s="1252">
        <v>263.89999999999998</v>
      </c>
      <c r="T48" s="1253" t="s">
        <v>1081</v>
      </c>
      <c r="AA48" s="1148">
        <v>2.8</v>
      </c>
      <c r="AB48" s="1148" t="s">
        <v>1775</v>
      </c>
    </row>
    <row r="49" spans="2:28" ht="27.6">
      <c r="B49" s="1171" t="s">
        <v>1776</v>
      </c>
      <c r="C49" s="1252">
        <v>12.8</v>
      </c>
      <c r="D49" s="1252" t="s">
        <v>1081</v>
      </c>
      <c r="E49" s="1252" t="s">
        <v>1081</v>
      </c>
      <c r="F49" s="1252">
        <v>12.8</v>
      </c>
      <c r="G49" s="1252" t="s">
        <v>1081</v>
      </c>
      <c r="H49" s="1252" t="s">
        <v>1081</v>
      </c>
      <c r="I49" s="1252" t="s">
        <v>1081</v>
      </c>
      <c r="J49" s="1252" t="s">
        <v>1081</v>
      </c>
      <c r="K49" s="1252" t="s">
        <v>1081</v>
      </c>
      <c r="L49" s="1252" t="s">
        <v>1081</v>
      </c>
      <c r="M49" s="1252">
        <v>12.8</v>
      </c>
      <c r="N49" s="1252" t="s">
        <v>1081</v>
      </c>
      <c r="O49" s="1252" t="s">
        <v>1081</v>
      </c>
      <c r="P49" s="1252" t="s">
        <v>1081</v>
      </c>
      <c r="Q49" s="1252" t="s">
        <v>1081</v>
      </c>
      <c r="R49" s="1252" t="s">
        <v>1081</v>
      </c>
      <c r="S49" s="1252" t="s">
        <v>1081</v>
      </c>
      <c r="T49" s="1253" t="s">
        <v>1081</v>
      </c>
      <c r="AA49" s="1148">
        <v>1.7</v>
      </c>
      <c r="AB49" s="1148" t="s">
        <v>1022</v>
      </c>
    </row>
    <row r="50" spans="2:28">
      <c r="B50" s="1170" t="s">
        <v>1777</v>
      </c>
      <c r="C50" s="1254">
        <v>232306.1</v>
      </c>
      <c r="D50" s="1252" t="s">
        <v>1081</v>
      </c>
      <c r="E50" s="1252" t="s">
        <v>1081</v>
      </c>
      <c r="F50" s="1254">
        <v>14639.2</v>
      </c>
      <c r="G50" s="1252" t="s">
        <v>1081</v>
      </c>
      <c r="H50" s="1252">
        <v>161.30000000000001</v>
      </c>
      <c r="I50" s="1252">
        <v>220.3</v>
      </c>
      <c r="J50" s="1252" t="s">
        <v>1081</v>
      </c>
      <c r="K50" s="1252">
        <v>21.5</v>
      </c>
      <c r="L50" s="1252">
        <v>13641.4</v>
      </c>
      <c r="M50" s="1252">
        <v>594.70000000000005</v>
      </c>
      <c r="N50" s="1252" t="s">
        <v>1081</v>
      </c>
      <c r="O50" s="1252" t="s">
        <v>1081</v>
      </c>
      <c r="P50" s="1254">
        <v>160165.5</v>
      </c>
      <c r="Q50" s="1254">
        <v>1513.2</v>
      </c>
      <c r="R50" s="1254">
        <v>6041.4</v>
      </c>
      <c r="S50" s="1254">
        <v>49938.5</v>
      </c>
      <c r="T50" s="1255">
        <v>8.3000000000000007</v>
      </c>
      <c r="AA50" s="1148">
        <v>1.36</v>
      </c>
      <c r="AB50" s="1148" t="s">
        <v>1778</v>
      </c>
    </row>
    <row r="51" spans="2:28">
      <c r="B51" s="1166" t="s">
        <v>1779</v>
      </c>
      <c r="C51" s="1252">
        <v>21730.699999999997</v>
      </c>
      <c r="D51" s="1252" t="s">
        <v>1081</v>
      </c>
      <c r="E51" s="1252" t="s">
        <v>1081</v>
      </c>
      <c r="F51" s="1252">
        <v>13511.1</v>
      </c>
      <c r="G51" s="1252" t="s">
        <v>1081</v>
      </c>
      <c r="H51" s="1252">
        <v>9.5</v>
      </c>
      <c r="I51" s="1252">
        <v>190.1</v>
      </c>
      <c r="J51" s="1252" t="s">
        <v>1081</v>
      </c>
      <c r="K51" s="1252" t="s">
        <v>1081</v>
      </c>
      <c r="L51" s="1252">
        <v>12971.7</v>
      </c>
      <c r="M51" s="1252">
        <v>339.8</v>
      </c>
      <c r="N51" s="1252" t="s">
        <v>1081</v>
      </c>
      <c r="O51" s="1252" t="s">
        <v>1081</v>
      </c>
      <c r="P51" s="1252">
        <v>4085.7</v>
      </c>
      <c r="Q51" s="1252">
        <v>12.6</v>
      </c>
      <c r="R51" s="1252" t="s">
        <v>1081</v>
      </c>
      <c r="S51" s="1252">
        <v>4121.3</v>
      </c>
      <c r="T51" s="1253" t="s">
        <v>1081</v>
      </c>
      <c r="AA51" s="1148">
        <v>0.7</v>
      </c>
      <c r="AB51" s="1148" t="s">
        <v>1780</v>
      </c>
    </row>
    <row r="52" spans="2:28">
      <c r="B52" s="1167" t="s">
        <v>1781</v>
      </c>
      <c r="C52" s="1252">
        <v>51900.800000000003</v>
      </c>
      <c r="D52" s="1252" t="s">
        <v>1081</v>
      </c>
      <c r="E52" s="1252" t="s">
        <v>1081</v>
      </c>
      <c r="F52" s="1252">
        <v>636.6</v>
      </c>
      <c r="G52" s="1252" t="s">
        <v>1081</v>
      </c>
      <c r="H52" s="1252">
        <v>19</v>
      </c>
      <c r="I52" s="1252" t="s">
        <v>1081</v>
      </c>
      <c r="J52" s="1252" t="s">
        <v>1081</v>
      </c>
      <c r="K52" s="1252">
        <v>17.2</v>
      </c>
      <c r="L52" s="1252">
        <v>345.5</v>
      </c>
      <c r="M52" s="1252">
        <v>254.9</v>
      </c>
      <c r="N52" s="1252" t="s">
        <v>1081</v>
      </c>
      <c r="O52" s="1252" t="s">
        <v>1081</v>
      </c>
      <c r="P52" s="1252">
        <v>26521.7</v>
      </c>
      <c r="Q52" s="1252">
        <v>1042.5</v>
      </c>
      <c r="R52" s="1252">
        <v>979.3</v>
      </c>
      <c r="S52" s="1252">
        <v>22712.400000000001</v>
      </c>
      <c r="T52" s="1253">
        <v>8.3000000000000007</v>
      </c>
      <c r="AA52" s="1148">
        <v>-8.4700000000000006</v>
      </c>
      <c r="AB52" s="1148" t="s">
        <v>1782</v>
      </c>
    </row>
    <row r="53" spans="2:28">
      <c r="B53" s="1167" t="s">
        <v>1783</v>
      </c>
      <c r="C53" s="1252">
        <v>158674.6</v>
      </c>
      <c r="D53" s="1252" t="s">
        <v>1081</v>
      </c>
      <c r="E53" s="1252" t="s">
        <v>1081</v>
      </c>
      <c r="F53" s="1252">
        <v>491.5</v>
      </c>
      <c r="G53" s="1252" t="s">
        <v>1081</v>
      </c>
      <c r="H53" s="1252">
        <v>132.80000000000001</v>
      </c>
      <c r="I53" s="1252">
        <v>30.2</v>
      </c>
      <c r="J53" s="1252" t="s">
        <v>1081</v>
      </c>
      <c r="K53" s="1252">
        <v>4.3</v>
      </c>
      <c r="L53" s="1252">
        <v>324.2</v>
      </c>
      <c r="M53" s="1252" t="s">
        <v>1081</v>
      </c>
      <c r="N53" s="1252" t="s">
        <v>1081</v>
      </c>
      <c r="O53" s="1252" t="s">
        <v>1081</v>
      </c>
      <c r="P53" s="1252">
        <v>129558.1</v>
      </c>
      <c r="Q53" s="1252">
        <v>458.1</v>
      </c>
      <c r="R53" s="1252">
        <v>5062.1000000000004</v>
      </c>
      <c r="S53" s="1252">
        <v>23104.799999999999</v>
      </c>
      <c r="T53" s="1253" t="s">
        <v>1081</v>
      </c>
      <c r="AA53" s="1148">
        <f>SUM(AA43:AA52)</f>
        <v>36.450000000000003</v>
      </c>
      <c r="AB53" s="1148" t="s">
        <v>1784</v>
      </c>
    </row>
    <row r="54" spans="2:28">
      <c r="B54" s="1167" t="s">
        <v>1785</v>
      </c>
      <c r="C54" s="1252" t="s">
        <v>1081</v>
      </c>
      <c r="D54" s="1252" t="s">
        <v>1081</v>
      </c>
      <c r="E54" s="1252" t="s">
        <v>1081</v>
      </c>
      <c r="F54" s="1252" t="s">
        <v>1081</v>
      </c>
      <c r="G54" s="1252" t="s">
        <v>1081</v>
      </c>
      <c r="H54" s="1252" t="s">
        <v>1081</v>
      </c>
      <c r="I54" s="1252" t="s">
        <v>1081</v>
      </c>
      <c r="J54" s="1252" t="s">
        <v>1081</v>
      </c>
      <c r="K54" s="1252" t="s">
        <v>1081</v>
      </c>
      <c r="L54" s="1252" t="s">
        <v>1081</v>
      </c>
      <c r="M54" s="1252" t="s">
        <v>1081</v>
      </c>
      <c r="N54" s="1252" t="s">
        <v>1081</v>
      </c>
      <c r="O54" s="1252" t="s">
        <v>1081</v>
      </c>
      <c r="P54" s="1252" t="s">
        <v>1081</v>
      </c>
      <c r="Q54" s="1252" t="s">
        <v>1081</v>
      </c>
      <c r="R54" s="1252" t="s">
        <v>1081</v>
      </c>
      <c r="S54" s="1252" t="s">
        <v>1081</v>
      </c>
      <c r="T54" s="1253" t="s">
        <v>1081</v>
      </c>
      <c r="AA54" s="1148">
        <f>AA43+AA45+AA46+AA48+AA49+AA50+AA51</f>
        <v>34.06</v>
      </c>
      <c r="AB54" s="1148" t="s">
        <v>1786</v>
      </c>
    </row>
    <row r="55" spans="2:28" ht="14.4" thickBot="1">
      <c r="B55" s="1172" t="s">
        <v>1787</v>
      </c>
      <c r="C55" s="1256">
        <v>55460.800000000003</v>
      </c>
      <c r="D55" s="1257" t="s">
        <v>1081</v>
      </c>
      <c r="E55" s="1257" t="s">
        <v>1081</v>
      </c>
      <c r="F55" s="1256">
        <v>54077.4</v>
      </c>
      <c r="G55" s="1257">
        <v>2307.5</v>
      </c>
      <c r="H55" s="1257">
        <v>6943</v>
      </c>
      <c r="I55" s="1257" t="s">
        <v>1081</v>
      </c>
      <c r="J55" s="1257" t="s">
        <v>1081</v>
      </c>
      <c r="K55" s="1257">
        <v>163.6</v>
      </c>
      <c r="L55" s="1257">
        <v>145</v>
      </c>
      <c r="M55" s="1257">
        <v>620.20000000000005</v>
      </c>
      <c r="N55" s="1257">
        <v>9958.6</v>
      </c>
      <c r="O55" s="1257">
        <v>33939.5</v>
      </c>
      <c r="P55" s="1256">
        <v>1230.4000000000001</v>
      </c>
      <c r="Q55" s="1257" t="s">
        <v>1081</v>
      </c>
      <c r="R55" s="1257" t="s">
        <v>1081</v>
      </c>
      <c r="S55" s="1257" t="s">
        <v>1081</v>
      </c>
      <c r="T55" s="1258">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5546875" defaultRowHeight="13.2"/>
  <cols>
    <col min="1" max="16384" width="11.5546875" style="602"/>
  </cols>
  <sheetData>
    <row r="1" spans="1:2" ht="15">
      <c r="A1" s="1123" t="s">
        <v>1628</v>
      </c>
      <c r="B1" s="1124" t="s">
        <v>1629</v>
      </c>
    </row>
    <row r="2" spans="1:2" ht="15">
      <c r="A2" s="1125"/>
      <c r="B2" s="1126"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35" bestFit="1" customWidth="1"/>
    <col min="2" max="25" width="13.44140625" style="1235" customWidth="1"/>
    <col min="26" max="26" width="16.33203125" style="1235" customWidth="1"/>
    <col min="27" max="16384" width="9.109375" style="1235"/>
  </cols>
  <sheetData>
    <row r="1" spans="1:26" ht="26.25" customHeight="1">
      <c r="A1" s="1232" t="s">
        <v>1834</v>
      </c>
      <c r="B1" s="1233" t="s">
        <v>1835</v>
      </c>
      <c r="C1" s="1233" t="s">
        <v>1836</v>
      </c>
      <c r="D1" s="1233" t="s">
        <v>1837</v>
      </c>
      <c r="E1" s="1233" t="s">
        <v>1838</v>
      </c>
      <c r="F1" s="1233" t="s">
        <v>1839</v>
      </c>
      <c r="G1" s="1233" t="s">
        <v>1840</v>
      </c>
      <c r="H1" s="1233" t="s">
        <v>1841</v>
      </c>
      <c r="I1" s="1233" t="s">
        <v>1842</v>
      </c>
      <c r="J1" s="1233" t="s">
        <v>1843</v>
      </c>
      <c r="K1" s="1233" t="s">
        <v>1844</v>
      </c>
      <c r="L1" s="1233" t="s">
        <v>1845</v>
      </c>
      <c r="M1" s="1233" t="s">
        <v>1846</v>
      </c>
      <c r="N1" s="1233" t="s">
        <v>1847</v>
      </c>
      <c r="O1" s="1233" t="s">
        <v>1848</v>
      </c>
      <c r="P1" s="1233" t="s">
        <v>1849</v>
      </c>
      <c r="Q1" s="1233" t="s">
        <v>1850</v>
      </c>
      <c r="R1" s="1233" t="s">
        <v>1851</v>
      </c>
      <c r="S1" s="1233" t="s">
        <v>1852</v>
      </c>
      <c r="T1" s="1233" t="s">
        <v>1853</v>
      </c>
      <c r="U1" s="1233" t="s">
        <v>1854</v>
      </c>
      <c r="V1" s="1233" t="s">
        <v>958</v>
      </c>
      <c r="W1" s="1233" t="s">
        <v>957</v>
      </c>
      <c r="X1" s="1233" t="s">
        <v>956</v>
      </c>
      <c r="Y1" s="1233" t="s">
        <v>955</v>
      </c>
      <c r="Z1" s="1234" t="str">
        <f ca="1">"Change from " &amp; B1 &amp; " to " &amp; INDIRECT(ADDRESS(1,COLUMN()-1))</f>
        <v>Change from 1990 to 2013</v>
      </c>
    </row>
    <row r="2" spans="1:26" ht="12.75" customHeight="1">
      <c r="A2" s="1236" t="s">
        <v>1855</v>
      </c>
      <c r="B2" s="1237"/>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row>
    <row r="3" spans="1:26" ht="13.5" customHeight="1">
      <c r="A3" s="1238" t="s">
        <v>1856</v>
      </c>
      <c r="B3" s="1239">
        <v>55893.73</v>
      </c>
      <c r="C3" s="1239">
        <v>51901.46</v>
      </c>
      <c r="D3" s="1239">
        <v>44546.68</v>
      </c>
      <c r="E3" s="1239">
        <v>39136.42</v>
      </c>
      <c r="F3" s="1239">
        <v>34272.68</v>
      </c>
      <c r="G3" s="1239">
        <v>36561.35</v>
      </c>
      <c r="H3" s="1239">
        <v>29965.84</v>
      </c>
      <c r="I3" s="1239">
        <v>28935.02</v>
      </c>
      <c r="J3" s="1239">
        <v>28567.01</v>
      </c>
      <c r="K3" s="1239">
        <v>27869.25</v>
      </c>
      <c r="L3" s="1239">
        <v>29010.240000000002</v>
      </c>
      <c r="M3" s="1239">
        <v>28243.15</v>
      </c>
      <c r="N3" s="1239">
        <v>28031.43</v>
      </c>
      <c r="O3" s="1239">
        <v>30733.16</v>
      </c>
      <c r="P3" s="1239">
        <v>33010.79</v>
      </c>
      <c r="Q3" s="1239">
        <v>35472.53</v>
      </c>
      <c r="R3" s="1239">
        <v>34310.57</v>
      </c>
      <c r="S3" s="1239">
        <v>29284.63</v>
      </c>
      <c r="T3" s="1239">
        <v>32283.34</v>
      </c>
      <c r="U3" s="1239">
        <v>26893.1</v>
      </c>
      <c r="V3" s="1239">
        <v>26411.83</v>
      </c>
      <c r="W3" s="1239">
        <v>28083.87</v>
      </c>
      <c r="X3" s="1239">
        <v>29847.75</v>
      </c>
      <c r="Y3" s="1239">
        <v>39228.894202629999</v>
      </c>
      <c r="Z3" s="1240">
        <f t="shared" ref="Z3:Z8" si="0">IFERROR(IF(OR(SECTOR_CHANGE_TOTAL=0,SECTOR_CHANGE_TOTAL=-1),CHAR(150),SECTOR_CHANGE_TOTAL),CHAR(150))</f>
        <v>-0.29815215047143934</v>
      </c>
    </row>
    <row r="4" spans="1:26" ht="13.5" customHeight="1">
      <c r="A4" s="1238" t="s">
        <v>1857</v>
      </c>
      <c r="B4" s="1239">
        <v>-3690</v>
      </c>
      <c r="C4" s="1239">
        <v>-3650</v>
      </c>
      <c r="D4" s="1239">
        <v>-3621</v>
      </c>
      <c r="E4" s="1239">
        <v>-3618</v>
      </c>
      <c r="F4" s="1239">
        <v>-3715</v>
      </c>
      <c r="G4" s="1239">
        <v>-3790</v>
      </c>
      <c r="H4" s="1239">
        <v>-3855</v>
      </c>
      <c r="I4" s="1239">
        <v>-4068</v>
      </c>
      <c r="J4" s="1239">
        <v>-4556</v>
      </c>
      <c r="K4" s="1239">
        <v>-4618</v>
      </c>
      <c r="L4" s="1239">
        <v>-4870</v>
      </c>
      <c r="M4" s="1239">
        <v>-4893</v>
      </c>
      <c r="N4" s="1239">
        <v>-5089</v>
      </c>
      <c r="O4" s="1239">
        <v>-5225</v>
      </c>
      <c r="P4" s="1239">
        <v>-5276</v>
      </c>
      <c r="Q4" s="1239">
        <v>-5349</v>
      </c>
      <c r="R4" s="1239">
        <v>-5353</v>
      </c>
      <c r="S4" s="1239">
        <v>-5438</v>
      </c>
      <c r="T4" s="1239">
        <v>-5383</v>
      </c>
      <c r="U4" s="1239">
        <v>-5360</v>
      </c>
      <c r="V4" s="1239">
        <v>-5410</v>
      </c>
      <c r="W4" s="1239">
        <v>-5435</v>
      </c>
      <c r="X4" s="1239">
        <v>-5442</v>
      </c>
      <c r="Y4" s="1239">
        <v>-6200.0671000000002</v>
      </c>
      <c r="Z4" s="1240">
        <f t="shared" si="0"/>
        <v>0.68023498644986458</v>
      </c>
    </row>
    <row r="5" spans="1:26" ht="13.5" customHeight="1">
      <c r="A5" s="1238" t="s">
        <v>1858</v>
      </c>
      <c r="B5" s="1239">
        <v>52203.73</v>
      </c>
      <c r="C5" s="1239">
        <v>48251.46</v>
      </c>
      <c r="D5" s="1239">
        <v>40925.68</v>
      </c>
      <c r="E5" s="1239">
        <v>35518.42</v>
      </c>
      <c r="F5" s="1239">
        <v>30557.68</v>
      </c>
      <c r="G5" s="1239">
        <v>32771.35</v>
      </c>
      <c r="H5" s="1239">
        <v>26110.84</v>
      </c>
      <c r="I5" s="1239">
        <v>24867.02</v>
      </c>
      <c r="J5" s="1239">
        <v>24011.01</v>
      </c>
      <c r="K5" s="1239">
        <v>23251.25</v>
      </c>
      <c r="L5" s="1239">
        <v>24140.240000000002</v>
      </c>
      <c r="M5" s="1239">
        <v>23350.15</v>
      </c>
      <c r="N5" s="1239">
        <v>22942.43</v>
      </c>
      <c r="O5" s="1239">
        <v>25508.16</v>
      </c>
      <c r="P5" s="1239">
        <v>27734.79</v>
      </c>
      <c r="Q5" s="1239">
        <v>30123.53</v>
      </c>
      <c r="R5" s="1239">
        <v>28957.57</v>
      </c>
      <c r="S5" s="1239">
        <v>23846.63</v>
      </c>
      <c r="T5" s="1239">
        <v>26900.34</v>
      </c>
      <c r="U5" s="1239">
        <v>21533.1</v>
      </c>
      <c r="V5" s="1239">
        <v>21001.83</v>
      </c>
      <c r="W5" s="1239">
        <v>22648.87</v>
      </c>
      <c r="X5" s="1239">
        <v>24405.75</v>
      </c>
      <c r="Y5" s="1239">
        <v>33028.827102629999</v>
      </c>
      <c r="Z5" s="1240">
        <f t="shared" si="0"/>
        <v>-0.36730905813377707</v>
      </c>
    </row>
    <row r="6" spans="1:26" ht="12.75" customHeight="1">
      <c r="A6" s="1238" t="s">
        <v>1859</v>
      </c>
      <c r="B6" s="1239">
        <v>73385.78</v>
      </c>
      <c r="C6" s="1239">
        <v>66568.960000000006</v>
      </c>
      <c r="D6" s="1239">
        <v>57604.85</v>
      </c>
      <c r="E6" s="1239">
        <v>50842.94</v>
      </c>
      <c r="F6" s="1239">
        <v>45065.06</v>
      </c>
      <c r="G6" s="1239">
        <v>47539.94</v>
      </c>
      <c r="H6" s="1239">
        <v>40316.85</v>
      </c>
      <c r="I6" s="1239">
        <v>39318.379999999997</v>
      </c>
      <c r="J6" s="1239">
        <v>38821.97</v>
      </c>
      <c r="K6" s="1239">
        <v>39090.76</v>
      </c>
      <c r="L6" s="1239">
        <v>40624.5</v>
      </c>
      <c r="M6" s="1239">
        <v>40828.82</v>
      </c>
      <c r="N6" s="1239">
        <v>40779.79</v>
      </c>
      <c r="O6" s="1239">
        <v>43684.26</v>
      </c>
      <c r="P6" s="1239">
        <v>46259.96</v>
      </c>
      <c r="Q6" s="1239">
        <v>49322.49</v>
      </c>
      <c r="R6" s="1239">
        <v>49235.65</v>
      </c>
      <c r="S6" s="1239">
        <v>46944.33</v>
      </c>
      <c r="T6" s="1239">
        <v>53779.54</v>
      </c>
      <c r="U6" s="1239">
        <v>48281.83</v>
      </c>
      <c r="V6" s="1239">
        <v>48048.28</v>
      </c>
      <c r="W6" s="1239">
        <v>49128.55</v>
      </c>
      <c r="X6" s="1239">
        <v>51803.95</v>
      </c>
      <c r="Y6" s="1239">
        <v>57994.772961729999</v>
      </c>
      <c r="Z6" s="1240">
        <f t="shared" si="0"/>
        <v>-0.2097273754979507</v>
      </c>
    </row>
    <row r="7" spans="1:26" ht="12.75" customHeight="1">
      <c r="A7" s="1238" t="s">
        <v>1860</v>
      </c>
      <c r="B7" s="1239">
        <v>-3690</v>
      </c>
      <c r="C7" s="1239">
        <v>-3650</v>
      </c>
      <c r="D7" s="1239">
        <v>-3621</v>
      </c>
      <c r="E7" s="1239">
        <v>-3618</v>
      </c>
      <c r="F7" s="1239">
        <v>-3715</v>
      </c>
      <c r="G7" s="1239">
        <v>-3790</v>
      </c>
      <c r="H7" s="1239">
        <v>-3855</v>
      </c>
      <c r="I7" s="1239">
        <v>-4068</v>
      </c>
      <c r="J7" s="1239">
        <v>-4556</v>
      </c>
      <c r="K7" s="1239">
        <v>-4618</v>
      </c>
      <c r="L7" s="1239">
        <v>-4870</v>
      </c>
      <c r="M7" s="1239">
        <v>-4893</v>
      </c>
      <c r="N7" s="1239">
        <v>-5089</v>
      </c>
      <c r="O7" s="1239">
        <v>-5225</v>
      </c>
      <c r="P7" s="1239">
        <v>-5276</v>
      </c>
      <c r="Q7" s="1239">
        <v>-5349</v>
      </c>
      <c r="R7" s="1239">
        <v>-5353</v>
      </c>
      <c r="S7" s="1239">
        <v>-5438</v>
      </c>
      <c r="T7" s="1239">
        <v>-5383</v>
      </c>
      <c r="U7" s="1239">
        <v>-5360</v>
      </c>
      <c r="V7" s="1239">
        <v>-5410</v>
      </c>
      <c r="W7" s="1239">
        <v>-5435</v>
      </c>
      <c r="X7" s="1239">
        <v>-5442</v>
      </c>
      <c r="Y7" s="1239">
        <v>-6198.115675</v>
      </c>
      <c r="Z7" s="1240">
        <f t="shared" si="0"/>
        <v>0.67970614498644988</v>
      </c>
    </row>
    <row r="8" spans="1:26" ht="12.75" customHeight="1">
      <c r="A8" s="1238" t="s">
        <v>1861</v>
      </c>
      <c r="B8" s="1239">
        <v>69695.78</v>
      </c>
      <c r="C8" s="1239">
        <v>62918.96</v>
      </c>
      <c r="D8" s="1239">
        <v>53983.85</v>
      </c>
      <c r="E8" s="1239">
        <v>47224.94</v>
      </c>
      <c r="F8" s="1239">
        <v>41350.06</v>
      </c>
      <c r="G8" s="1239">
        <v>43749.94</v>
      </c>
      <c r="H8" s="1239">
        <v>36461.85</v>
      </c>
      <c r="I8" s="1239">
        <v>35250.379999999997</v>
      </c>
      <c r="J8" s="1239">
        <v>34265.97</v>
      </c>
      <c r="K8" s="1239">
        <v>34472.76</v>
      </c>
      <c r="L8" s="1239">
        <v>35754.5</v>
      </c>
      <c r="M8" s="1239">
        <v>35935.82</v>
      </c>
      <c r="N8" s="1239">
        <v>35690.79</v>
      </c>
      <c r="O8" s="1239">
        <v>38459.26</v>
      </c>
      <c r="P8" s="1239">
        <v>40983.96</v>
      </c>
      <c r="Q8" s="1239">
        <v>43973.49</v>
      </c>
      <c r="R8" s="1239">
        <v>43882.65</v>
      </c>
      <c r="S8" s="1239">
        <v>41506.33</v>
      </c>
      <c r="T8" s="1239">
        <v>48396.54</v>
      </c>
      <c r="U8" s="1239">
        <v>42921.83</v>
      </c>
      <c r="V8" s="1239">
        <v>42638.28</v>
      </c>
      <c r="W8" s="1239">
        <v>43693.55</v>
      </c>
      <c r="X8" s="1239">
        <v>46361.95</v>
      </c>
      <c r="Y8" s="1239">
        <v>51796.657286730006</v>
      </c>
      <c r="Z8" s="1240">
        <f t="shared" si="0"/>
        <v>-0.25681788356870378</v>
      </c>
    </row>
    <row r="9" spans="1:26" ht="12.75" customHeight="1">
      <c r="A9" s="1241"/>
      <c r="B9" s="1242"/>
      <c r="C9" s="1242"/>
      <c r="D9" s="1242"/>
      <c r="E9" s="1242"/>
      <c r="F9" s="1242"/>
      <c r="G9" s="1242"/>
      <c r="H9" s="1242"/>
      <c r="I9" s="1242"/>
      <c r="J9" s="1242"/>
      <c r="K9" s="1242"/>
      <c r="L9" s="1242"/>
      <c r="M9" s="1242"/>
      <c r="N9" s="1242"/>
      <c r="O9" s="1242"/>
      <c r="P9" s="1242"/>
      <c r="Q9" s="1242"/>
      <c r="R9" s="1242"/>
      <c r="S9" s="1242"/>
      <c r="T9" s="1242"/>
      <c r="U9" s="1242"/>
      <c r="V9" s="1242"/>
      <c r="W9" s="1242"/>
      <c r="X9" s="1242"/>
      <c r="Y9" s="1242"/>
      <c r="Z9" s="1242"/>
    </row>
    <row r="10" spans="1:26" ht="12.75" customHeight="1">
      <c r="A10" s="1243" t="s">
        <v>1862</v>
      </c>
      <c r="B10" s="1237"/>
      <c r="C10" s="1237"/>
      <c r="D10" s="1237"/>
      <c r="E10" s="1237"/>
      <c r="F10" s="1237"/>
      <c r="G10" s="1237"/>
      <c r="H10" s="1237"/>
      <c r="I10" s="1237"/>
      <c r="J10" s="1237"/>
      <c r="K10" s="1237"/>
      <c r="L10" s="1237"/>
      <c r="M10" s="1237"/>
      <c r="N10" s="1237"/>
      <c r="O10" s="1237"/>
      <c r="P10" s="1237"/>
      <c r="Q10" s="1237"/>
      <c r="R10" s="1237"/>
      <c r="S10" s="1237"/>
      <c r="T10" s="1237"/>
      <c r="U10" s="1237"/>
      <c r="V10" s="1237"/>
      <c r="W10" s="1237"/>
      <c r="X10" s="1237"/>
      <c r="Y10" s="1237"/>
      <c r="Z10" s="1237"/>
    </row>
    <row r="11" spans="1:26" ht="12.75" customHeight="1">
      <c r="A11" s="1238" t="s">
        <v>1863</v>
      </c>
      <c r="B11" s="1239">
        <v>63869.2</v>
      </c>
      <c r="C11" s="1239">
        <v>59016.45</v>
      </c>
      <c r="D11" s="1239">
        <v>50060.87</v>
      </c>
      <c r="E11" s="1239">
        <v>44111.6</v>
      </c>
      <c r="F11" s="1239">
        <v>39178.78</v>
      </c>
      <c r="G11" s="1239">
        <v>41971.94</v>
      </c>
      <c r="H11" s="1239">
        <v>34645.629999999997</v>
      </c>
      <c r="I11" s="1239">
        <v>33280.11</v>
      </c>
      <c r="J11" s="1239">
        <v>32505.45</v>
      </c>
      <c r="K11" s="1239">
        <v>32082.25</v>
      </c>
      <c r="L11" s="1239">
        <v>32942</v>
      </c>
      <c r="M11" s="1239">
        <v>32664.959999999999</v>
      </c>
      <c r="N11" s="1239">
        <v>32087.73</v>
      </c>
      <c r="O11" s="1239">
        <v>34641.550000000003</v>
      </c>
      <c r="P11" s="1239">
        <v>36653.9</v>
      </c>
      <c r="Q11" s="1239">
        <v>39158.5</v>
      </c>
      <c r="R11" s="1239">
        <v>38591.1</v>
      </c>
      <c r="S11" s="1239">
        <v>35620.6</v>
      </c>
      <c r="T11" s="1239">
        <v>42498</v>
      </c>
      <c r="U11" s="1239">
        <v>37159.199999999997</v>
      </c>
      <c r="V11" s="1239">
        <v>36562.699999999997</v>
      </c>
      <c r="W11" s="1239">
        <v>37456.5</v>
      </c>
      <c r="X11" s="1239">
        <v>39361</v>
      </c>
      <c r="Y11" s="1239">
        <v>49232.161193999993</v>
      </c>
      <c r="Z11" s="1240">
        <f t="shared" ref="Z11:Z46" si="1">IFERROR(IF(OR(SECTOR_CHANGE_TOTAL=0,SECTOR_CHANGE_TOTAL=-1),CHAR(150),SECTOR_CHANGE_TOTAL),CHAR(150))</f>
        <v>-0.22917210182685871</v>
      </c>
    </row>
    <row r="12" spans="1:26" ht="12.75" customHeight="1">
      <c r="A12" s="1244" t="s">
        <v>1864</v>
      </c>
      <c r="B12" s="1239">
        <v>22488</v>
      </c>
      <c r="C12" s="1239">
        <v>21181.54</v>
      </c>
      <c r="D12" s="1239">
        <v>22826.52</v>
      </c>
      <c r="E12" s="1239">
        <v>22370.99</v>
      </c>
      <c r="F12" s="1239">
        <v>16800.580000000002</v>
      </c>
      <c r="G12" s="1239">
        <v>16046.84</v>
      </c>
      <c r="H12" s="1239">
        <v>15900.45</v>
      </c>
      <c r="I12" s="1239">
        <v>15141.64</v>
      </c>
      <c r="J12" s="1239">
        <v>15889.17</v>
      </c>
      <c r="K12" s="1239">
        <v>15845.95</v>
      </c>
      <c r="L12" s="1239">
        <v>16548</v>
      </c>
      <c r="M12" s="1239">
        <v>15541.03</v>
      </c>
      <c r="N12" s="1239">
        <v>14089.38</v>
      </c>
      <c r="O12" s="1239">
        <v>15583.58</v>
      </c>
      <c r="P12" s="1239">
        <v>16956.05</v>
      </c>
      <c r="Q12" s="1239">
        <v>17452</v>
      </c>
      <c r="R12" s="1239">
        <v>17820</v>
      </c>
      <c r="S12" s="1239">
        <v>15473</v>
      </c>
      <c r="T12" s="1239">
        <v>14995</v>
      </c>
      <c r="U12" s="1239">
        <v>12089</v>
      </c>
      <c r="V12" s="1239">
        <v>10748</v>
      </c>
      <c r="W12" s="1239">
        <v>11338</v>
      </c>
      <c r="X12" s="1239">
        <v>12586</v>
      </c>
      <c r="Y12" s="1239">
        <v>16048.509464000001</v>
      </c>
      <c r="Z12" s="1240">
        <f t="shared" si="1"/>
        <v>-0.28635230060476696</v>
      </c>
    </row>
    <row r="13" spans="1:26" ht="12.75" customHeight="1">
      <c r="A13" s="1244" t="s">
        <v>1865</v>
      </c>
      <c r="B13" s="1239">
        <v>17709</v>
      </c>
      <c r="C13" s="1239">
        <v>17508.240000000002</v>
      </c>
      <c r="D13" s="1239">
        <v>10613.57</v>
      </c>
      <c r="E13" s="1239">
        <v>8504.65</v>
      </c>
      <c r="F13" s="1239">
        <v>8042.53</v>
      </c>
      <c r="G13" s="1239">
        <v>10132.549999999999</v>
      </c>
      <c r="H13" s="1239">
        <v>5363.49</v>
      </c>
      <c r="I13" s="1239">
        <v>4903.3100000000004</v>
      </c>
      <c r="J13" s="1239">
        <v>2845.88</v>
      </c>
      <c r="K13" s="1239">
        <v>2882.77</v>
      </c>
      <c r="L13" s="1239">
        <v>2711</v>
      </c>
      <c r="M13" s="1239">
        <v>2401.04</v>
      </c>
      <c r="N13" s="1239">
        <v>3240.5</v>
      </c>
      <c r="O13" s="1239">
        <v>2778.53</v>
      </c>
      <c r="P13" s="1239">
        <v>2259.42</v>
      </c>
      <c r="Q13" s="1239">
        <v>2099</v>
      </c>
      <c r="R13" s="1239">
        <v>2021</v>
      </c>
      <c r="S13" s="1239">
        <v>456</v>
      </c>
      <c r="T13" s="1239">
        <v>2157</v>
      </c>
      <c r="U13" s="1239">
        <v>1237</v>
      </c>
      <c r="V13" s="1239">
        <v>1092</v>
      </c>
      <c r="W13" s="1239">
        <v>1878</v>
      </c>
      <c r="X13" s="1239">
        <v>2385</v>
      </c>
      <c r="Y13" s="1239">
        <v>2423.5107840000001</v>
      </c>
      <c r="Z13" s="1240">
        <f t="shared" si="1"/>
        <v>-0.86314807250550563</v>
      </c>
    </row>
    <row r="14" spans="1:26" ht="12.75" customHeight="1">
      <c r="A14" s="1244" t="s">
        <v>1866</v>
      </c>
      <c r="B14" s="1239">
        <v>5394</v>
      </c>
      <c r="C14" s="1239">
        <v>4701.74</v>
      </c>
      <c r="D14" s="1239">
        <v>3943.9</v>
      </c>
      <c r="E14" s="1239">
        <v>3638.13</v>
      </c>
      <c r="F14" s="1239">
        <v>3182.68</v>
      </c>
      <c r="G14" s="1239">
        <v>2843.22</v>
      </c>
      <c r="H14" s="1239">
        <v>2638.81</v>
      </c>
      <c r="I14" s="1239">
        <v>2446.86</v>
      </c>
      <c r="J14" s="1239">
        <v>2218.4899999999998</v>
      </c>
      <c r="K14" s="1239">
        <v>1362.23</v>
      </c>
      <c r="L14" s="1239">
        <v>2119</v>
      </c>
      <c r="M14" s="1239">
        <v>2330.17</v>
      </c>
      <c r="N14" s="1239">
        <v>2715.16</v>
      </c>
      <c r="O14" s="1239">
        <v>2952.43</v>
      </c>
      <c r="P14" s="1239">
        <v>3734.26</v>
      </c>
      <c r="Q14" s="1239">
        <v>4158</v>
      </c>
      <c r="R14" s="1239">
        <v>4727</v>
      </c>
      <c r="S14" s="1239">
        <v>3729</v>
      </c>
      <c r="T14" s="1239">
        <v>4686</v>
      </c>
      <c r="U14" s="1239">
        <v>4165</v>
      </c>
      <c r="V14" s="1239">
        <v>4861</v>
      </c>
      <c r="W14" s="1239">
        <v>5057</v>
      </c>
      <c r="X14" s="1239">
        <v>5223</v>
      </c>
      <c r="Y14" s="1239">
        <v>7413.3225069999999</v>
      </c>
      <c r="Z14" s="1240">
        <f t="shared" si="1"/>
        <v>0.37436457304412307</v>
      </c>
    </row>
    <row r="15" spans="1:26" ht="12.75" customHeight="1">
      <c r="A15" s="1244" t="s">
        <v>1867</v>
      </c>
      <c r="B15" s="1239">
        <v>8522</v>
      </c>
      <c r="C15" s="1239">
        <v>7507.14</v>
      </c>
      <c r="D15" s="1239">
        <v>6181.43</v>
      </c>
      <c r="E15" s="1239">
        <v>4008.63</v>
      </c>
      <c r="F15" s="1239">
        <v>6002.56</v>
      </c>
      <c r="G15" s="1239">
        <v>6457.36</v>
      </c>
      <c r="H15" s="1239">
        <v>4590.55</v>
      </c>
      <c r="I15" s="1239">
        <v>4396.57</v>
      </c>
      <c r="J15" s="1239">
        <v>3603.51</v>
      </c>
      <c r="K15" s="1239">
        <v>3820.58</v>
      </c>
      <c r="L15" s="1239">
        <v>4864</v>
      </c>
      <c r="M15" s="1239">
        <v>5334.03</v>
      </c>
      <c r="N15" s="1239">
        <v>6161.5</v>
      </c>
      <c r="O15" s="1239">
        <v>6818.77</v>
      </c>
      <c r="P15" s="1239">
        <v>6398.65</v>
      </c>
      <c r="Q15" s="1239">
        <v>7555</v>
      </c>
      <c r="R15" s="1239">
        <v>6461</v>
      </c>
      <c r="S15" s="1239">
        <v>6928</v>
      </c>
      <c r="T15" s="1239">
        <v>8468</v>
      </c>
      <c r="U15" s="1239">
        <v>7877</v>
      </c>
      <c r="V15" s="1239">
        <v>8138</v>
      </c>
      <c r="W15" s="1239">
        <v>7885</v>
      </c>
      <c r="X15" s="1239">
        <v>6852</v>
      </c>
      <c r="Y15" s="1239">
        <v>6827.2096009999996</v>
      </c>
      <c r="Z15" s="1240">
        <f t="shared" si="1"/>
        <v>-0.19887237725885948</v>
      </c>
    </row>
    <row r="16" spans="1:26" ht="12.75" customHeight="1">
      <c r="A16" s="1244" t="s">
        <v>1868</v>
      </c>
      <c r="B16" s="1239">
        <v>743</v>
      </c>
      <c r="C16" s="1239">
        <v>1.45</v>
      </c>
      <c r="D16" s="1239">
        <v>8.18</v>
      </c>
      <c r="E16" s="1239">
        <v>6.51</v>
      </c>
      <c r="F16" s="1239">
        <v>1.45</v>
      </c>
      <c r="G16" s="1239">
        <v>1035.76</v>
      </c>
      <c r="H16" s="1239">
        <v>1407.5</v>
      </c>
      <c r="I16" s="1239">
        <v>1941.74</v>
      </c>
      <c r="J16" s="1239">
        <v>3949.07</v>
      </c>
      <c r="K16" s="1239">
        <v>3906.95</v>
      </c>
      <c r="L16" s="1239">
        <v>2668</v>
      </c>
      <c r="M16" s="1239">
        <v>2414.04</v>
      </c>
      <c r="N16" s="1239">
        <v>1410.37</v>
      </c>
      <c r="O16" s="1239">
        <v>2071.96</v>
      </c>
      <c r="P16" s="1239">
        <v>2883.99</v>
      </c>
      <c r="Q16" s="1239">
        <v>3075</v>
      </c>
      <c r="R16" s="1239">
        <v>2016</v>
      </c>
      <c r="S16" s="1239">
        <v>1210</v>
      </c>
      <c r="T16" s="1239">
        <v>831</v>
      </c>
      <c r="U16" s="1239">
        <v>720</v>
      </c>
      <c r="V16" s="1239">
        <v>537</v>
      </c>
      <c r="W16" s="1239">
        <v>431</v>
      </c>
      <c r="X16" s="1239">
        <v>849</v>
      </c>
      <c r="Y16" s="1239" t="s">
        <v>1869</v>
      </c>
      <c r="Z16" s="1240" t="str">
        <f t="shared" si="1"/>
        <v>–</v>
      </c>
    </row>
    <row r="17" spans="1:26" ht="12.75" customHeight="1">
      <c r="A17" s="1244" t="s">
        <v>1870</v>
      </c>
      <c r="B17" s="1239">
        <v>9013.2000000000007</v>
      </c>
      <c r="C17" s="1239">
        <v>8054.34</v>
      </c>
      <c r="D17" s="1239">
        <v>6419.07</v>
      </c>
      <c r="E17" s="1239">
        <v>5520.69</v>
      </c>
      <c r="F17" s="1239">
        <v>5096.28</v>
      </c>
      <c r="G17" s="1239">
        <v>5403.51</v>
      </c>
      <c r="H17" s="1239">
        <v>4698.33</v>
      </c>
      <c r="I17" s="1239">
        <v>4403.49</v>
      </c>
      <c r="J17" s="1239">
        <v>3952.83</v>
      </c>
      <c r="K17" s="1239">
        <v>4220.37</v>
      </c>
      <c r="L17" s="1239">
        <v>4032</v>
      </c>
      <c r="M17" s="1239">
        <v>4610.55</v>
      </c>
      <c r="N17" s="1239">
        <v>4439.82</v>
      </c>
      <c r="O17" s="1239">
        <v>4399.08</v>
      </c>
      <c r="P17" s="1239">
        <v>4381.2299999999996</v>
      </c>
      <c r="Q17" s="1239">
        <v>4819.5</v>
      </c>
      <c r="R17" s="1239">
        <v>5546.1</v>
      </c>
      <c r="S17" s="1239">
        <v>7824.6</v>
      </c>
      <c r="T17" s="1239">
        <v>11361</v>
      </c>
      <c r="U17" s="1239">
        <v>11071.2</v>
      </c>
      <c r="V17" s="1239">
        <v>11186.7</v>
      </c>
      <c r="W17" s="1239">
        <v>10867.5</v>
      </c>
      <c r="X17" s="1239">
        <v>11466</v>
      </c>
      <c r="Y17" s="1239">
        <v>16519.608838</v>
      </c>
      <c r="Z17" s="1240">
        <f t="shared" si="1"/>
        <v>0.83282395131584774</v>
      </c>
    </row>
    <row r="18" spans="1:26" ht="12.75" customHeight="1">
      <c r="A18" s="1238" t="s">
        <v>1871</v>
      </c>
      <c r="B18" s="1239">
        <v>1402.73</v>
      </c>
      <c r="C18" s="1239">
        <v>1356.69</v>
      </c>
      <c r="D18" s="1239">
        <v>1242</v>
      </c>
      <c r="E18" s="1239">
        <v>800.09</v>
      </c>
      <c r="F18" s="1239">
        <v>430.84</v>
      </c>
      <c r="G18" s="1239">
        <v>171.73</v>
      </c>
      <c r="H18" s="1239">
        <v>112.5</v>
      </c>
      <c r="I18" s="1239">
        <v>148.79</v>
      </c>
      <c r="J18" s="1239">
        <v>98.48</v>
      </c>
      <c r="K18" s="1239">
        <v>84.58</v>
      </c>
      <c r="L18" s="1239">
        <v>552.24</v>
      </c>
      <c r="M18" s="1239">
        <v>699.85</v>
      </c>
      <c r="N18" s="1239">
        <v>910.51</v>
      </c>
      <c r="O18" s="1239">
        <v>1056.93</v>
      </c>
      <c r="P18" s="1239">
        <v>1352.45</v>
      </c>
      <c r="Q18" s="1239">
        <v>1779.53</v>
      </c>
      <c r="R18" s="1239">
        <v>1983.57</v>
      </c>
      <c r="S18" s="1239">
        <v>2301.63</v>
      </c>
      <c r="T18" s="1239">
        <v>2041.34</v>
      </c>
      <c r="U18" s="1239">
        <v>1779.1</v>
      </c>
      <c r="V18" s="1239">
        <v>2102.83</v>
      </c>
      <c r="W18" s="1239">
        <v>2412.87</v>
      </c>
      <c r="X18" s="1239">
        <v>2934.75</v>
      </c>
      <c r="Y18" s="1239">
        <v>1299.61122783</v>
      </c>
      <c r="Z18" s="1240">
        <f t="shared" si="1"/>
        <v>-7.3512915650196436E-2</v>
      </c>
    </row>
    <row r="19" spans="1:26" ht="12.75" customHeight="1">
      <c r="A19" s="1244" t="s">
        <v>1872</v>
      </c>
      <c r="B19" s="1239">
        <v>512.73</v>
      </c>
      <c r="C19" s="1239">
        <v>454.6</v>
      </c>
      <c r="D19" s="1239">
        <v>421.56</v>
      </c>
      <c r="E19" s="1239">
        <v>311.35000000000002</v>
      </c>
      <c r="F19" s="1239">
        <v>222.72</v>
      </c>
      <c r="G19" s="1239">
        <v>96.95</v>
      </c>
      <c r="H19" s="1239">
        <v>108.18</v>
      </c>
      <c r="I19" s="1239">
        <v>146.44999999999999</v>
      </c>
      <c r="J19" s="1239">
        <v>97.1</v>
      </c>
      <c r="K19" s="1239">
        <v>82.83</v>
      </c>
      <c r="L19" s="1239">
        <v>121.18</v>
      </c>
      <c r="M19" s="1239">
        <v>253.11</v>
      </c>
      <c r="N19" s="1239">
        <v>409.57</v>
      </c>
      <c r="O19" s="1239">
        <v>489.07</v>
      </c>
      <c r="P19" s="1239">
        <v>692.38</v>
      </c>
      <c r="Q19" s="1239">
        <v>746.38</v>
      </c>
      <c r="R19" s="1239">
        <v>804.62</v>
      </c>
      <c r="S19" s="1239">
        <v>828.63</v>
      </c>
      <c r="T19" s="1239">
        <v>770.84</v>
      </c>
      <c r="U19" s="1239">
        <v>621.62</v>
      </c>
      <c r="V19" s="1239">
        <v>618.08000000000004</v>
      </c>
      <c r="W19" s="1239">
        <v>688.77</v>
      </c>
      <c r="X19" s="1239">
        <v>961.1</v>
      </c>
      <c r="Y19" s="1239">
        <v>729.78509450000001</v>
      </c>
      <c r="Z19" s="1240">
        <f t="shared" si="1"/>
        <v>0.42333215239989858</v>
      </c>
    </row>
    <row r="20" spans="1:26" ht="12.75" customHeight="1">
      <c r="A20" s="1244" t="s">
        <v>1873</v>
      </c>
      <c r="B20" s="1239"/>
      <c r="C20" s="1239">
        <v>38.1</v>
      </c>
      <c r="D20" s="1239">
        <v>29.1</v>
      </c>
      <c r="E20" s="1239">
        <v>20.399999999999999</v>
      </c>
      <c r="F20" s="1239">
        <v>22.2</v>
      </c>
      <c r="G20" s="1239">
        <v>5.55</v>
      </c>
      <c r="H20" s="1239">
        <v>1.2</v>
      </c>
      <c r="I20" s="1239"/>
      <c r="J20" s="1239"/>
      <c r="K20" s="1239"/>
      <c r="L20" s="1239"/>
      <c r="M20" s="1239"/>
      <c r="N20" s="1239"/>
      <c r="O20" s="1239"/>
      <c r="P20" s="1239"/>
      <c r="Q20" s="1239"/>
      <c r="R20" s="1239"/>
      <c r="S20" s="1239"/>
      <c r="T20" s="1239"/>
      <c r="U20" s="1239"/>
      <c r="V20" s="1239"/>
      <c r="W20" s="1239"/>
      <c r="X20" s="1239"/>
      <c r="Y20" s="1239">
        <v>181.49199999999999</v>
      </c>
      <c r="Z20" s="1240" t="str">
        <f t="shared" si="1"/>
        <v>–</v>
      </c>
    </row>
    <row r="21" spans="1:26" ht="12.75" customHeight="1">
      <c r="A21" s="1244" t="s">
        <v>1874</v>
      </c>
      <c r="B21" s="1239">
        <v>630</v>
      </c>
      <c r="C21" s="1239">
        <v>600</v>
      </c>
      <c r="D21" s="1239">
        <v>595.5</v>
      </c>
      <c r="E21" s="1239">
        <v>337.5</v>
      </c>
      <c r="F21" s="1239">
        <v>55.5</v>
      </c>
      <c r="G21" s="1239">
        <v>3.6</v>
      </c>
      <c r="H21" s="1239">
        <v>1.65</v>
      </c>
      <c r="I21" s="1239">
        <v>1.5</v>
      </c>
      <c r="J21" s="1239">
        <v>0.75</v>
      </c>
      <c r="K21" s="1239">
        <v>0.49</v>
      </c>
      <c r="L21" s="1239">
        <v>0.06</v>
      </c>
      <c r="M21" s="1239">
        <v>6.9</v>
      </c>
      <c r="N21" s="1239">
        <v>49.05</v>
      </c>
      <c r="O21" s="1239">
        <v>84.6</v>
      </c>
      <c r="P21" s="1239">
        <v>135.6</v>
      </c>
      <c r="Q21" s="1239">
        <v>429.15</v>
      </c>
      <c r="R21" s="1239">
        <v>502.95</v>
      </c>
      <c r="S21" s="1239">
        <v>702</v>
      </c>
      <c r="T21" s="1239">
        <v>417.5</v>
      </c>
      <c r="U21" s="1239">
        <v>225.48</v>
      </c>
      <c r="V21" s="1239">
        <v>459.75</v>
      </c>
      <c r="W21" s="1239">
        <v>848.1</v>
      </c>
      <c r="X21" s="1239">
        <v>1033.6500000000001</v>
      </c>
      <c r="Y21" s="1239">
        <v>360.952</v>
      </c>
      <c r="Z21" s="1240">
        <f t="shared" si="1"/>
        <v>-0.42706031746031747</v>
      </c>
    </row>
    <row r="22" spans="1:26" ht="12.75" customHeight="1">
      <c r="A22" s="1244" t="s">
        <v>1875</v>
      </c>
      <c r="B22" s="1239"/>
      <c r="C22" s="1239"/>
      <c r="D22" s="1239"/>
      <c r="E22" s="1239"/>
      <c r="F22" s="1239"/>
      <c r="G22" s="1239"/>
      <c r="H22" s="1239"/>
      <c r="I22" s="1239"/>
      <c r="J22" s="1239"/>
      <c r="K22" s="1239"/>
      <c r="L22" s="1239"/>
      <c r="M22" s="1239"/>
      <c r="N22" s="1239"/>
      <c r="O22" s="1239"/>
      <c r="P22" s="1239"/>
      <c r="Q22" s="1239"/>
      <c r="R22" s="1239"/>
      <c r="S22" s="1239"/>
      <c r="T22" s="1239"/>
      <c r="U22" s="1239"/>
      <c r="V22" s="1239"/>
      <c r="W22" s="1239"/>
      <c r="X22" s="1239"/>
      <c r="Y22" s="1239" t="s">
        <v>1869</v>
      </c>
      <c r="Z22" s="1240" t="str">
        <f t="shared" si="1"/>
        <v>–</v>
      </c>
    </row>
    <row r="23" spans="1:26" ht="12.75" customHeight="1">
      <c r="A23" s="1244" t="s">
        <v>1876</v>
      </c>
      <c r="B23" s="1239"/>
      <c r="C23" s="1239"/>
      <c r="D23" s="1239"/>
      <c r="E23" s="1239"/>
      <c r="F23" s="1239"/>
      <c r="G23" s="1239"/>
      <c r="H23" s="1239"/>
      <c r="I23" s="1239"/>
      <c r="J23" s="1239"/>
      <c r="K23" s="1239"/>
      <c r="L23" s="1239"/>
      <c r="M23" s="1239"/>
      <c r="N23" s="1239"/>
      <c r="O23" s="1239"/>
      <c r="P23" s="1239"/>
      <c r="Q23" s="1239"/>
      <c r="R23" s="1239"/>
      <c r="S23" s="1239"/>
      <c r="T23" s="1239"/>
      <c r="U23" s="1239"/>
      <c r="V23" s="1239"/>
      <c r="W23" s="1239"/>
      <c r="X23" s="1239"/>
      <c r="Y23" s="1239" t="s">
        <v>1869</v>
      </c>
      <c r="Z23" s="1240" t="str">
        <f t="shared" si="1"/>
        <v>–</v>
      </c>
    </row>
    <row r="24" spans="1:26" ht="12.75" customHeight="1">
      <c r="A24" s="1244" t="s">
        <v>1877</v>
      </c>
      <c r="B24" s="1239"/>
      <c r="C24" s="1239"/>
      <c r="D24" s="1239"/>
      <c r="E24" s="1239"/>
      <c r="F24" s="1239"/>
      <c r="G24" s="1239"/>
      <c r="H24" s="1239"/>
      <c r="I24" s="1239"/>
      <c r="J24" s="1239"/>
      <c r="K24" s="1239"/>
      <c r="L24" s="1239"/>
      <c r="M24" s="1239"/>
      <c r="N24" s="1239"/>
      <c r="O24" s="1239"/>
      <c r="P24" s="1239"/>
      <c r="Q24" s="1239"/>
      <c r="R24" s="1239"/>
      <c r="S24" s="1239"/>
      <c r="T24" s="1239"/>
      <c r="U24" s="1239"/>
      <c r="V24" s="1239"/>
      <c r="W24" s="1239"/>
      <c r="X24" s="1239"/>
      <c r="Y24" s="1239">
        <v>1.032</v>
      </c>
      <c r="Z24" s="1240" t="str">
        <f t="shared" si="1"/>
        <v>–</v>
      </c>
    </row>
    <row r="25" spans="1:26" ht="12.75" customHeight="1">
      <c r="A25" s="1244" t="s">
        <v>1878</v>
      </c>
      <c r="B25" s="1239"/>
      <c r="C25" s="1239" t="s">
        <v>1879</v>
      </c>
      <c r="D25" s="1239" t="s">
        <v>1879</v>
      </c>
      <c r="E25" s="1239" t="s">
        <v>1879</v>
      </c>
      <c r="F25" s="1239" t="s">
        <v>1879</v>
      </c>
      <c r="G25" s="1239" t="s">
        <v>1879</v>
      </c>
      <c r="H25" s="1239" t="s">
        <v>1879</v>
      </c>
      <c r="I25" s="1239" t="s">
        <v>1879</v>
      </c>
      <c r="J25" s="1239" t="s">
        <v>1879</v>
      </c>
      <c r="K25" s="1239" t="s">
        <v>1879</v>
      </c>
      <c r="L25" s="1239"/>
      <c r="M25" s="1239" t="s">
        <v>1879</v>
      </c>
      <c r="N25" s="1239" t="s">
        <v>1879</v>
      </c>
      <c r="O25" s="1239" t="s">
        <v>1879</v>
      </c>
      <c r="P25" s="1239" t="s">
        <v>1879</v>
      </c>
      <c r="Q25" s="1239"/>
      <c r="R25" s="1239"/>
      <c r="S25" s="1239"/>
      <c r="T25" s="1239"/>
      <c r="U25" s="1239"/>
      <c r="V25" s="1239"/>
      <c r="W25" s="1239"/>
      <c r="X25" s="1239"/>
      <c r="Y25" s="1239">
        <v>26.350133329999998</v>
      </c>
      <c r="Z25" s="1240" t="str">
        <f t="shared" si="1"/>
        <v>–</v>
      </c>
    </row>
    <row r="26" spans="1:26" ht="12.75" customHeight="1">
      <c r="A26" s="1238" t="s">
        <v>1880</v>
      </c>
      <c r="B26" s="1239"/>
      <c r="C26" s="1239" t="s">
        <v>1879</v>
      </c>
      <c r="D26" s="1239" t="s">
        <v>1879</v>
      </c>
      <c r="E26" s="1239" t="s">
        <v>1879</v>
      </c>
      <c r="F26" s="1239" t="s">
        <v>1879</v>
      </c>
      <c r="G26" s="1239" t="s">
        <v>1879</v>
      </c>
      <c r="H26" s="1239" t="s">
        <v>1879</v>
      </c>
      <c r="I26" s="1239" t="s">
        <v>1879</v>
      </c>
      <c r="J26" s="1239" t="s">
        <v>1879</v>
      </c>
      <c r="K26" s="1239" t="s">
        <v>1879</v>
      </c>
      <c r="L26" s="1239"/>
      <c r="M26" s="1239" t="s">
        <v>1879</v>
      </c>
      <c r="N26" s="1239" t="s">
        <v>1879</v>
      </c>
      <c r="O26" s="1239" t="s">
        <v>1879</v>
      </c>
      <c r="P26" s="1239" t="s">
        <v>1879</v>
      </c>
      <c r="Q26" s="1239"/>
      <c r="R26" s="1239"/>
      <c r="S26" s="1239"/>
      <c r="T26" s="1239"/>
      <c r="U26" s="1239"/>
      <c r="V26" s="1239"/>
      <c r="W26" s="1239"/>
      <c r="X26" s="1239"/>
      <c r="Y26" s="1239" t="s">
        <v>1869</v>
      </c>
      <c r="Z26" s="1240" t="str">
        <f t="shared" si="1"/>
        <v>–</v>
      </c>
    </row>
    <row r="27" spans="1:26" ht="12.75" customHeight="1">
      <c r="A27" s="1238" t="s">
        <v>1881</v>
      </c>
      <c r="B27" s="1239">
        <v>6261.65</v>
      </c>
      <c r="C27" s="1239">
        <v>4495.87</v>
      </c>
      <c r="D27" s="1239">
        <v>4591.53</v>
      </c>
      <c r="E27" s="1239">
        <v>4202.32</v>
      </c>
      <c r="F27" s="1239">
        <v>3711.86</v>
      </c>
      <c r="G27" s="1239">
        <v>3631.48</v>
      </c>
      <c r="H27" s="1239">
        <v>3779.65</v>
      </c>
      <c r="I27" s="1239">
        <v>4099.91</v>
      </c>
      <c r="J27" s="1239">
        <v>4423.8500000000004</v>
      </c>
      <c r="K27" s="1239">
        <v>5124.49</v>
      </c>
      <c r="L27" s="1239">
        <v>5377.26</v>
      </c>
      <c r="M27" s="1239">
        <v>5604.97</v>
      </c>
      <c r="N27" s="1239">
        <v>5896.73</v>
      </c>
      <c r="O27" s="1239">
        <v>6075.55</v>
      </c>
      <c r="P27" s="1239">
        <v>6283.58</v>
      </c>
      <c r="Q27" s="1239">
        <v>6469.46</v>
      </c>
      <c r="R27" s="1239">
        <v>6688.98</v>
      </c>
      <c r="S27" s="1239">
        <v>7003.1</v>
      </c>
      <c r="T27" s="1239">
        <v>7175.2</v>
      </c>
      <c r="U27" s="1239">
        <v>7265.53</v>
      </c>
      <c r="V27" s="1239">
        <v>7243.75</v>
      </c>
      <c r="W27" s="1239">
        <v>7098.18</v>
      </c>
      <c r="X27" s="1239">
        <v>7032.8</v>
      </c>
      <c r="Y27" s="1239">
        <v>6694.2146709999997</v>
      </c>
      <c r="Z27" s="1240">
        <f t="shared" si="1"/>
        <v>6.9081579296191922E-2</v>
      </c>
    </row>
    <row r="28" spans="1:26" ht="12.75" customHeight="1">
      <c r="A28" s="1244" t="s">
        <v>1882</v>
      </c>
      <c r="B28" s="1239">
        <v>2428.86</v>
      </c>
      <c r="C28" s="1239">
        <v>2411.0100000000002</v>
      </c>
      <c r="D28" s="1239">
        <v>2318.19</v>
      </c>
      <c r="E28" s="1239">
        <v>2361.4499999999998</v>
      </c>
      <c r="F28" s="1239">
        <v>2148.09</v>
      </c>
      <c r="G28" s="1239">
        <v>2193.4499999999998</v>
      </c>
      <c r="H28" s="1239">
        <v>2306.64</v>
      </c>
      <c r="I28" s="1239">
        <v>2414.58</v>
      </c>
      <c r="J28" s="1239">
        <v>2512.65</v>
      </c>
      <c r="K28" s="1239">
        <v>2581.7399999999998</v>
      </c>
      <c r="L28" s="1239">
        <v>2711.52</v>
      </c>
      <c r="M28" s="1239">
        <v>2838.99</v>
      </c>
      <c r="N28" s="1239">
        <v>2964.99</v>
      </c>
      <c r="O28" s="1239">
        <v>3059.49</v>
      </c>
      <c r="P28" s="1239">
        <v>3156.72</v>
      </c>
      <c r="Q28" s="1239">
        <v>3227.28</v>
      </c>
      <c r="R28" s="1239">
        <v>3421.95</v>
      </c>
      <c r="S28" s="1239">
        <v>3515.19</v>
      </c>
      <c r="T28" s="1239">
        <v>3708.18</v>
      </c>
      <c r="U28" s="1239">
        <v>3653.79</v>
      </c>
      <c r="V28" s="1239">
        <v>3683.4</v>
      </c>
      <c r="W28" s="1239">
        <v>3582.6</v>
      </c>
      <c r="X28" s="1239">
        <v>3487.05</v>
      </c>
      <c r="Y28" s="1239">
        <v>3712.9785000000002</v>
      </c>
      <c r="Z28" s="1240">
        <f t="shared" si="1"/>
        <v>0.52869185543835373</v>
      </c>
    </row>
    <row r="29" spans="1:26" ht="12.75" customHeight="1">
      <c r="A29" s="1244" t="s">
        <v>1883</v>
      </c>
      <c r="B29" s="1239">
        <v>650.9</v>
      </c>
      <c r="C29" s="1239">
        <v>637.91999999999996</v>
      </c>
      <c r="D29" s="1239">
        <v>617.01</v>
      </c>
      <c r="E29" s="1239">
        <v>536.94000000000005</v>
      </c>
      <c r="F29" s="1239">
        <v>495.86</v>
      </c>
      <c r="G29" s="1239">
        <v>489.34</v>
      </c>
      <c r="H29" s="1239">
        <v>510.87</v>
      </c>
      <c r="I29" s="1239">
        <v>563.14</v>
      </c>
      <c r="J29" s="1239">
        <v>615.62</v>
      </c>
      <c r="K29" s="1239">
        <v>888.99</v>
      </c>
      <c r="L29" s="1239">
        <v>910.89</v>
      </c>
      <c r="M29" s="1239">
        <v>937.78</v>
      </c>
      <c r="N29" s="1239">
        <v>967.77</v>
      </c>
      <c r="O29" s="1239">
        <v>989.46</v>
      </c>
      <c r="P29" s="1239">
        <v>1018.61</v>
      </c>
      <c r="Q29" s="1239">
        <v>1037.99</v>
      </c>
      <c r="R29" s="1239">
        <v>1053.22</v>
      </c>
      <c r="S29" s="1239">
        <v>1077.3800000000001</v>
      </c>
      <c r="T29" s="1239">
        <v>1123.27</v>
      </c>
      <c r="U29" s="1239">
        <v>1104.32</v>
      </c>
      <c r="V29" s="1239">
        <v>1112.04</v>
      </c>
      <c r="W29" s="1239">
        <v>1105.31</v>
      </c>
      <c r="X29" s="1239">
        <v>1020.57</v>
      </c>
      <c r="Y29" s="1239">
        <v>1032.0303799999999</v>
      </c>
      <c r="Z29" s="1240">
        <f t="shared" si="1"/>
        <v>0.58554367798432938</v>
      </c>
    </row>
    <row r="30" spans="1:26" ht="12.75" customHeight="1">
      <c r="A30" s="1244" t="s">
        <v>1884</v>
      </c>
      <c r="B30" s="1239">
        <v>1.05</v>
      </c>
      <c r="C30" s="1239">
        <v>2.1</v>
      </c>
      <c r="D30" s="1239">
        <v>1.89</v>
      </c>
      <c r="E30" s="1239">
        <v>2.52</v>
      </c>
      <c r="F30" s="1239">
        <v>2.1</v>
      </c>
      <c r="G30" s="1239">
        <v>4.2</v>
      </c>
      <c r="H30" s="1239">
        <v>5.04</v>
      </c>
      <c r="I30" s="1239">
        <v>5.25</v>
      </c>
      <c r="J30" s="1239">
        <v>5.25</v>
      </c>
      <c r="K30" s="1239">
        <v>7.56</v>
      </c>
      <c r="L30" s="1239">
        <v>9.4499999999999993</v>
      </c>
      <c r="M30" s="1239">
        <v>7.98</v>
      </c>
      <c r="N30" s="1239">
        <v>7.56</v>
      </c>
      <c r="O30" s="1239">
        <v>6.93</v>
      </c>
      <c r="P30" s="1239">
        <v>5.46</v>
      </c>
      <c r="Q30" s="1239">
        <v>4.83</v>
      </c>
      <c r="R30" s="1239">
        <v>2.52</v>
      </c>
      <c r="S30" s="1239">
        <v>2.31</v>
      </c>
      <c r="T30" s="1239">
        <v>2.73</v>
      </c>
      <c r="U30" s="1239">
        <v>3.57</v>
      </c>
      <c r="V30" s="1239">
        <v>3.36</v>
      </c>
      <c r="W30" s="1239">
        <v>3.36</v>
      </c>
      <c r="X30" s="1239">
        <v>3.36</v>
      </c>
      <c r="Y30" s="1239">
        <v>15.673791</v>
      </c>
      <c r="Z30" s="1240">
        <f t="shared" si="1"/>
        <v>13.927419999999998</v>
      </c>
    </row>
    <row r="31" spans="1:26" ht="12.75" customHeight="1">
      <c r="A31" s="1244" t="s">
        <v>1885</v>
      </c>
      <c r="B31" s="1239">
        <v>3143.4</v>
      </c>
      <c r="C31" s="1239">
        <v>1407.4</v>
      </c>
      <c r="D31" s="1239">
        <v>1630.6</v>
      </c>
      <c r="E31" s="1239">
        <v>1283.4000000000001</v>
      </c>
      <c r="F31" s="1239">
        <v>1047.8</v>
      </c>
      <c r="G31" s="1239">
        <v>926.9</v>
      </c>
      <c r="H31" s="1239">
        <v>939.3</v>
      </c>
      <c r="I31" s="1239">
        <v>1106.7</v>
      </c>
      <c r="J31" s="1239">
        <v>1280.3</v>
      </c>
      <c r="K31" s="1239">
        <v>1636.8</v>
      </c>
      <c r="L31" s="1239">
        <v>1736</v>
      </c>
      <c r="M31" s="1239">
        <v>1810.4</v>
      </c>
      <c r="N31" s="1239">
        <v>1946.8</v>
      </c>
      <c r="O31" s="1239">
        <v>2008.8</v>
      </c>
      <c r="P31" s="1239">
        <v>2089.4</v>
      </c>
      <c r="Q31" s="1239">
        <v>2182.4</v>
      </c>
      <c r="R31" s="1239">
        <v>2208.19</v>
      </c>
      <c r="S31" s="1239">
        <v>2396.3000000000002</v>
      </c>
      <c r="T31" s="1239">
        <v>2331.1999999999998</v>
      </c>
      <c r="U31" s="1239">
        <v>2498.6</v>
      </c>
      <c r="V31" s="1239">
        <v>2436.6</v>
      </c>
      <c r="W31" s="1239">
        <v>2399.4</v>
      </c>
      <c r="X31" s="1239">
        <v>2514.1</v>
      </c>
      <c r="Y31" s="1239">
        <v>1933.5319999999999</v>
      </c>
      <c r="Z31" s="1240">
        <f t="shared" si="1"/>
        <v>-0.38489151873767263</v>
      </c>
    </row>
    <row r="32" spans="1:26" ht="12.75" customHeight="1">
      <c r="A32" s="1244" t="s">
        <v>1886</v>
      </c>
      <c r="B32" s="1239"/>
      <c r="C32" s="1239" t="s">
        <v>1879</v>
      </c>
      <c r="D32" s="1239" t="s">
        <v>1879</v>
      </c>
      <c r="E32" s="1239" t="s">
        <v>1879</v>
      </c>
      <c r="F32" s="1239" t="s">
        <v>1879</v>
      </c>
      <c r="G32" s="1239" t="s">
        <v>1879</v>
      </c>
      <c r="H32" s="1239" t="s">
        <v>1879</v>
      </c>
      <c r="I32" s="1239" t="s">
        <v>1879</v>
      </c>
      <c r="J32" s="1239" t="s">
        <v>1879</v>
      </c>
      <c r="K32" s="1239" t="s">
        <v>1879</v>
      </c>
      <c r="L32" s="1239"/>
      <c r="M32" s="1239" t="s">
        <v>1879</v>
      </c>
      <c r="N32" s="1239" t="s">
        <v>1879</v>
      </c>
      <c r="O32" s="1239" t="s">
        <v>1879</v>
      </c>
      <c r="P32" s="1239" t="s">
        <v>1879</v>
      </c>
      <c r="Q32" s="1239"/>
      <c r="R32" s="1239"/>
      <c r="S32" s="1239"/>
      <c r="T32" s="1239"/>
      <c r="U32" s="1239"/>
      <c r="V32" s="1239"/>
      <c r="W32" s="1239"/>
      <c r="X32" s="1239"/>
      <c r="Y32" s="1239" t="s">
        <v>1879</v>
      </c>
      <c r="Z32" s="1240" t="str">
        <f t="shared" si="1"/>
        <v>–</v>
      </c>
    </row>
    <row r="33" spans="1:26" ht="12.75" customHeight="1">
      <c r="A33" s="1244" t="s">
        <v>1887</v>
      </c>
      <c r="B33" s="1239">
        <v>28.14</v>
      </c>
      <c r="C33" s="1239">
        <v>28.14</v>
      </c>
      <c r="D33" s="1239">
        <v>17.64</v>
      </c>
      <c r="E33" s="1239">
        <v>14.91</v>
      </c>
      <c r="F33" s="1239">
        <v>14.91</v>
      </c>
      <c r="G33" s="1239">
        <v>14.49</v>
      </c>
      <c r="H33" s="1239">
        <v>14.7</v>
      </c>
      <c r="I33" s="1239">
        <v>7.14</v>
      </c>
      <c r="J33" s="1239">
        <v>6.93</v>
      </c>
      <c r="K33" s="1239">
        <v>6.3</v>
      </c>
      <c r="L33" s="1239">
        <v>6.3</v>
      </c>
      <c r="M33" s="1239">
        <v>6.72</v>
      </c>
      <c r="N33" s="1239">
        <v>6.51</v>
      </c>
      <c r="O33" s="1239">
        <v>7.77</v>
      </c>
      <c r="P33" s="1239">
        <v>10.29</v>
      </c>
      <c r="Q33" s="1239">
        <v>13.86</v>
      </c>
      <c r="R33" s="1239"/>
      <c r="S33" s="1239">
        <v>8.82</v>
      </c>
      <c r="T33" s="1239">
        <v>6.72</v>
      </c>
      <c r="U33" s="1239">
        <v>5.25</v>
      </c>
      <c r="V33" s="1239">
        <v>5.25</v>
      </c>
      <c r="W33" s="1239">
        <v>4.41</v>
      </c>
      <c r="X33" s="1239">
        <v>4.62</v>
      </c>
      <c r="Y33" s="1239" t="s">
        <v>1879</v>
      </c>
      <c r="Z33" s="1240" t="str">
        <f t="shared" si="1"/>
        <v>–</v>
      </c>
    </row>
    <row r="34" spans="1:26" ht="12.75" customHeight="1">
      <c r="A34" s="1244" t="s">
        <v>1888</v>
      </c>
      <c r="B34" s="1239">
        <v>9.3000000000000007</v>
      </c>
      <c r="C34" s="1239">
        <v>9.3000000000000007</v>
      </c>
      <c r="D34" s="1239">
        <v>6.2</v>
      </c>
      <c r="E34" s="1239">
        <v>3.1</v>
      </c>
      <c r="F34" s="1239">
        <v>3.1</v>
      </c>
      <c r="G34" s="1239">
        <v>3.1</v>
      </c>
      <c r="H34" s="1239">
        <v>3.1</v>
      </c>
      <c r="I34" s="1239">
        <v>3.1</v>
      </c>
      <c r="J34" s="1239">
        <v>3.1</v>
      </c>
      <c r="K34" s="1239">
        <v>3.1</v>
      </c>
      <c r="L34" s="1239">
        <v>3.1</v>
      </c>
      <c r="M34" s="1239">
        <v>3.1</v>
      </c>
      <c r="N34" s="1239">
        <v>3.1</v>
      </c>
      <c r="O34" s="1239">
        <v>3.1</v>
      </c>
      <c r="P34" s="1239">
        <v>3.1</v>
      </c>
      <c r="Q34" s="1239">
        <v>3.1</v>
      </c>
      <c r="R34" s="1239">
        <v>3.1</v>
      </c>
      <c r="S34" s="1239">
        <v>3.1</v>
      </c>
      <c r="T34" s="1239">
        <v>3.1</v>
      </c>
      <c r="U34" s="1239"/>
      <c r="V34" s="1239">
        <v>3.1</v>
      </c>
      <c r="W34" s="1239">
        <v>3.1</v>
      </c>
      <c r="X34" s="1239">
        <v>3.1</v>
      </c>
      <c r="Y34" s="1239"/>
      <c r="Z34" s="1240" t="str">
        <f t="shared" si="1"/>
        <v>–</v>
      </c>
    </row>
    <row r="35" spans="1:26" ht="12.75" customHeight="1">
      <c r="A35" s="1238" t="s">
        <v>1889</v>
      </c>
      <c r="B35" s="1239">
        <v>-3690</v>
      </c>
      <c r="C35" s="1239">
        <v>-3650</v>
      </c>
      <c r="D35" s="1239">
        <v>-3621</v>
      </c>
      <c r="E35" s="1239">
        <v>-3618</v>
      </c>
      <c r="F35" s="1239">
        <v>-3715</v>
      </c>
      <c r="G35" s="1239">
        <v>-3790</v>
      </c>
      <c r="H35" s="1239">
        <v>-3855</v>
      </c>
      <c r="I35" s="1239">
        <v>-4068</v>
      </c>
      <c r="J35" s="1239">
        <v>-4556</v>
      </c>
      <c r="K35" s="1239">
        <v>-4618</v>
      </c>
      <c r="L35" s="1239">
        <v>-4870</v>
      </c>
      <c r="M35" s="1239">
        <v>-4893</v>
      </c>
      <c r="N35" s="1239">
        <v>-5089</v>
      </c>
      <c r="O35" s="1239">
        <v>-5225</v>
      </c>
      <c r="P35" s="1239">
        <v>-5276</v>
      </c>
      <c r="Q35" s="1239">
        <v>-5349</v>
      </c>
      <c r="R35" s="1239">
        <v>-5353</v>
      </c>
      <c r="S35" s="1239">
        <v>-5438</v>
      </c>
      <c r="T35" s="1239">
        <v>-5383</v>
      </c>
      <c r="U35" s="1239">
        <v>-5360</v>
      </c>
      <c r="V35" s="1239">
        <v>-5410</v>
      </c>
      <c r="W35" s="1239">
        <v>-5435</v>
      </c>
      <c r="X35" s="1239">
        <v>-5442</v>
      </c>
      <c r="Y35" s="1239">
        <v>-6198.115675</v>
      </c>
      <c r="Z35" s="1240">
        <f t="shared" si="1"/>
        <v>0.67970614498644988</v>
      </c>
    </row>
    <row r="36" spans="1:26" ht="12.75" customHeight="1">
      <c r="A36" s="1244" t="s">
        <v>1890</v>
      </c>
      <c r="B36" s="1239">
        <v>-3690</v>
      </c>
      <c r="C36" s="1239"/>
      <c r="D36" s="1239"/>
      <c r="E36" s="1239"/>
      <c r="F36" s="1239"/>
      <c r="G36" s="1239"/>
      <c r="H36" s="1239"/>
      <c r="I36" s="1239"/>
      <c r="J36" s="1239"/>
      <c r="K36" s="1239"/>
      <c r="L36" s="1239">
        <v>-4870</v>
      </c>
      <c r="M36" s="1239"/>
      <c r="N36" s="1239"/>
      <c r="O36" s="1239"/>
      <c r="P36" s="1239"/>
      <c r="Q36" s="1239">
        <v>-5349</v>
      </c>
      <c r="R36" s="1239">
        <v>-5353</v>
      </c>
      <c r="S36" s="1239">
        <v>-5438</v>
      </c>
      <c r="T36" s="1239">
        <v>-5383</v>
      </c>
      <c r="U36" s="1239">
        <v>-5360</v>
      </c>
      <c r="V36" s="1239">
        <v>-5410</v>
      </c>
      <c r="W36" s="1239">
        <v>-5435</v>
      </c>
      <c r="X36" s="1239">
        <v>-5442</v>
      </c>
      <c r="Y36" s="1239">
        <v>-6248.4781999999996</v>
      </c>
      <c r="Z36" s="1240">
        <f t="shared" si="1"/>
        <v>0.69335452574525736</v>
      </c>
    </row>
    <row r="37" spans="1:26" ht="12.75" customHeight="1">
      <c r="A37" s="1244" t="s">
        <v>1891</v>
      </c>
      <c r="B37" s="1239"/>
      <c r="C37" s="1239"/>
      <c r="D37" s="1239"/>
      <c r="E37" s="1239"/>
      <c r="F37" s="1239"/>
      <c r="G37" s="1239"/>
      <c r="H37" s="1239"/>
      <c r="I37" s="1239"/>
      <c r="J37" s="1239"/>
      <c r="K37" s="1239"/>
      <c r="L37" s="1239"/>
      <c r="M37" s="1239"/>
      <c r="N37" s="1239"/>
      <c r="O37" s="1239"/>
      <c r="P37" s="1239"/>
      <c r="Q37" s="1239"/>
      <c r="R37" s="1239"/>
      <c r="S37" s="1239"/>
      <c r="T37" s="1239"/>
      <c r="U37" s="1239"/>
      <c r="V37" s="1239"/>
      <c r="W37" s="1239"/>
      <c r="X37" s="1239"/>
      <c r="Y37" s="1239">
        <v>-1705.8689999999999</v>
      </c>
      <c r="Z37" s="1240" t="str">
        <f t="shared" si="1"/>
        <v>–</v>
      </c>
    </row>
    <row r="38" spans="1:26" ht="12.75" customHeight="1">
      <c r="A38" s="1244" t="s">
        <v>1892</v>
      </c>
      <c r="B38" s="1239"/>
      <c r="C38" s="1239"/>
      <c r="D38" s="1239"/>
      <c r="E38" s="1239"/>
      <c r="F38" s="1239"/>
      <c r="G38" s="1239"/>
      <c r="H38" s="1239"/>
      <c r="I38" s="1239"/>
      <c r="J38" s="1239"/>
      <c r="K38" s="1239"/>
      <c r="L38" s="1239"/>
      <c r="M38" s="1239"/>
      <c r="N38" s="1239"/>
      <c r="O38" s="1239"/>
      <c r="P38" s="1239"/>
      <c r="Q38" s="1239"/>
      <c r="R38" s="1239"/>
      <c r="S38" s="1239"/>
      <c r="T38" s="1239"/>
      <c r="U38" s="1239"/>
      <c r="V38" s="1239"/>
      <c r="W38" s="1239"/>
      <c r="X38" s="1239"/>
      <c r="Y38" s="1239" t="s">
        <v>1879</v>
      </c>
      <c r="Z38" s="1240" t="str">
        <f t="shared" si="1"/>
        <v>–</v>
      </c>
    </row>
    <row r="39" spans="1:26" ht="12.75" customHeight="1">
      <c r="A39" s="1244" t="s">
        <v>1893</v>
      </c>
      <c r="B39" s="1239"/>
      <c r="C39" s="1239"/>
      <c r="D39" s="1239"/>
      <c r="E39" s="1239"/>
      <c r="F39" s="1239"/>
      <c r="G39" s="1239"/>
      <c r="H39" s="1239"/>
      <c r="I39" s="1239"/>
      <c r="J39" s="1239"/>
      <c r="K39" s="1239"/>
      <c r="L39" s="1239"/>
      <c r="M39" s="1239"/>
      <c r="N39" s="1239"/>
      <c r="O39" s="1239"/>
      <c r="P39" s="1239"/>
      <c r="Q39" s="1239"/>
      <c r="R39" s="1239"/>
      <c r="S39" s="1239"/>
      <c r="T39" s="1239"/>
      <c r="U39" s="1239"/>
      <c r="V39" s="1239"/>
      <c r="W39" s="1239"/>
      <c r="X39" s="1239"/>
      <c r="Y39" s="1239">
        <v>1732.7929999999999</v>
      </c>
      <c r="Z39" s="1240" t="str">
        <f t="shared" si="1"/>
        <v>–</v>
      </c>
    </row>
    <row r="40" spans="1:26" ht="12.75" customHeight="1">
      <c r="A40" s="1244" t="s">
        <v>1894</v>
      </c>
      <c r="B40" s="1239"/>
      <c r="C40" s="1239"/>
      <c r="D40" s="1239"/>
      <c r="E40" s="1239"/>
      <c r="F40" s="1239"/>
      <c r="G40" s="1239"/>
      <c r="H40" s="1239"/>
      <c r="I40" s="1239"/>
      <c r="J40" s="1239"/>
      <c r="K40" s="1239"/>
      <c r="L40" s="1239"/>
      <c r="M40" s="1239"/>
      <c r="N40" s="1239"/>
      <c r="O40" s="1239"/>
      <c r="P40" s="1239"/>
      <c r="Q40" s="1239"/>
      <c r="R40" s="1239"/>
      <c r="S40" s="1239"/>
      <c r="T40" s="1239"/>
      <c r="U40" s="1239"/>
      <c r="V40" s="1239"/>
      <c r="W40" s="1239"/>
      <c r="X40" s="1239"/>
      <c r="Y40" s="1239">
        <v>23.438524999999998</v>
      </c>
      <c r="Z40" s="1240" t="str">
        <f t="shared" si="1"/>
        <v>–</v>
      </c>
    </row>
    <row r="41" spans="1:26" ht="12.75" customHeight="1">
      <c r="A41" s="1245" t="s">
        <v>1895</v>
      </c>
      <c r="B41" s="1239">
        <v>1852.2</v>
      </c>
      <c r="C41" s="1239">
        <v>1699.95</v>
      </c>
      <c r="D41" s="1239">
        <v>1710.45</v>
      </c>
      <c r="E41" s="1239">
        <v>1728.93</v>
      </c>
      <c r="F41" s="1239">
        <v>1743.58</v>
      </c>
      <c r="G41" s="1239">
        <v>1764.79</v>
      </c>
      <c r="H41" s="1239">
        <v>1779.07</v>
      </c>
      <c r="I41" s="1239">
        <v>1789.57</v>
      </c>
      <c r="J41" s="1239">
        <v>1794.19</v>
      </c>
      <c r="K41" s="1239">
        <v>1799.44</v>
      </c>
      <c r="L41" s="1239">
        <v>1753</v>
      </c>
      <c r="M41" s="1239">
        <v>1859.04</v>
      </c>
      <c r="N41" s="1239">
        <v>1884.82</v>
      </c>
      <c r="O41" s="1239">
        <v>1910.23</v>
      </c>
      <c r="P41" s="1239">
        <v>1970.03</v>
      </c>
      <c r="Q41" s="1239">
        <v>1915</v>
      </c>
      <c r="R41" s="1239">
        <v>1972</v>
      </c>
      <c r="S41" s="1239">
        <v>2019</v>
      </c>
      <c r="T41" s="1239">
        <v>2065</v>
      </c>
      <c r="U41" s="1239">
        <v>2078</v>
      </c>
      <c r="V41" s="1239">
        <v>2139</v>
      </c>
      <c r="W41" s="1239">
        <v>2161</v>
      </c>
      <c r="X41" s="1239">
        <v>2475.4</v>
      </c>
      <c r="Y41" s="1239">
        <v>768.78586889999997</v>
      </c>
      <c r="Z41" s="1240">
        <f t="shared" si="1"/>
        <v>-0.58493366326530616</v>
      </c>
    </row>
    <row r="42" spans="1:26" ht="12.75" customHeight="1">
      <c r="A42" s="1246" t="s">
        <v>1896</v>
      </c>
      <c r="B42" s="1239"/>
      <c r="C42" s="1239">
        <v>1361.64</v>
      </c>
      <c r="D42" s="1239">
        <v>1370.25</v>
      </c>
      <c r="E42" s="1239">
        <v>1385.79</v>
      </c>
      <c r="F42" s="1239">
        <v>1393.98</v>
      </c>
      <c r="G42" s="1239">
        <v>1413.09</v>
      </c>
      <c r="H42" s="1239">
        <v>1423.17</v>
      </c>
      <c r="I42" s="1239">
        <v>1431.36</v>
      </c>
      <c r="J42" s="1239">
        <v>1432.83</v>
      </c>
      <c r="K42" s="1239">
        <v>1433.67</v>
      </c>
      <c r="L42" s="1239"/>
      <c r="M42" s="1239">
        <v>1463.7</v>
      </c>
      <c r="N42" s="1239">
        <v>1479.03</v>
      </c>
      <c r="O42" s="1239">
        <v>1494.78</v>
      </c>
      <c r="P42" s="1239">
        <v>1537.41</v>
      </c>
      <c r="Q42" s="1239"/>
      <c r="R42" s="1239"/>
      <c r="S42" s="1239"/>
      <c r="T42" s="1239"/>
      <c r="U42" s="1239"/>
      <c r="V42" s="1239"/>
      <c r="W42" s="1239"/>
      <c r="X42" s="1239"/>
      <c r="Y42" s="1239">
        <v>627.91029000000003</v>
      </c>
      <c r="Z42" s="1240" t="str">
        <f t="shared" si="1"/>
        <v>–</v>
      </c>
    </row>
    <row r="43" spans="1:26" ht="12.75" customHeight="1">
      <c r="A43" s="1246" t="s">
        <v>1897</v>
      </c>
      <c r="B43" s="1239">
        <v>223.2</v>
      </c>
      <c r="C43" s="1239">
        <v>338.31</v>
      </c>
      <c r="D43" s="1239">
        <v>340.2</v>
      </c>
      <c r="E43" s="1239">
        <v>343.14</v>
      </c>
      <c r="F43" s="1239">
        <v>349.6</v>
      </c>
      <c r="G43" s="1239">
        <v>351.7</v>
      </c>
      <c r="H43" s="1239">
        <v>355.9</v>
      </c>
      <c r="I43" s="1239">
        <v>358.21</v>
      </c>
      <c r="J43" s="1239">
        <v>361.36</v>
      </c>
      <c r="K43" s="1239">
        <v>365.77</v>
      </c>
      <c r="L43" s="1239"/>
      <c r="M43" s="1239">
        <v>311.64</v>
      </c>
      <c r="N43" s="1239">
        <v>318.99</v>
      </c>
      <c r="O43" s="1239">
        <v>328.65</v>
      </c>
      <c r="P43" s="1239">
        <v>342.72</v>
      </c>
      <c r="Q43" s="1239"/>
      <c r="R43" s="1239"/>
      <c r="S43" s="1239"/>
      <c r="T43" s="1239"/>
      <c r="U43" s="1239"/>
      <c r="V43" s="1239"/>
      <c r="W43" s="1239"/>
      <c r="X43" s="1239">
        <v>291.39999999999998</v>
      </c>
      <c r="Y43" s="1239">
        <v>55.109923999999999</v>
      </c>
      <c r="Z43" s="1240">
        <f t="shared" si="1"/>
        <v>-0.75309173835125442</v>
      </c>
    </row>
    <row r="44" spans="1:26" ht="12.75" customHeight="1">
      <c r="A44" s="1246" t="s">
        <v>1898</v>
      </c>
      <c r="B44" s="1239"/>
      <c r="C44" s="1239"/>
      <c r="D44" s="1239"/>
      <c r="E44" s="1239"/>
      <c r="F44" s="1239"/>
      <c r="G44" s="1239"/>
      <c r="H44" s="1239"/>
      <c r="I44" s="1239"/>
      <c r="J44" s="1239"/>
      <c r="K44" s="1239"/>
      <c r="L44" s="1239"/>
      <c r="M44" s="1239">
        <v>83.7</v>
      </c>
      <c r="N44" s="1239">
        <v>86.8</v>
      </c>
      <c r="O44" s="1239">
        <v>86.8</v>
      </c>
      <c r="P44" s="1239">
        <v>89.9</v>
      </c>
      <c r="Q44" s="1239"/>
      <c r="R44" s="1239"/>
      <c r="S44" s="1239"/>
      <c r="T44" s="1239"/>
      <c r="U44" s="1239"/>
      <c r="V44" s="1239"/>
      <c r="W44" s="1239"/>
      <c r="X44" s="1239"/>
      <c r="Y44" s="1239">
        <v>26.154054899999998</v>
      </c>
      <c r="Z44" s="1240" t="str">
        <f t="shared" si="1"/>
        <v>–</v>
      </c>
    </row>
    <row r="45" spans="1:26" ht="12.75" customHeight="1">
      <c r="A45" s="1246" t="s">
        <v>1899</v>
      </c>
      <c r="B45" s="1239"/>
      <c r="C45" s="1239"/>
      <c r="D45" s="1239"/>
      <c r="E45" s="1239"/>
      <c r="F45" s="1239"/>
      <c r="G45" s="1239"/>
      <c r="H45" s="1239"/>
      <c r="I45" s="1239"/>
      <c r="J45" s="1239"/>
      <c r="K45" s="1239"/>
      <c r="L45" s="1239"/>
      <c r="M45" s="1239"/>
      <c r="N45" s="1239"/>
      <c r="O45" s="1239"/>
      <c r="P45" s="1239"/>
      <c r="Q45" s="1239"/>
      <c r="R45" s="1239"/>
      <c r="S45" s="1239"/>
      <c r="T45" s="1239"/>
      <c r="U45" s="1239"/>
      <c r="V45" s="1239"/>
      <c r="W45" s="1239"/>
      <c r="X45" s="1239"/>
      <c r="Y45" s="1239">
        <v>59.611600000000003</v>
      </c>
      <c r="Z45" s="1240" t="str">
        <f t="shared" si="1"/>
        <v>–</v>
      </c>
    </row>
    <row r="46" spans="1:26" ht="12.75" customHeight="1">
      <c r="A46" s="1245" t="s">
        <v>1900</v>
      </c>
      <c r="B46" s="1239"/>
      <c r="C46" s="1239"/>
      <c r="D46" s="1239"/>
      <c r="E46" s="1239"/>
      <c r="F46" s="1239"/>
      <c r="G46" s="1239"/>
      <c r="H46" s="1239"/>
      <c r="I46" s="1239"/>
      <c r="J46" s="1239"/>
      <c r="K46" s="1239"/>
      <c r="L46" s="1239"/>
      <c r="M46" s="1239"/>
      <c r="N46" s="1239"/>
      <c r="O46" s="1239"/>
      <c r="P46" s="1239"/>
      <c r="Q46" s="1239"/>
      <c r="R46" s="1239"/>
      <c r="S46" s="1239"/>
      <c r="T46" s="1239"/>
      <c r="U46" s="1239"/>
      <c r="V46" s="1239"/>
      <c r="W46" s="1239"/>
      <c r="X46" s="1239"/>
      <c r="Y46" s="1239" t="s">
        <v>1869</v>
      </c>
      <c r="Z46" s="1240" t="str">
        <f t="shared" si="1"/>
        <v>–</v>
      </c>
    </row>
    <row r="47" spans="1:26" ht="26.25" customHeight="1">
      <c r="A47" s="1247" t="s">
        <v>1901</v>
      </c>
      <c r="B47" s="1233" t="str">
        <f t="shared" ref="B47:Y47" ca="1" si="2">IF(COLUMN() &lt;= 2, "", SUBSTITUTE(INDIRECT(ADDRESS(1,COLUMN()-1)), "Base year", "BY") &amp; "/" &amp; INDIRECT(ADDRESS(1,COLUMN())))</f>
        <v/>
      </c>
      <c r="C47" s="1233" t="str">
        <f t="shared" ca="1" si="2"/>
        <v>1990/1991</v>
      </c>
      <c r="D47" s="1233" t="str">
        <f t="shared" ca="1" si="2"/>
        <v>1991/1992</v>
      </c>
      <c r="E47" s="1233" t="str">
        <f t="shared" ca="1" si="2"/>
        <v>1992/1993</v>
      </c>
      <c r="F47" s="1233" t="str">
        <f t="shared" ca="1" si="2"/>
        <v>1993/1994</v>
      </c>
      <c r="G47" s="1233" t="str">
        <f t="shared" ca="1" si="2"/>
        <v>1994/1995</v>
      </c>
      <c r="H47" s="1233" t="str">
        <f t="shared" ca="1" si="2"/>
        <v>1995/1996</v>
      </c>
      <c r="I47" s="1233" t="str">
        <f t="shared" ca="1" si="2"/>
        <v>1996/1997</v>
      </c>
      <c r="J47" s="1233" t="str">
        <f t="shared" ca="1" si="2"/>
        <v>1997/1998</v>
      </c>
      <c r="K47" s="1233" t="str">
        <f t="shared" ca="1" si="2"/>
        <v>1998/1999</v>
      </c>
      <c r="L47" s="1233" t="str">
        <f t="shared" ca="1" si="2"/>
        <v>1999/2000</v>
      </c>
      <c r="M47" s="1233" t="str">
        <f t="shared" ca="1" si="2"/>
        <v>2000/2001</v>
      </c>
      <c r="N47" s="1233" t="str">
        <f t="shared" ca="1" si="2"/>
        <v>2001/2002</v>
      </c>
      <c r="O47" s="1233" t="str">
        <f t="shared" ca="1" si="2"/>
        <v>2002/2003</v>
      </c>
      <c r="P47" s="1233" t="str">
        <f t="shared" ca="1" si="2"/>
        <v>2003/2004</v>
      </c>
      <c r="Q47" s="1233" t="str">
        <f t="shared" ca="1" si="2"/>
        <v>2004/2005</v>
      </c>
      <c r="R47" s="1233" t="str">
        <f t="shared" ca="1" si="2"/>
        <v>2005/2006</v>
      </c>
      <c r="S47" s="1233" t="str">
        <f t="shared" ca="1" si="2"/>
        <v>2006/2007</v>
      </c>
      <c r="T47" s="1233" t="str">
        <f t="shared" ca="1" si="2"/>
        <v>2007/2008</v>
      </c>
      <c r="U47" s="1233" t="str">
        <f t="shared" ca="1" si="2"/>
        <v>2008/2009</v>
      </c>
      <c r="V47" s="1233" t="str">
        <f t="shared" ca="1" si="2"/>
        <v>2009/2010</v>
      </c>
      <c r="W47" s="1233" t="str">
        <f t="shared" ca="1" si="2"/>
        <v>2010/2011</v>
      </c>
      <c r="X47" s="1233" t="str">
        <f t="shared" ca="1" si="2"/>
        <v>2011/2012</v>
      </c>
      <c r="Y47" s="1233" t="str">
        <f t="shared" ca="1" si="2"/>
        <v>2012/2013</v>
      </c>
      <c r="Z47" s="1233" t="str">
        <f ca="1">OFFSET($B$1,0,0,1,1) &amp; "/" &amp; INDIRECT(ADDRESS(1,COLUMN()-1))</f>
        <v>1990/2013</v>
      </c>
    </row>
    <row r="48" spans="1:26" ht="12.75" customHeight="1">
      <c r="A48" s="1236" t="s">
        <v>1855</v>
      </c>
      <c r="B48" s="1237"/>
      <c r="C48" s="1237"/>
      <c r="D48" s="1237"/>
      <c r="E48" s="1237"/>
      <c r="F48" s="1237"/>
      <c r="G48" s="1237"/>
      <c r="H48" s="1237"/>
      <c r="I48" s="1237"/>
      <c r="J48" s="1237"/>
      <c r="K48" s="1237"/>
      <c r="L48" s="1237"/>
      <c r="M48" s="1237"/>
      <c r="N48" s="1237"/>
      <c r="O48" s="1237"/>
      <c r="P48" s="1237"/>
      <c r="Q48" s="1237"/>
      <c r="R48" s="1237"/>
      <c r="S48" s="1237"/>
      <c r="T48" s="1237"/>
      <c r="U48" s="1237"/>
      <c r="V48" s="1237"/>
      <c r="W48" s="1237"/>
      <c r="X48" s="1237"/>
      <c r="Y48" s="1237"/>
      <c r="Z48" s="1237"/>
    </row>
    <row r="49" spans="1:26" ht="13.5" customHeight="1">
      <c r="A49" s="1238" t="s">
        <v>1856</v>
      </c>
      <c r="B49" s="1240" t="str">
        <f t="shared" ref="B49:K54" si="3">IFERROR(IF(OR(SECTOR_AAC=0,SECTOR_AAC=-1),CHAR(150),SECTOR_AAC),IF(COLUMN()&lt;=2,"",CHAR(150)))</f>
        <v/>
      </c>
      <c r="C49" s="1240">
        <f t="shared" si="3"/>
        <v>-7.1426079454708136E-2</v>
      </c>
      <c r="D49" s="1240">
        <f t="shared" si="3"/>
        <v>-0.1417066109508287</v>
      </c>
      <c r="E49" s="1240">
        <f t="shared" si="3"/>
        <v>-0.12145147517166266</v>
      </c>
      <c r="F49" s="1240">
        <f t="shared" si="3"/>
        <v>-0.12427656898612593</v>
      </c>
      <c r="G49" s="1240">
        <f t="shared" si="3"/>
        <v>6.6778261869220534E-2</v>
      </c>
      <c r="H49" s="1240">
        <f t="shared" si="3"/>
        <v>-0.18039569107814668</v>
      </c>
      <c r="I49" s="1240">
        <f t="shared" si="3"/>
        <v>-3.4399836613957735E-2</v>
      </c>
      <c r="J49" s="1240">
        <f t="shared" si="3"/>
        <v>-1.2718498207362594E-2</v>
      </c>
      <c r="K49" s="1240">
        <f t="shared" si="3"/>
        <v>-2.4425377384612479E-2</v>
      </c>
      <c r="L49" s="1240">
        <f t="shared" ref="L49:Y54" si="4">IFERROR(IF(OR(SECTOR_AAC=0,SECTOR_AAC=-1),CHAR(150),SECTOR_AAC),IF(COLUMN()&lt;=2,"",CHAR(150)))</f>
        <v>4.0940821873570288E-2</v>
      </c>
      <c r="M49" s="1240">
        <f t="shared" si="4"/>
        <v>-2.6442042533946664E-2</v>
      </c>
      <c r="N49" s="1240">
        <f t="shared" si="4"/>
        <v>-7.4963309687482438E-3</v>
      </c>
      <c r="O49" s="1240">
        <f t="shared" si="4"/>
        <v>9.6382168159098613E-2</v>
      </c>
      <c r="P49" s="1240">
        <f t="shared" si="4"/>
        <v>7.4109853981823015E-2</v>
      </c>
      <c r="Q49" s="1240">
        <f t="shared" si="4"/>
        <v>7.4573798445902062E-2</v>
      </c>
      <c r="R49" s="1240">
        <f t="shared" si="4"/>
        <v>-3.2756614766412229E-2</v>
      </c>
      <c r="S49" s="1240">
        <f t="shared" si="4"/>
        <v>-0.14648372207165306</v>
      </c>
      <c r="T49" s="1240">
        <f t="shared" si="4"/>
        <v>0.10239876686166083</v>
      </c>
      <c r="U49" s="1240">
        <f t="shared" si="4"/>
        <v>-0.16696661497849985</v>
      </c>
      <c r="V49" s="1240">
        <f t="shared" si="4"/>
        <v>-1.7895668405650378E-2</v>
      </c>
      <c r="W49" s="1240">
        <f t="shared" si="4"/>
        <v>6.3306480467275383E-2</v>
      </c>
      <c r="X49" s="1240">
        <f t="shared" si="4"/>
        <v>6.2807583142921564E-2</v>
      </c>
      <c r="Y49" s="1240">
        <f t="shared" si="4"/>
        <v>0.31429987863842324</v>
      </c>
      <c r="Z49" s="1240">
        <f t="shared" ref="Z49:Z54" si="5">IFERROR(IF(OR(SECTOR_AAC_TOTAL=0,SECTOR_AAC_TOTAL=-1),CHAR(150),SECTOR_AAC_TOTAL),CHAR(150))</f>
        <v>-1.5275117783325354E-2</v>
      </c>
    </row>
    <row r="50" spans="1:26" ht="13.5" customHeight="1">
      <c r="A50" s="1238" t="s">
        <v>1857</v>
      </c>
      <c r="B50" s="1240" t="str">
        <f t="shared" si="3"/>
        <v/>
      </c>
      <c r="C50" s="1240">
        <f t="shared" si="3"/>
        <v>-1.0840108401083959E-2</v>
      </c>
      <c r="D50" s="1240">
        <f t="shared" si="3"/>
        <v>-7.9452054794520999E-3</v>
      </c>
      <c r="E50" s="1240">
        <f t="shared" si="3"/>
        <v>-8.2850041425019949E-4</v>
      </c>
      <c r="F50" s="1240">
        <f t="shared" si="3"/>
        <v>2.6810392482034207E-2</v>
      </c>
      <c r="G50" s="1240">
        <f t="shared" si="3"/>
        <v>2.0188425302826385E-2</v>
      </c>
      <c r="H50" s="1240">
        <f t="shared" si="3"/>
        <v>1.715039577836408E-2</v>
      </c>
      <c r="I50" s="1240">
        <f t="shared" si="3"/>
        <v>5.5252918287937769E-2</v>
      </c>
      <c r="J50" s="1240">
        <f t="shared" si="3"/>
        <v>0.11996066863323507</v>
      </c>
      <c r="K50" s="1240">
        <f t="shared" si="3"/>
        <v>1.3608428446005183E-2</v>
      </c>
      <c r="L50" s="1240">
        <f t="shared" si="4"/>
        <v>5.4569077522737208E-2</v>
      </c>
      <c r="M50" s="1240">
        <f t="shared" si="4"/>
        <v>4.7227926078028393E-3</v>
      </c>
      <c r="N50" s="1240">
        <f t="shared" si="4"/>
        <v>4.0057224606580899E-2</v>
      </c>
      <c r="O50" s="1240">
        <f t="shared" si="4"/>
        <v>2.6724307329534236E-2</v>
      </c>
      <c r="P50" s="1240">
        <f t="shared" si="4"/>
        <v>9.7607655502391921E-3</v>
      </c>
      <c r="Q50" s="1240">
        <f t="shared" si="4"/>
        <v>1.3836239575435894E-2</v>
      </c>
      <c r="R50" s="1240">
        <f t="shared" si="4"/>
        <v>7.478033277248386E-4</v>
      </c>
      <c r="S50" s="1240">
        <f t="shared" si="4"/>
        <v>1.5878946385204484E-2</v>
      </c>
      <c r="T50" s="1240">
        <f t="shared" si="4"/>
        <v>-1.0114012504597314E-2</v>
      </c>
      <c r="U50" s="1240">
        <f t="shared" si="4"/>
        <v>-4.2727103845439096E-3</v>
      </c>
      <c r="V50" s="1240">
        <f t="shared" si="4"/>
        <v>9.3283582089551675E-3</v>
      </c>
      <c r="W50" s="1240">
        <f t="shared" si="4"/>
        <v>4.6210720887245316E-3</v>
      </c>
      <c r="X50" s="1240">
        <f t="shared" si="4"/>
        <v>1.2879484820607079E-3</v>
      </c>
      <c r="Y50" s="1240">
        <f t="shared" si="4"/>
        <v>0.13929935685409789</v>
      </c>
      <c r="Z50" s="1240">
        <f t="shared" si="5"/>
        <v>2.2818787430683551E-2</v>
      </c>
    </row>
    <row r="51" spans="1:26" ht="13.5" customHeight="1">
      <c r="A51" s="1238" t="s">
        <v>1858</v>
      </c>
      <c r="B51" s="1240" t="str">
        <f t="shared" si="3"/>
        <v/>
      </c>
      <c r="C51" s="1240">
        <f t="shared" si="3"/>
        <v>-7.5708574847046406E-2</v>
      </c>
      <c r="D51" s="1240">
        <f t="shared" si="3"/>
        <v>-0.15182504322149004</v>
      </c>
      <c r="E51" s="1240">
        <f t="shared" si="3"/>
        <v>-0.1321238889616495</v>
      </c>
      <c r="F51" s="1240">
        <f t="shared" si="3"/>
        <v>-0.13966668562396634</v>
      </c>
      <c r="G51" s="1240">
        <f t="shared" si="3"/>
        <v>7.2442345099497096E-2</v>
      </c>
      <c r="H51" s="1240">
        <f t="shared" si="3"/>
        <v>-0.20324185607245349</v>
      </c>
      <c r="I51" s="1240">
        <f t="shared" si="3"/>
        <v>-4.7636154179643397E-2</v>
      </c>
      <c r="J51" s="1240">
        <f t="shared" si="3"/>
        <v>-3.4423505510511543E-2</v>
      </c>
      <c r="K51" s="1240">
        <f t="shared" si="3"/>
        <v>-3.1642150829973348E-2</v>
      </c>
      <c r="L51" s="1240">
        <f t="shared" si="4"/>
        <v>3.8234073436911986E-2</v>
      </c>
      <c r="M51" s="1240">
        <f t="shared" si="4"/>
        <v>-3.2729169221184184E-2</v>
      </c>
      <c r="N51" s="1240">
        <f t="shared" si="4"/>
        <v>-1.746112980002279E-2</v>
      </c>
      <c r="O51" s="1240">
        <f t="shared" si="4"/>
        <v>0.11183340212871951</v>
      </c>
      <c r="P51" s="1240">
        <f t="shared" si="4"/>
        <v>8.7290890444469582E-2</v>
      </c>
      <c r="Q51" s="1240">
        <f t="shared" si="4"/>
        <v>8.6127928136466858E-2</v>
      </c>
      <c r="R51" s="1240">
        <f t="shared" si="4"/>
        <v>-3.8705955112166457E-2</v>
      </c>
      <c r="S51" s="1240">
        <f t="shared" si="4"/>
        <v>-0.17649754451081356</v>
      </c>
      <c r="T51" s="1240">
        <f t="shared" si="4"/>
        <v>0.12805624945747041</v>
      </c>
      <c r="U51" s="1240">
        <f t="shared" si="4"/>
        <v>-0.1995231287039495</v>
      </c>
      <c r="V51" s="1240">
        <f t="shared" si="4"/>
        <v>-2.467224877049734E-2</v>
      </c>
      <c r="W51" s="1240">
        <f t="shared" si="4"/>
        <v>7.842364213023334E-2</v>
      </c>
      <c r="X51" s="1240">
        <f t="shared" si="4"/>
        <v>7.7570315870063355E-2</v>
      </c>
      <c r="Y51" s="1240">
        <f t="shared" si="4"/>
        <v>0.35332153704065639</v>
      </c>
      <c r="Z51" s="1240">
        <f t="shared" si="5"/>
        <v>-1.9706422654473088E-2</v>
      </c>
    </row>
    <row r="52" spans="1:26" ht="12.75" customHeight="1">
      <c r="A52" s="1238" t="s">
        <v>1859</v>
      </c>
      <c r="B52" s="1240" t="str">
        <f t="shared" si="3"/>
        <v/>
      </c>
      <c r="C52" s="1240">
        <f t="shared" si="3"/>
        <v>-9.2890202979378222E-2</v>
      </c>
      <c r="D52" s="1240">
        <f t="shared" si="3"/>
        <v>-0.13465900623954474</v>
      </c>
      <c r="E52" s="1240">
        <f t="shared" si="3"/>
        <v>-0.11738438690492203</v>
      </c>
      <c r="F52" s="1240">
        <f t="shared" si="3"/>
        <v>-0.11364173668949917</v>
      </c>
      <c r="G52" s="1240">
        <f t="shared" si="3"/>
        <v>5.4917934204459229E-2</v>
      </c>
      <c r="H52" s="1240">
        <f t="shared" si="3"/>
        <v>-0.15193729735460337</v>
      </c>
      <c r="I52" s="1240">
        <f t="shared" si="3"/>
        <v>-2.4765575683616148E-2</v>
      </c>
      <c r="J52" s="1240">
        <f t="shared" si="3"/>
        <v>-1.2625393009579655E-2</v>
      </c>
      <c r="K52" s="1240">
        <f t="shared" si="3"/>
        <v>6.9236568880970406E-3</v>
      </c>
      <c r="L52" s="1240">
        <f t="shared" si="4"/>
        <v>3.9235358944159637E-2</v>
      </c>
      <c r="M52" s="1240">
        <f t="shared" si="4"/>
        <v>5.0294772858743286E-3</v>
      </c>
      <c r="N52" s="1240">
        <f t="shared" si="4"/>
        <v>-1.2008674264893937E-3</v>
      </c>
      <c r="O52" s="1240">
        <f t="shared" si="4"/>
        <v>7.1223270154162188E-2</v>
      </c>
      <c r="P52" s="1240">
        <f t="shared" si="4"/>
        <v>5.8961740452968536E-2</v>
      </c>
      <c r="Q52" s="1240">
        <f t="shared" si="4"/>
        <v>6.6202608043759659E-2</v>
      </c>
      <c r="R52" s="1240">
        <f t="shared" si="4"/>
        <v>-1.7606572579769164E-3</v>
      </c>
      <c r="S52" s="1240">
        <f t="shared" si="4"/>
        <v>-4.653782371107118E-2</v>
      </c>
      <c r="T52" s="1240">
        <f t="shared" si="4"/>
        <v>0.14560246146872258</v>
      </c>
      <c r="U52" s="1240">
        <f t="shared" si="4"/>
        <v>-0.10222679479965802</v>
      </c>
      <c r="V52" s="1240">
        <f t="shared" si="4"/>
        <v>-4.8372234440989814E-3</v>
      </c>
      <c r="W52" s="1240">
        <f t="shared" si="4"/>
        <v>2.2483010838265205E-2</v>
      </c>
      <c r="X52" s="1240">
        <f t="shared" si="4"/>
        <v>5.4457133377638689E-2</v>
      </c>
      <c r="Y52" s="1240">
        <f t="shared" si="4"/>
        <v>0.11950484396904093</v>
      </c>
      <c r="Z52" s="1240">
        <f t="shared" si="5"/>
        <v>-1.018160848727756E-2</v>
      </c>
    </row>
    <row r="53" spans="1:26" ht="12.75" customHeight="1">
      <c r="A53" s="1238" t="s">
        <v>1860</v>
      </c>
      <c r="B53" s="1240" t="str">
        <f t="shared" si="3"/>
        <v/>
      </c>
      <c r="C53" s="1240">
        <f t="shared" si="3"/>
        <v>-1.0840108401083959E-2</v>
      </c>
      <c r="D53" s="1240">
        <f t="shared" si="3"/>
        <v>-7.9452054794520999E-3</v>
      </c>
      <c r="E53" s="1240">
        <f t="shared" si="3"/>
        <v>-8.2850041425019949E-4</v>
      </c>
      <c r="F53" s="1240">
        <f t="shared" si="3"/>
        <v>2.6810392482034207E-2</v>
      </c>
      <c r="G53" s="1240">
        <f t="shared" si="3"/>
        <v>2.0188425302826385E-2</v>
      </c>
      <c r="H53" s="1240">
        <f t="shared" si="3"/>
        <v>1.715039577836408E-2</v>
      </c>
      <c r="I53" s="1240">
        <f t="shared" si="3"/>
        <v>5.5252918287937769E-2</v>
      </c>
      <c r="J53" s="1240">
        <f t="shared" si="3"/>
        <v>0.11996066863323507</v>
      </c>
      <c r="K53" s="1240">
        <f t="shared" si="3"/>
        <v>1.3608428446005183E-2</v>
      </c>
      <c r="L53" s="1240">
        <f t="shared" si="4"/>
        <v>5.4569077522737208E-2</v>
      </c>
      <c r="M53" s="1240">
        <f t="shared" si="4"/>
        <v>4.7227926078028393E-3</v>
      </c>
      <c r="N53" s="1240">
        <f t="shared" si="4"/>
        <v>4.0057224606580899E-2</v>
      </c>
      <c r="O53" s="1240">
        <f t="shared" si="4"/>
        <v>2.6724307329534236E-2</v>
      </c>
      <c r="P53" s="1240">
        <f t="shared" si="4"/>
        <v>9.7607655502391921E-3</v>
      </c>
      <c r="Q53" s="1240">
        <f t="shared" si="4"/>
        <v>1.3836239575435894E-2</v>
      </c>
      <c r="R53" s="1240">
        <f t="shared" si="4"/>
        <v>7.478033277248386E-4</v>
      </c>
      <c r="S53" s="1240">
        <f t="shared" si="4"/>
        <v>1.5878946385204484E-2</v>
      </c>
      <c r="T53" s="1240">
        <f t="shared" si="4"/>
        <v>-1.0114012504597314E-2</v>
      </c>
      <c r="U53" s="1240">
        <f t="shared" si="4"/>
        <v>-4.2727103845439096E-3</v>
      </c>
      <c r="V53" s="1240">
        <f t="shared" si="4"/>
        <v>9.3283582089551675E-3</v>
      </c>
      <c r="W53" s="1240">
        <f t="shared" si="4"/>
        <v>4.6210720887245316E-3</v>
      </c>
      <c r="X53" s="1240">
        <f t="shared" si="4"/>
        <v>1.2879484820607079E-3</v>
      </c>
      <c r="Y53" s="1240">
        <f t="shared" si="4"/>
        <v>0.13894077085630285</v>
      </c>
      <c r="Z53" s="1240">
        <f t="shared" si="5"/>
        <v>2.2804788601380466E-2</v>
      </c>
    </row>
    <row r="54" spans="1:26" ht="12.75" customHeight="1">
      <c r="A54" s="1238" t="s">
        <v>1861</v>
      </c>
      <c r="B54" s="1240" t="str">
        <f t="shared" si="3"/>
        <v/>
      </c>
      <c r="C54" s="1240">
        <f t="shared" si="3"/>
        <v>-9.7234294529740528E-2</v>
      </c>
      <c r="D54" s="1240">
        <f t="shared" si="3"/>
        <v>-0.14200981707262805</v>
      </c>
      <c r="E54" s="1240">
        <f t="shared" si="3"/>
        <v>-0.12520244480525189</v>
      </c>
      <c r="F54" s="1240">
        <f t="shared" si="3"/>
        <v>-0.12440206382475028</v>
      </c>
      <c r="G54" s="1240">
        <f t="shared" si="3"/>
        <v>5.8038126184097649E-2</v>
      </c>
      <c r="H54" s="1240">
        <f t="shared" si="3"/>
        <v>-0.16658514274533875</v>
      </c>
      <c r="I54" s="1240">
        <f t="shared" si="3"/>
        <v>-3.3225686573775115E-2</v>
      </c>
      <c r="J54" s="1240">
        <f t="shared" si="3"/>
        <v>-2.7926223774041525E-2</v>
      </c>
      <c r="K54" s="1240">
        <f t="shared" si="3"/>
        <v>6.0348503194276315E-3</v>
      </c>
      <c r="L54" s="1240">
        <f t="shared" si="4"/>
        <v>3.7181241072661297E-2</v>
      </c>
      <c r="M54" s="1240">
        <f t="shared" si="4"/>
        <v>5.0712497727558592E-3</v>
      </c>
      <c r="N54" s="1240">
        <f t="shared" si="4"/>
        <v>-6.8185448391048231E-3</v>
      </c>
      <c r="O54" s="1240">
        <f t="shared" si="4"/>
        <v>7.7568190561206452E-2</v>
      </c>
      <c r="P54" s="1240">
        <f t="shared" si="4"/>
        <v>6.5646088874304898E-2</v>
      </c>
      <c r="Q54" s="1240">
        <f t="shared" si="4"/>
        <v>7.2943902931781102E-2</v>
      </c>
      <c r="R54" s="1240">
        <f t="shared" si="4"/>
        <v>-2.0657900930765027E-3</v>
      </c>
      <c r="S54" s="1240">
        <f t="shared" si="4"/>
        <v>-5.4151697766657181E-2</v>
      </c>
      <c r="T54" s="1240">
        <f t="shared" si="4"/>
        <v>0.16600383604139424</v>
      </c>
      <c r="U54" s="1240">
        <f t="shared" si="4"/>
        <v>-0.11312192979084867</v>
      </c>
      <c r="V54" s="1240">
        <f t="shared" si="4"/>
        <v>-6.6061954953925417E-3</v>
      </c>
      <c r="W54" s="1240">
        <f t="shared" si="4"/>
        <v>2.4749356681367241E-2</v>
      </c>
      <c r="X54" s="1240">
        <f t="shared" si="4"/>
        <v>6.1070798779224722E-2</v>
      </c>
      <c r="Y54" s="1240">
        <f t="shared" si="4"/>
        <v>0.11722344048794353</v>
      </c>
      <c r="Z54" s="1240">
        <f t="shared" si="5"/>
        <v>-1.282205125162883E-2</v>
      </c>
    </row>
    <row r="55" spans="1:26" ht="12.75" customHeight="1">
      <c r="A55" s="1248"/>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row>
    <row r="56" spans="1:26" ht="12.75" customHeight="1">
      <c r="A56" s="1243" t="s">
        <v>1862</v>
      </c>
      <c r="B56" s="1237"/>
      <c r="C56" s="1237"/>
      <c r="D56" s="1237"/>
      <c r="E56" s="1237"/>
      <c r="F56" s="1237"/>
      <c r="G56" s="1237"/>
      <c r="H56" s="1237"/>
      <c r="I56" s="1237"/>
      <c r="J56" s="1237"/>
      <c r="K56" s="1237"/>
      <c r="L56" s="1237"/>
      <c r="M56" s="1237"/>
      <c r="N56" s="1237"/>
      <c r="O56" s="1237"/>
      <c r="P56" s="1237"/>
      <c r="Q56" s="1237"/>
      <c r="R56" s="1237"/>
      <c r="S56" s="1237"/>
      <c r="T56" s="1237"/>
      <c r="U56" s="1237"/>
      <c r="V56" s="1237"/>
      <c r="W56" s="1237"/>
      <c r="X56" s="1237"/>
      <c r="Y56" s="1237"/>
      <c r="Z56" s="1237"/>
    </row>
    <row r="57" spans="1:26" ht="12.75" customHeight="1">
      <c r="A57" s="1238" t="s">
        <v>1863</v>
      </c>
      <c r="B57" s="1240" t="str">
        <f t="shared" ref="B57:K66" si="6">IFERROR(IF(OR(SECTOR_AAC=0,SECTOR_AAC=-1),CHAR(150),SECTOR_AAC),IF(COLUMN()&lt;=2,"",CHAR(150)))</f>
        <v/>
      </c>
      <c r="C57" s="1240">
        <f t="shared" si="6"/>
        <v>-7.597950185692004E-2</v>
      </c>
      <c r="D57" s="1240">
        <f t="shared" si="6"/>
        <v>-0.15174718235339457</v>
      </c>
      <c r="E57" s="1240">
        <f t="shared" si="6"/>
        <v>-0.11884072330345041</v>
      </c>
      <c r="F57" s="1240">
        <f t="shared" si="6"/>
        <v>-0.11182591427198285</v>
      </c>
      <c r="G57" s="1240">
        <f t="shared" si="6"/>
        <v>7.1292674248662147E-2</v>
      </c>
      <c r="H57" s="1240">
        <f t="shared" si="6"/>
        <v>-0.17455257012184822</v>
      </c>
      <c r="I57" s="1240">
        <f t="shared" si="6"/>
        <v>-3.9413917426238121E-2</v>
      </c>
      <c r="J57" s="1240">
        <f t="shared" si="6"/>
        <v>-2.327696633214249E-2</v>
      </c>
      <c r="K57" s="1240">
        <f t="shared" si="6"/>
        <v>-1.3019355215817652E-2</v>
      </c>
      <c r="L57" s="1240">
        <f t="shared" ref="L57:Y66" si="7">IFERROR(IF(OR(SECTOR_AAC=0,SECTOR_AAC=-1),CHAR(150),SECTOR_AAC),IF(COLUMN()&lt;=2,"",CHAR(150)))</f>
        <v>2.6798307475317307E-2</v>
      </c>
      <c r="M57" s="1240">
        <f t="shared" si="7"/>
        <v>-8.4099326088276083E-3</v>
      </c>
      <c r="N57" s="1240">
        <f t="shared" si="7"/>
        <v>-1.7671229354023432E-2</v>
      </c>
      <c r="O57" s="1240">
        <f t="shared" si="7"/>
        <v>7.9588677665886731E-2</v>
      </c>
      <c r="P57" s="1240">
        <f t="shared" si="7"/>
        <v>5.8090645482087311E-2</v>
      </c>
      <c r="Q57" s="1240">
        <f t="shared" si="7"/>
        <v>6.8331064361500271E-2</v>
      </c>
      <c r="R57" s="1240">
        <f t="shared" si="7"/>
        <v>-1.4489829794297582E-2</v>
      </c>
      <c r="S57" s="1240">
        <f t="shared" si="7"/>
        <v>-7.6973706372712836E-2</v>
      </c>
      <c r="T57" s="1240">
        <f t="shared" si="7"/>
        <v>0.19307367085338267</v>
      </c>
      <c r="U57" s="1240">
        <f t="shared" si="7"/>
        <v>-0.1256247352816604</v>
      </c>
      <c r="V57" s="1240">
        <f t="shared" si="7"/>
        <v>-1.6052552261620279E-2</v>
      </c>
      <c r="W57" s="1240">
        <f t="shared" si="7"/>
        <v>2.4445678245862634E-2</v>
      </c>
      <c r="X57" s="1240">
        <f t="shared" si="7"/>
        <v>5.0845647617903333E-2</v>
      </c>
      <c r="Y57" s="1240">
        <f t="shared" si="7"/>
        <v>0.25078532542364251</v>
      </c>
      <c r="Z57" s="1240">
        <f t="shared" ref="Z57:Z92" si="8">IFERROR(IF(OR(SECTOR_AAC_TOTAL=0,SECTOR_AAC_TOTAL=-1),CHAR(150),SECTOR_AAC_TOTAL),CHAR(150))</f>
        <v>-1.1253167072986625E-2</v>
      </c>
    </row>
    <row r="58" spans="1:26" ht="12.75" customHeight="1">
      <c r="A58" s="1244" t="s">
        <v>1864</v>
      </c>
      <c r="B58" s="1240" t="str">
        <f t="shared" si="6"/>
        <v/>
      </c>
      <c r="C58" s="1240">
        <f t="shared" si="6"/>
        <v>-5.8095873354678029E-2</v>
      </c>
      <c r="D58" s="1240">
        <f t="shared" si="6"/>
        <v>7.7661019925840957E-2</v>
      </c>
      <c r="E58" s="1240">
        <f t="shared" si="6"/>
        <v>-1.9956173783826858E-2</v>
      </c>
      <c r="F58" s="1240">
        <f t="shared" si="6"/>
        <v>-0.24900149702807073</v>
      </c>
      <c r="G58" s="1240">
        <f t="shared" si="6"/>
        <v>-4.4863927316795116E-2</v>
      </c>
      <c r="H58" s="1240">
        <f t="shared" si="6"/>
        <v>-9.1226683882932313E-3</v>
      </c>
      <c r="I58" s="1240">
        <f t="shared" si="6"/>
        <v>-4.7722548732897607E-2</v>
      </c>
      <c r="J58" s="1240">
        <f t="shared" si="6"/>
        <v>4.9369156841663209E-2</v>
      </c>
      <c r="K58" s="1240">
        <f t="shared" si="6"/>
        <v>-2.7200917354398557E-3</v>
      </c>
      <c r="L58" s="1240">
        <f t="shared" si="7"/>
        <v>4.430469615264454E-2</v>
      </c>
      <c r="M58" s="1240">
        <f t="shared" si="7"/>
        <v>-6.0851462412376045E-2</v>
      </c>
      <c r="N58" s="1240">
        <f t="shared" si="7"/>
        <v>-9.3407579806486507E-2</v>
      </c>
      <c r="O58" s="1240">
        <f t="shared" si="7"/>
        <v>0.10605150829915866</v>
      </c>
      <c r="P58" s="1240">
        <f t="shared" si="7"/>
        <v>8.8071547102783754E-2</v>
      </c>
      <c r="Q58" s="1240">
        <f t="shared" si="7"/>
        <v>2.924914705960413E-2</v>
      </c>
      <c r="R58" s="1240">
        <f t="shared" si="7"/>
        <v>2.1086408434563442E-2</v>
      </c>
      <c r="S58" s="1240">
        <f t="shared" si="7"/>
        <v>-0.13170594837261507</v>
      </c>
      <c r="T58" s="1240">
        <f t="shared" si="7"/>
        <v>-3.0892522458476068E-2</v>
      </c>
      <c r="U58" s="1240">
        <f t="shared" si="7"/>
        <v>-0.19379793264421474</v>
      </c>
      <c r="V58" s="1240">
        <f t="shared" si="7"/>
        <v>-0.11092728927123829</v>
      </c>
      <c r="W58" s="1240">
        <f t="shared" si="7"/>
        <v>5.4893933755117308E-2</v>
      </c>
      <c r="X58" s="1240">
        <f t="shared" si="7"/>
        <v>0.11007232316105142</v>
      </c>
      <c r="Y58" s="1240">
        <f t="shared" si="7"/>
        <v>0.27510801398379159</v>
      </c>
      <c r="Z58" s="1240">
        <f t="shared" si="8"/>
        <v>-1.4561028483013216E-2</v>
      </c>
    </row>
    <row r="59" spans="1:26" ht="12.75" customHeight="1">
      <c r="A59" s="1244" t="s">
        <v>1865</v>
      </c>
      <c r="B59" s="1240" t="str">
        <f t="shared" si="6"/>
        <v/>
      </c>
      <c r="C59" s="1240">
        <f t="shared" si="6"/>
        <v>-1.1336608504150303E-2</v>
      </c>
      <c r="D59" s="1240">
        <f t="shared" si="6"/>
        <v>-0.39379572132892859</v>
      </c>
      <c r="E59" s="1240">
        <f t="shared" si="6"/>
        <v>-0.1987003430513955</v>
      </c>
      <c r="F59" s="1240">
        <f t="shared" si="6"/>
        <v>-5.4337333106006747E-2</v>
      </c>
      <c r="G59" s="1240">
        <f t="shared" si="6"/>
        <v>0.25987096100356477</v>
      </c>
      <c r="H59" s="1240">
        <f t="shared" si="6"/>
        <v>-0.47066730487389652</v>
      </c>
      <c r="I59" s="1240">
        <f t="shared" si="6"/>
        <v>-8.579861247061138E-2</v>
      </c>
      <c r="J59" s="1240">
        <f t="shared" si="6"/>
        <v>-0.41960022923290596</v>
      </c>
      <c r="K59" s="1240">
        <f t="shared" si="6"/>
        <v>1.296259856353732E-2</v>
      </c>
      <c r="L59" s="1240">
        <f t="shared" si="7"/>
        <v>-5.9585051877187545E-2</v>
      </c>
      <c r="M59" s="1240">
        <f t="shared" si="7"/>
        <v>-0.1143341940243453</v>
      </c>
      <c r="N59" s="1240">
        <f t="shared" si="7"/>
        <v>0.34962349648485658</v>
      </c>
      <c r="O59" s="1240">
        <f t="shared" si="7"/>
        <v>-0.14256133312760366</v>
      </c>
      <c r="P59" s="1240">
        <f t="shared" si="7"/>
        <v>-0.18682900670498437</v>
      </c>
      <c r="Q59" s="1240">
        <f t="shared" si="7"/>
        <v>-7.1000522257924636E-2</v>
      </c>
      <c r="R59" s="1240">
        <f t="shared" si="7"/>
        <v>-3.7160552644116218E-2</v>
      </c>
      <c r="S59" s="1240">
        <f t="shared" si="7"/>
        <v>-0.77436912419594262</v>
      </c>
      <c r="T59" s="1240">
        <f t="shared" si="7"/>
        <v>3.7302631578947372</v>
      </c>
      <c r="U59" s="1240">
        <f t="shared" si="7"/>
        <v>-0.42651831247102456</v>
      </c>
      <c r="V59" s="1240">
        <f t="shared" si="7"/>
        <v>-0.11721907841552137</v>
      </c>
      <c r="W59" s="1240">
        <f t="shared" si="7"/>
        <v>0.71978021978021989</v>
      </c>
      <c r="X59" s="1240">
        <f t="shared" si="7"/>
        <v>0.26996805111821076</v>
      </c>
      <c r="Y59" s="1240">
        <f t="shared" si="7"/>
        <v>1.6147079245283136E-2</v>
      </c>
      <c r="Z59" s="1240">
        <f t="shared" si="8"/>
        <v>-8.2838761444990361E-2</v>
      </c>
    </row>
    <row r="60" spans="1:26" ht="12.75" customHeight="1">
      <c r="A60" s="1244" t="s">
        <v>1866</v>
      </c>
      <c r="B60" s="1240" t="str">
        <f t="shared" si="6"/>
        <v/>
      </c>
      <c r="C60" s="1240">
        <f t="shared" si="6"/>
        <v>-0.12833889506859475</v>
      </c>
      <c r="D60" s="1240">
        <f t="shared" si="6"/>
        <v>-0.16118288123120372</v>
      </c>
      <c r="E60" s="1240">
        <f t="shared" si="6"/>
        <v>-7.7529856233677363E-2</v>
      </c>
      <c r="F60" s="1240">
        <f t="shared" si="6"/>
        <v>-0.12518793995816535</v>
      </c>
      <c r="G60" s="1240">
        <f t="shared" si="6"/>
        <v>-0.10665853934420055</v>
      </c>
      <c r="H60" s="1240">
        <f t="shared" si="6"/>
        <v>-7.1893838675867405E-2</v>
      </c>
      <c r="I60" s="1240">
        <f t="shared" si="6"/>
        <v>-7.2741121945119169E-2</v>
      </c>
      <c r="J60" s="1240">
        <f t="shared" si="6"/>
        <v>-9.3331862059946369E-2</v>
      </c>
      <c r="K60" s="1240">
        <f t="shared" si="6"/>
        <v>-0.38596522860143601</v>
      </c>
      <c r="L60" s="1240">
        <f t="shared" si="7"/>
        <v>0.5555376111229382</v>
      </c>
      <c r="M60" s="1240">
        <f t="shared" si="7"/>
        <v>9.9655497876356858E-2</v>
      </c>
      <c r="N60" s="1240">
        <f t="shared" si="7"/>
        <v>0.16521970500006433</v>
      </c>
      <c r="O60" s="1240">
        <f t="shared" si="7"/>
        <v>8.7387115308121821E-2</v>
      </c>
      <c r="P60" s="1240">
        <f t="shared" si="7"/>
        <v>0.26480898785068585</v>
      </c>
      <c r="Q60" s="1240">
        <f t="shared" si="7"/>
        <v>0.11347361994076466</v>
      </c>
      <c r="R60" s="1240">
        <f t="shared" si="7"/>
        <v>0.13684463684463677</v>
      </c>
      <c r="S60" s="1240">
        <f t="shared" si="7"/>
        <v>-0.21112756505182995</v>
      </c>
      <c r="T60" s="1240">
        <f t="shared" si="7"/>
        <v>0.25663716814159288</v>
      </c>
      <c r="U60" s="1240">
        <f t="shared" si="7"/>
        <v>-0.11118224498506191</v>
      </c>
      <c r="V60" s="1240">
        <f t="shared" si="7"/>
        <v>0.16710684273709475</v>
      </c>
      <c r="W60" s="1240">
        <f t="shared" si="7"/>
        <v>4.0320921621065597E-2</v>
      </c>
      <c r="X60" s="1240">
        <f t="shared" si="7"/>
        <v>3.2825786039153648E-2</v>
      </c>
      <c r="Y60" s="1240">
        <f t="shared" si="7"/>
        <v>0.41936100076584326</v>
      </c>
      <c r="Z60" s="1240">
        <f t="shared" si="8"/>
        <v>1.3921734420457854E-2</v>
      </c>
    </row>
    <row r="61" spans="1:26" ht="12.75" customHeight="1">
      <c r="A61" s="1244" t="s">
        <v>1867</v>
      </c>
      <c r="B61" s="1240" t="str">
        <f t="shared" si="6"/>
        <v/>
      </c>
      <c r="C61" s="1240">
        <f t="shared" si="6"/>
        <v>-0.11908706876320108</v>
      </c>
      <c r="D61" s="1240">
        <f t="shared" si="6"/>
        <v>-0.17659321659113858</v>
      </c>
      <c r="E61" s="1240">
        <f t="shared" si="6"/>
        <v>-0.35150442535141546</v>
      </c>
      <c r="F61" s="1240">
        <f t="shared" si="6"/>
        <v>0.49740933935035159</v>
      </c>
      <c r="G61" s="1240">
        <f t="shared" si="6"/>
        <v>7.5767672459750468E-2</v>
      </c>
      <c r="H61" s="1240">
        <f t="shared" si="6"/>
        <v>-0.28909802148246333</v>
      </c>
      <c r="I61" s="1240">
        <f t="shared" si="6"/>
        <v>-4.2256374508501282E-2</v>
      </c>
      <c r="J61" s="1240">
        <f t="shared" si="6"/>
        <v>-0.18038152468856394</v>
      </c>
      <c r="K61" s="1240">
        <f t="shared" si="6"/>
        <v>6.0238489694769637E-2</v>
      </c>
      <c r="L61" s="1240">
        <f t="shared" si="7"/>
        <v>0.27310513063461572</v>
      </c>
      <c r="M61" s="1240">
        <f t="shared" si="7"/>
        <v>9.6634457236842053E-2</v>
      </c>
      <c r="N61" s="1240">
        <f t="shared" si="7"/>
        <v>0.15513036109658174</v>
      </c>
      <c r="O61" s="1240">
        <f t="shared" si="7"/>
        <v>0.1066736995861397</v>
      </c>
      <c r="P61" s="1240">
        <f t="shared" si="7"/>
        <v>-6.161228491355486E-2</v>
      </c>
      <c r="Q61" s="1240">
        <f t="shared" si="7"/>
        <v>0.18071780766255396</v>
      </c>
      <c r="R61" s="1240">
        <f t="shared" si="7"/>
        <v>-0.14480476505625417</v>
      </c>
      <c r="S61" s="1240">
        <f t="shared" si="7"/>
        <v>7.2279832843213043E-2</v>
      </c>
      <c r="T61" s="1240">
        <f t="shared" si="7"/>
        <v>0.22228637413394914</v>
      </c>
      <c r="U61" s="1240">
        <f t="shared" si="7"/>
        <v>-6.9792158715162977E-2</v>
      </c>
      <c r="V61" s="1240">
        <f t="shared" si="7"/>
        <v>3.3134442046464319E-2</v>
      </c>
      <c r="W61" s="1240">
        <f t="shared" si="7"/>
        <v>-3.1088719587122116E-2</v>
      </c>
      <c r="X61" s="1240">
        <f t="shared" si="7"/>
        <v>-0.13100824350031703</v>
      </c>
      <c r="Y61" s="1240">
        <f t="shared" si="7"/>
        <v>-3.6179800058377953E-3</v>
      </c>
      <c r="Z61" s="1240">
        <f t="shared" si="8"/>
        <v>-9.5943307252842613E-3</v>
      </c>
    </row>
    <row r="62" spans="1:26" ht="12.75" customHeight="1">
      <c r="A62" s="1244" t="s">
        <v>1868</v>
      </c>
      <c r="B62" s="1240" t="str">
        <f t="shared" si="6"/>
        <v/>
      </c>
      <c r="C62" s="1240">
        <f t="shared" si="6"/>
        <v>-0.9980484522207268</v>
      </c>
      <c r="D62" s="1240">
        <f t="shared" si="6"/>
        <v>4.6413793103448278</v>
      </c>
      <c r="E62" s="1240">
        <f t="shared" si="6"/>
        <v>-0.20415647921760394</v>
      </c>
      <c r="F62" s="1240">
        <f t="shared" si="6"/>
        <v>-0.77726574500768053</v>
      </c>
      <c r="G62" s="1240">
        <f t="shared" si="6"/>
        <v>713.31724137931042</v>
      </c>
      <c r="H62" s="1240">
        <f t="shared" si="6"/>
        <v>0.35890553796246238</v>
      </c>
      <c r="I62" s="1240">
        <f t="shared" si="6"/>
        <v>0.37956660746003545</v>
      </c>
      <c r="J62" s="1240">
        <f t="shared" si="6"/>
        <v>1.033778981738029</v>
      </c>
      <c r="K62" s="1240">
        <f t="shared" si="6"/>
        <v>-1.0665802328143181E-2</v>
      </c>
      <c r="L62" s="1240">
        <f t="shared" si="7"/>
        <v>-0.31711437310433965</v>
      </c>
      <c r="M62" s="1240">
        <f t="shared" si="7"/>
        <v>-9.5187406296851629E-2</v>
      </c>
      <c r="N62" s="1240">
        <f t="shared" si="7"/>
        <v>-0.41576361617868807</v>
      </c>
      <c r="O62" s="1240">
        <f t="shared" si="7"/>
        <v>0.46908967150464087</v>
      </c>
      <c r="P62" s="1240">
        <f t="shared" si="7"/>
        <v>0.39191393656248175</v>
      </c>
      <c r="Q62" s="1240">
        <f t="shared" si="7"/>
        <v>6.6231158915252886E-2</v>
      </c>
      <c r="R62" s="1240">
        <f t="shared" si="7"/>
        <v>-0.344390243902439</v>
      </c>
      <c r="S62" s="1240">
        <f t="shared" si="7"/>
        <v>-0.39980158730158732</v>
      </c>
      <c r="T62" s="1240">
        <f t="shared" si="7"/>
        <v>-0.31322314049586775</v>
      </c>
      <c r="U62" s="1240">
        <f t="shared" si="7"/>
        <v>-0.13357400722021662</v>
      </c>
      <c r="V62" s="1240">
        <f t="shared" si="7"/>
        <v>-0.25416666666666665</v>
      </c>
      <c r="W62" s="1240">
        <f t="shared" si="7"/>
        <v>-0.1973929236499069</v>
      </c>
      <c r="X62" s="1240">
        <f t="shared" si="7"/>
        <v>0.96983758700696066</v>
      </c>
      <c r="Y62" s="1240" t="str">
        <f t="shared" si="7"/>
        <v>–</v>
      </c>
      <c r="Z62" s="1240" t="str">
        <f t="shared" si="8"/>
        <v>–</v>
      </c>
    </row>
    <row r="63" spans="1:26" ht="12.75" customHeight="1">
      <c r="A63" s="1244" t="s">
        <v>1870</v>
      </c>
      <c r="B63" s="1240" t="str">
        <f t="shared" si="6"/>
        <v/>
      </c>
      <c r="C63" s="1240">
        <f t="shared" si="6"/>
        <v>-0.10638397017707368</v>
      </c>
      <c r="D63" s="1240">
        <f t="shared" si="6"/>
        <v>-0.20302967096000424</v>
      </c>
      <c r="E63" s="1240">
        <f t="shared" si="6"/>
        <v>-0.13995485327313772</v>
      </c>
      <c r="F63" s="1240">
        <f t="shared" si="6"/>
        <v>-7.6876260032713306E-2</v>
      </c>
      <c r="G63" s="1240">
        <f t="shared" si="6"/>
        <v>6.0285149167628171E-2</v>
      </c>
      <c r="H63" s="1240">
        <f t="shared" si="6"/>
        <v>-0.13050406124907699</v>
      </c>
      <c r="I63" s="1240">
        <f t="shared" si="6"/>
        <v>-6.2754212667054055E-2</v>
      </c>
      <c r="J63" s="1240">
        <f t="shared" si="6"/>
        <v>-0.10234155181458338</v>
      </c>
      <c r="K63" s="1240">
        <f t="shared" si="6"/>
        <v>6.7683153588694589E-2</v>
      </c>
      <c r="L63" s="1240">
        <f t="shared" si="7"/>
        <v>-4.4633527392148098E-2</v>
      </c>
      <c r="M63" s="1240">
        <f t="shared" si="7"/>
        <v>0.14348958333333339</v>
      </c>
      <c r="N63" s="1240">
        <f t="shared" si="7"/>
        <v>-3.7030289227966362E-2</v>
      </c>
      <c r="O63" s="1240">
        <f t="shared" si="7"/>
        <v>-9.1760476776084898E-3</v>
      </c>
      <c r="P63" s="1240">
        <f t="shared" si="7"/>
        <v>-4.057666603017096E-3</v>
      </c>
      <c r="Q63" s="1240">
        <f t="shared" si="7"/>
        <v>0.10003355222163646</v>
      </c>
      <c r="R63" s="1240">
        <f t="shared" si="7"/>
        <v>0.15076252723311545</v>
      </c>
      <c r="S63" s="1240">
        <f t="shared" si="7"/>
        <v>0.41082923135176075</v>
      </c>
      <c r="T63" s="1240">
        <f t="shared" si="7"/>
        <v>0.451959205582394</v>
      </c>
      <c r="U63" s="1240">
        <f t="shared" si="7"/>
        <v>-2.5508317929759605E-2</v>
      </c>
      <c r="V63" s="1240">
        <f t="shared" si="7"/>
        <v>1.0432473444613066E-2</v>
      </c>
      <c r="W63" s="1240">
        <f t="shared" si="7"/>
        <v>-2.8533883987234887E-2</v>
      </c>
      <c r="X63" s="1240">
        <f t="shared" si="7"/>
        <v>5.507246376811592E-2</v>
      </c>
      <c r="Y63" s="1240">
        <f t="shared" si="7"/>
        <v>0.44074732583289733</v>
      </c>
      <c r="Z63" s="1240">
        <f t="shared" si="8"/>
        <v>2.6691656435984035E-2</v>
      </c>
    </row>
    <row r="64" spans="1:26" ht="12.75" customHeight="1">
      <c r="A64" s="1238" t="s">
        <v>1871</v>
      </c>
      <c r="B64" s="1240" t="str">
        <f t="shared" si="6"/>
        <v/>
      </c>
      <c r="C64" s="1240">
        <f t="shared" si="6"/>
        <v>-3.2821711947416787E-2</v>
      </c>
      <c r="D64" s="1240">
        <f t="shared" si="6"/>
        <v>-8.453662959113728E-2</v>
      </c>
      <c r="E64" s="1240">
        <f t="shared" si="6"/>
        <v>-0.35580515297906601</v>
      </c>
      <c r="F64" s="1240">
        <f t="shared" si="6"/>
        <v>-0.46151058005974332</v>
      </c>
      <c r="G64" s="1240">
        <f t="shared" si="6"/>
        <v>-0.60140655463745241</v>
      </c>
      <c r="H64" s="1240">
        <f t="shared" si="6"/>
        <v>-0.3449018808594887</v>
      </c>
      <c r="I64" s="1240">
        <f t="shared" si="6"/>
        <v>0.32257777777777763</v>
      </c>
      <c r="J64" s="1240">
        <f t="shared" si="6"/>
        <v>-0.33812756233617847</v>
      </c>
      <c r="K64" s="1240">
        <f t="shared" si="6"/>
        <v>-0.14114541023558091</v>
      </c>
      <c r="L64" s="1240">
        <f t="shared" si="7"/>
        <v>5.5292031213052732</v>
      </c>
      <c r="M64" s="1240">
        <f t="shared" si="7"/>
        <v>0.26729320585252792</v>
      </c>
      <c r="N64" s="1240">
        <f t="shared" si="7"/>
        <v>0.3010073587197255</v>
      </c>
      <c r="O64" s="1240">
        <f t="shared" si="7"/>
        <v>0.16081097406947764</v>
      </c>
      <c r="P64" s="1240">
        <f t="shared" si="7"/>
        <v>0.2796022442356636</v>
      </c>
      <c r="Q64" s="1240">
        <f t="shared" si="7"/>
        <v>0.31578246885282257</v>
      </c>
      <c r="R64" s="1240">
        <f t="shared" si="7"/>
        <v>0.11465948874140919</v>
      </c>
      <c r="S64" s="1240">
        <f t="shared" si="7"/>
        <v>0.16034725268077255</v>
      </c>
      <c r="T64" s="1240">
        <f t="shared" si="7"/>
        <v>-0.1130894192376708</v>
      </c>
      <c r="U64" s="1240">
        <f t="shared" si="7"/>
        <v>-0.12846463597440894</v>
      </c>
      <c r="V64" s="1240">
        <f t="shared" si="7"/>
        <v>0.18196279017480754</v>
      </c>
      <c r="W64" s="1240">
        <f t="shared" si="7"/>
        <v>0.14743940309012138</v>
      </c>
      <c r="X64" s="1240">
        <f t="shared" si="7"/>
        <v>0.21629014410225178</v>
      </c>
      <c r="Y64" s="1240">
        <f t="shared" si="7"/>
        <v>-0.55716458716074624</v>
      </c>
      <c r="Z64" s="1240">
        <f t="shared" si="8"/>
        <v>-3.3142857465968678E-3</v>
      </c>
    </row>
    <row r="65" spans="1:26" ht="12.75" customHeight="1">
      <c r="A65" s="1244" t="s">
        <v>1872</v>
      </c>
      <c r="B65" s="1240" t="str">
        <f t="shared" si="6"/>
        <v/>
      </c>
      <c r="C65" s="1240">
        <f t="shared" si="6"/>
        <v>-0.11337351042458987</v>
      </c>
      <c r="D65" s="1240">
        <f t="shared" si="6"/>
        <v>-7.2679278486581622E-2</v>
      </c>
      <c r="E65" s="1240">
        <f t="shared" si="6"/>
        <v>-0.26143372236455065</v>
      </c>
      <c r="F65" s="1240">
        <f t="shared" si="6"/>
        <v>-0.28466356190782083</v>
      </c>
      <c r="G65" s="1240">
        <f t="shared" si="6"/>
        <v>-0.56470007183908044</v>
      </c>
      <c r="H65" s="1240">
        <f t="shared" si="6"/>
        <v>0.11583290355853526</v>
      </c>
      <c r="I65" s="1240">
        <f t="shared" si="6"/>
        <v>0.35376224810501</v>
      </c>
      <c r="J65" s="1240">
        <f t="shared" si="6"/>
        <v>-0.33697507681802663</v>
      </c>
      <c r="K65" s="1240">
        <f t="shared" si="6"/>
        <v>-0.14696189495365597</v>
      </c>
      <c r="L65" s="1240">
        <f t="shared" si="7"/>
        <v>0.46299649885307259</v>
      </c>
      <c r="M65" s="1240">
        <f t="shared" si="7"/>
        <v>1.0887110084172305</v>
      </c>
      <c r="N65" s="1240">
        <f t="shared" si="7"/>
        <v>0.61815021137055015</v>
      </c>
      <c r="O65" s="1240">
        <f t="shared" si="7"/>
        <v>0.19410601362404467</v>
      </c>
      <c r="P65" s="1240">
        <f t="shared" si="7"/>
        <v>0.41570736295417832</v>
      </c>
      <c r="Q65" s="1240">
        <f t="shared" si="7"/>
        <v>7.799185418411847E-2</v>
      </c>
      <c r="R65" s="1240">
        <f t="shared" si="7"/>
        <v>7.8029957930276783E-2</v>
      </c>
      <c r="S65" s="1240">
        <f t="shared" si="7"/>
        <v>2.9840173000919679E-2</v>
      </c>
      <c r="T65" s="1240">
        <f t="shared" si="7"/>
        <v>-6.9741621712947843E-2</v>
      </c>
      <c r="U65" s="1240">
        <f t="shared" si="7"/>
        <v>-0.19358102848840231</v>
      </c>
      <c r="V65" s="1240">
        <f t="shared" si="7"/>
        <v>-5.6947974646889277E-3</v>
      </c>
      <c r="W65" s="1240">
        <f t="shared" si="7"/>
        <v>0.11437030805073767</v>
      </c>
      <c r="X65" s="1240">
        <f t="shared" si="7"/>
        <v>0.39538597790263807</v>
      </c>
      <c r="Y65" s="1240">
        <f t="shared" si="7"/>
        <v>-0.24067725054624911</v>
      </c>
      <c r="Z65" s="1240">
        <f t="shared" si="8"/>
        <v>1.5466240131023712E-2</v>
      </c>
    </row>
    <row r="66" spans="1:26" ht="12.75" customHeight="1">
      <c r="A66" s="1244" t="s">
        <v>1873</v>
      </c>
      <c r="B66" s="1240" t="str">
        <f t="shared" si="6"/>
        <v/>
      </c>
      <c r="C66" s="1240" t="str">
        <f t="shared" si="6"/>
        <v>–</v>
      </c>
      <c r="D66" s="1240">
        <f t="shared" si="6"/>
        <v>-0.23622047244094491</v>
      </c>
      <c r="E66" s="1240">
        <f t="shared" si="6"/>
        <v>-0.2989690721649485</v>
      </c>
      <c r="F66" s="1240">
        <f t="shared" si="6"/>
        <v>8.8235294117647189E-2</v>
      </c>
      <c r="G66" s="1240">
        <f t="shared" si="6"/>
        <v>-0.75</v>
      </c>
      <c r="H66" s="1240">
        <f t="shared" si="6"/>
        <v>-0.78378378378378377</v>
      </c>
      <c r="I66" s="1240" t="str">
        <f t="shared" si="6"/>
        <v>–</v>
      </c>
      <c r="J66" s="1240" t="str">
        <f t="shared" si="6"/>
        <v>–</v>
      </c>
      <c r="K66" s="1240" t="str">
        <f t="shared" si="6"/>
        <v>–</v>
      </c>
      <c r="L66" s="1240" t="str">
        <f t="shared" si="7"/>
        <v>–</v>
      </c>
      <c r="M66" s="1240" t="str">
        <f t="shared" si="7"/>
        <v>–</v>
      </c>
      <c r="N66" s="1240" t="str">
        <f t="shared" si="7"/>
        <v>–</v>
      </c>
      <c r="O66" s="1240" t="str">
        <f t="shared" si="7"/>
        <v>–</v>
      </c>
      <c r="P66" s="1240" t="str">
        <f t="shared" si="7"/>
        <v>–</v>
      </c>
      <c r="Q66" s="1240" t="str">
        <f t="shared" si="7"/>
        <v>–</v>
      </c>
      <c r="R66" s="1240" t="str">
        <f t="shared" si="7"/>
        <v>–</v>
      </c>
      <c r="S66" s="1240" t="str">
        <f t="shared" si="7"/>
        <v>–</v>
      </c>
      <c r="T66" s="1240" t="str">
        <f t="shared" si="7"/>
        <v>–</v>
      </c>
      <c r="U66" s="1240" t="str">
        <f t="shared" si="7"/>
        <v>–</v>
      </c>
      <c r="V66" s="1240" t="str">
        <f t="shared" si="7"/>
        <v>–</v>
      </c>
      <c r="W66" s="1240" t="str">
        <f t="shared" si="7"/>
        <v>–</v>
      </c>
      <c r="X66" s="1240" t="str">
        <f t="shared" si="7"/>
        <v>–</v>
      </c>
      <c r="Y66" s="1240" t="str">
        <f t="shared" si="7"/>
        <v>–</v>
      </c>
      <c r="Z66" s="1240" t="str">
        <f t="shared" si="8"/>
        <v>–</v>
      </c>
    </row>
    <row r="67" spans="1:26" ht="12.75" customHeight="1">
      <c r="A67" s="1244" t="s">
        <v>1874</v>
      </c>
      <c r="B67" s="1240" t="str">
        <f t="shared" ref="B67:K76" si="9">IFERROR(IF(OR(SECTOR_AAC=0,SECTOR_AAC=-1),CHAR(150),SECTOR_AAC),IF(COLUMN()&lt;=2,"",CHAR(150)))</f>
        <v/>
      </c>
      <c r="C67" s="1240">
        <f t="shared" si="9"/>
        <v>-4.7619047619047672E-2</v>
      </c>
      <c r="D67" s="1240">
        <f t="shared" si="9"/>
        <v>-7.4999999999999512E-3</v>
      </c>
      <c r="E67" s="1240">
        <f t="shared" si="9"/>
        <v>-0.43324937027707811</v>
      </c>
      <c r="F67" s="1240">
        <f t="shared" si="9"/>
        <v>-0.83555555555555561</v>
      </c>
      <c r="G67" s="1240">
        <f t="shared" si="9"/>
        <v>-0.93513513513513513</v>
      </c>
      <c r="H67" s="1240">
        <f t="shared" si="9"/>
        <v>-0.54166666666666674</v>
      </c>
      <c r="I67" s="1240">
        <f t="shared" si="9"/>
        <v>-9.0909090909090828E-2</v>
      </c>
      <c r="J67" s="1240">
        <f t="shared" si="9"/>
        <v>-0.5</v>
      </c>
      <c r="K67" s="1240">
        <f t="shared" si="9"/>
        <v>-0.34666666666666668</v>
      </c>
      <c r="L67" s="1240">
        <f t="shared" ref="L67:Y76" si="10">IFERROR(IF(OR(SECTOR_AAC=0,SECTOR_AAC=-1),CHAR(150),SECTOR_AAC),IF(COLUMN()&lt;=2,"",CHAR(150)))</f>
        <v>-0.87755102040816324</v>
      </c>
      <c r="M67" s="1240">
        <f t="shared" si="10"/>
        <v>114.00000000000001</v>
      </c>
      <c r="N67" s="1240">
        <f t="shared" si="10"/>
        <v>6.1086956521739122</v>
      </c>
      <c r="O67" s="1240">
        <f t="shared" si="10"/>
        <v>0.72477064220183474</v>
      </c>
      <c r="P67" s="1240">
        <f t="shared" si="10"/>
        <v>0.60283687943262421</v>
      </c>
      <c r="Q67" s="1240">
        <f t="shared" si="10"/>
        <v>2.1648230088495577</v>
      </c>
      <c r="R67" s="1240">
        <f t="shared" si="10"/>
        <v>0.17196784341139471</v>
      </c>
      <c r="S67" s="1240">
        <f t="shared" si="10"/>
        <v>0.3957649865791828</v>
      </c>
      <c r="T67" s="1240">
        <f t="shared" si="10"/>
        <v>-0.40527065527065531</v>
      </c>
      <c r="U67" s="1240">
        <f t="shared" si="10"/>
        <v>-0.45992814371257484</v>
      </c>
      <c r="V67" s="1240">
        <f t="shared" si="10"/>
        <v>1.0389835018626932</v>
      </c>
      <c r="W67" s="1240">
        <f t="shared" si="10"/>
        <v>0.84469820554649266</v>
      </c>
      <c r="X67" s="1240">
        <f t="shared" si="10"/>
        <v>0.21878316236292905</v>
      </c>
      <c r="Y67" s="1240">
        <f t="shared" si="10"/>
        <v>-0.65079862622744644</v>
      </c>
      <c r="Z67" s="1240">
        <f t="shared" si="8"/>
        <v>-2.3925435198745015E-2</v>
      </c>
    </row>
    <row r="68" spans="1:26" ht="12.75" customHeight="1">
      <c r="A68" s="1244" t="s">
        <v>1875</v>
      </c>
      <c r="B68" s="1240" t="str">
        <f t="shared" si="9"/>
        <v/>
      </c>
      <c r="C68" s="1240" t="str">
        <f t="shared" si="9"/>
        <v>–</v>
      </c>
      <c r="D68" s="1240" t="str">
        <f t="shared" si="9"/>
        <v>–</v>
      </c>
      <c r="E68" s="1240" t="str">
        <f t="shared" si="9"/>
        <v>–</v>
      </c>
      <c r="F68" s="1240" t="str">
        <f t="shared" si="9"/>
        <v>–</v>
      </c>
      <c r="G68" s="1240" t="str">
        <f t="shared" si="9"/>
        <v>–</v>
      </c>
      <c r="H68" s="1240" t="str">
        <f t="shared" si="9"/>
        <v>–</v>
      </c>
      <c r="I68" s="1240" t="str">
        <f t="shared" si="9"/>
        <v>–</v>
      </c>
      <c r="J68" s="1240" t="str">
        <f t="shared" si="9"/>
        <v>–</v>
      </c>
      <c r="K68" s="1240" t="str">
        <f t="shared" si="9"/>
        <v>–</v>
      </c>
      <c r="L68" s="1240" t="str">
        <f t="shared" si="10"/>
        <v>–</v>
      </c>
      <c r="M68" s="1240" t="str">
        <f t="shared" si="10"/>
        <v>–</v>
      </c>
      <c r="N68" s="1240" t="str">
        <f t="shared" si="10"/>
        <v>–</v>
      </c>
      <c r="O68" s="1240" t="str">
        <f t="shared" si="10"/>
        <v>–</v>
      </c>
      <c r="P68" s="1240" t="str">
        <f t="shared" si="10"/>
        <v>–</v>
      </c>
      <c r="Q68" s="1240" t="str">
        <f t="shared" si="10"/>
        <v>–</v>
      </c>
      <c r="R68" s="1240" t="str">
        <f t="shared" si="10"/>
        <v>–</v>
      </c>
      <c r="S68" s="1240" t="str">
        <f t="shared" si="10"/>
        <v>–</v>
      </c>
      <c r="T68" s="1240" t="str">
        <f t="shared" si="10"/>
        <v>–</v>
      </c>
      <c r="U68" s="1240" t="str">
        <f t="shared" si="10"/>
        <v>–</v>
      </c>
      <c r="V68" s="1240" t="str">
        <f t="shared" si="10"/>
        <v>–</v>
      </c>
      <c r="W68" s="1240" t="str">
        <f t="shared" si="10"/>
        <v>–</v>
      </c>
      <c r="X68" s="1240" t="str">
        <f t="shared" si="10"/>
        <v>–</v>
      </c>
      <c r="Y68" s="1240" t="str">
        <f t="shared" si="10"/>
        <v>–</v>
      </c>
      <c r="Z68" s="1240" t="str">
        <f t="shared" si="8"/>
        <v>–</v>
      </c>
    </row>
    <row r="69" spans="1:26" ht="12.75" customHeight="1">
      <c r="A69" s="1244" t="s">
        <v>1876</v>
      </c>
      <c r="B69" s="1240" t="str">
        <f t="shared" si="9"/>
        <v/>
      </c>
      <c r="C69" s="1240" t="str">
        <f t="shared" si="9"/>
        <v>–</v>
      </c>
      <c r="D69" s="1240" t="str">
        <f t="shared" si="9"/>
        <v>–</v>
      </c>
      <c r="E69" s="1240" t="str">
        <f t="shared" si="9"/>
        <v>–</v>
      </c>
      <c r="F69" s="1240" t="str">
        <f t="shared" si="9"/>
        <v>–</v>
      </c>
      <c r="G69" s="1240" t="str">
        <f t="shared" si="9"/>
        <v>–</v>
      </c>
      <c r="H69" s="1240" t="str">
        <f t="shared" si="9"/>
        <v>–</v>
      </c>
      <c r="I69" s="1240" t="str">
        <f t="shared" si="9"/>
        <v>–</v>
      </c>
      <c r="J69" s="1240" t="str">
        <f t="shared" si="9"/>
        <v>–</v>
      </c>
      <c r="K69" s="1240" t="str">
        <f t="shared" si="9"/>
        <v>–</v>
      </c>
      <c r="L69" s="1240" t="str">
        <f t="shared" si="10"/>
        <v>–</v>
      </c>
      <c r="M69" s="1240" t="str">
        <f t="shared" si="10"/>
        <v>–</v>
      </c>
      <c r="N69" s="1240" t="str">
        <f t="shared" si="10"/>
        <v>–</v>
      </c>
      <c r="O69" s="1240" t="str">
        <f t="shared" si="10"/>
        <v>–</v>
      </c>
      <c r="P69" s="1240" t="str">
        <f t="shared" si="10"/>
        <v>–</v>
      </c>
      <c r="Q69" s="1240" t="str">
        <f t="shared" si="10"/>
        <v>–</v>
      </c>
      <c r="R69" s="1240" t="str">
        <f t="shared" si="10"/>
        <v>–</v>
      </c>
      <c r="S69" s="1240" t="str">
        <f t="shared" si="10"/>
        <v>–</v>
      </c>
      <c r="T69" s="1240" t="str">
        <f t="shared" si="10"/>
        <v>–</v>
      </c>
      <c r="U69" s="1240" t="str">
        <f t="shared" si="10"/>
        <v>–</v>
      </c>
      <c r="V69" s="1240" t="str">
        <f t="shared" si="10"/>
        <v>–</v>
      </c>
      <c r="W69" s="1240" t="str">
        <f t="shared" si="10"/>
        <v>–</v>
      </c>
      <c r="X69" s="1240" t="str">
        <f t="shared" si="10"/>
        <v>–</v>
      </c>
      <c r="Y69" s="1240" t="str">
        <f t="shared" si="10"/>
        <v>–</v>
      </c>
      <c r="Z69" s="1240" t="str">
        <f t="shared" si="8"/>
        <v>–</v>
      </c>
    </row>
    <row r="70" spans="1:26" ht="12.75" customHeight="1">
      <c r="A70" s="1244" t="s">
        <v>1877</v>
      </c>
      <c r="B70" s="1240" t="str">
        <f t="shared" si="9"/>
        <v/>
      </c>
      <c r="C70" s="1240" t="str">
        <f t="shared" si="9"/>
        <v>–</v>
      </c>
      <c r="D70" s="1240" t="str">
        <f t="shared" si="9"/>
        <v>–</v>
      </c>
      <c r="E70" s="1240" t="str">
        <f t="shared" si="9"/>
        <v>–</v>
      </c>
      <c r="F70" s="1240" t="str">
        <f t="shared" si="9"/>
        <v>–</v>
      </c>
      <c r="G70" s="1240" t="str">
        <f t="shared" si="9"/>
        <v>–</v>
      </c>
      <c r="H70" s="1240" t="str">
        <f t="shared" si="9"/>
        <v>–</v>
      </c>
      <c r="I70" s="1240" t="str">
        <f t="shared" si="9"/>
        <v>–</v>
      </c>
      <c r="J70" s="1240" t="str">
        <f t="shared" si="9"/>
        <v>–</v>
      </c>
      <c r="K70" s="1240" t="str">
        <f t="shared" si="9"/>
        <v>–</v>
      </c>
      <c r="L70" s="1240" t="str">
        <f t="shared" si="10"/>
        <v>–</v>
      </c>
      <c r="M70" s="1240" t="str">
        <f t="shared" si="10"/>
        <v>–</v>
      </c>
      <c r="N70" s="1240" t="str">
        <f t="shared" si="10"/>
        <v>–</v>
      </c>
      <c r="O70" s="1240" t="str">
        <f t="shared" si="10"/>
        <v>–</v>
      </c>
      <c r="P70" s="1240" t="str">
        <f t="shared" si="10"/>
        <v>–</v>
      </c>
      <c r="Q70" s="1240" t="str">
        <f t="shared" si="10"/>
        <v>–</v>
      </c>
      <c r="R70" s="1240" t="str">
        <f t="shared" si="10"/>
        <v>–</v>
      </c>
      <c r="S70" s="1240" t="str">
        <f t="shared" si="10"/>
        <v>–</v>
      </c>
      <c r="T70" s="1240" t="str">
        <f t="shared" si="10"/>
        <v>–</v>
      </c>
      <c r="U70" s="1240" t="str">
        <f t="shared" si="10"/>
        <v>–</v>
      </c>
      <c r="V70" s="1240" t="str">
        <f t="shared" si="10"/>
        <v>–</v>
      </c>
      <c r="W70" s="1240" t="str">
        <f t="shared" si="10"/>
        <v>–</v>
      </c>
      <c r="X70" s="1240" t="str">
        <f t="shared" si="10"/>
        <v>–</v>
      </c>
      <c r="Y70" s="1240" t="str">
        <f t="shared" si="10"/>
        <v>–</v>
      </c>
      <c r="Z70" s="1240" t="str">
        <f t="shared" si="8"/>
        <v>–</v>
      </c>
    </row>
    <row r="71" spans="1:26" ht="12.75" customHeight="1">
      <c r="A71" s="1244" t="s">
        <v>1878</v>
      </c>
      <c r="B71" s="1240" t="str">
        <f t="shared" si="9"/>
        <v/>
      </c>
      <c r="C71" s="1240" t="str">
        <f t="shared" si="9"/>
        <v>–</v>
      </c>
      <c r="D71" s="1240" t="str">
        <f t="shared" si="9"/>
        <v>–</v>
      </c>
      <c r="E71" s="1240" t="str">
        <f t="shared" si="9"/>
        <v>–</v>
      </c>
      <c r="F71" s="1240" t="str">
        <f t="shared" si="9"/>
        <v>–</v>
      </c>
      <c r="G71" s="1240" t="str">
        <f t="shared" si="9"/>
        <v>–</v>
      </c>
      <c r="H71" s="1240" t="str">
        <f t="shared" si="9"/>
        <v>–</v>
      </c>
      <c r="I71" s="1240" t="str">
        <f t="shared" si="9"/>
        <v>–</v>
      </c>
      <c r="J71" s="1240" t="str">
        <f t="shared" si="9"/>
        <v>–</v>
      </c>
      <c r="K71" s="1240" t="str">
        <f t="shared" si="9"/>
        <v>–</v>
      </c>
      <c r="L71" s="1240" t="str">
        <f t="shared" si="10"/>
        <v>–</v>
      </c>
      <c r="M71" s="1240" t="str">
        <f t="shared" si="10"/>
        <v>–</v>
      </c>
      <c r="N71" s="1240" t="str">
        <f t="shared" si="10"/>
        <v>–</v>
      </c>
      <c r="O71" s="1240" t="str">
        <f t="shared" si="10"/>
        <v>–</v>
      </c>
      <c r="P71" s="1240" t="str">
        <f t="shared" si="10"/>
        <v>–</v>
      </c>
      <c r="Q71" s="1240" t="str">
        <f t="shared" si="10"/>
        <v>–</v>
      </c>
      <c r="R71" s="1240" t="str">
        <f t="shared" si="10"/>
        <v>–</v>
      </c>
      <c r="S71" s="1240" t="str">
        <f t="shared" si="10"/>
        <v>–</v>
      </c>
      <c r="T71" s="1240" t="str">
        <f t="shared" si="10"/>
        <v>–</v>
      </c>
      <c r="U71" s="1240" t="str">
        <f t="shared" si="10"/>
        <v>–</v>
      </c>
      <c r="V71" s="1240" t="str">
        <f t="shared" si="10"/>
        <v>–</v>
      </c>
      <c r="W71" s="1240" t="str">
        <f t="shared" si="10"/>
        <v>–</v>
      </c>
      <c r="X71" s="1240" t="str">
        <f t="shared" si="10"/>
        <v>–</v>
      </c>
      <c r="Y71" s="1240" t="str">
        <f t="shared" si="10"/>
        <v>–</v>
      </c>
      <c r="Z71" s="1240" t="str">
        <f t="shared" si="8"/>
        <v>–</v>
      </c>
    </row>
    <row r="72" spans="1:26" ht="12.75" customHeight="1">
      <c r="A72" s="1238" t="s">
        <v>1880</v>
      </c>
      <c r="B72" s="1240" t="str">
        <f t="shared" si="9"/>
        <v/>
      </c>
      <c r="C72" s="1240" t="str">
        <f t="shared" si="9"/>
        <v>–</v>
      </c>
      <c r="D72" s="1240" t="str">
        <f t="shared" si="9"/>
        <v>–</v>
      </c>
      <c r="E72" s="1240" t="str">
        <f t="shared" si="9"/>
        <v>–</v>
      </c>
      <c r="F72" s="1240" t="str">
        <f t="shared" si="9"/>
        <v>–</v>
      </c>
      <c r="G72" s="1240" t="str">
        <f t="shared" si="9"/>
        <v>–</v>
      </c>
      <c r="H72" s="1240" t="str">
        <f t="shared" si="9"/>
        <v>–</v>
      </c>
      <c r="I72" s="1240" t="str">
        <f t="shared" si="9"/>
        <v>–</v>
      </c>
      <c r="J72" s="1240" t="str">
        <f t="shared" si="9"/>
        <v>–</v>
      </c>
      <c r="K72" s="1240" t="str">
        <f t="shared" si="9"/>
        <v>–</v>
      </c>
      <c r="L72" s="1240" t="str">
        <f t="shared" si="10"/>
        <v>–</v>
      </c>
      <c r="M72" s="1240" t="str">
        <f t="shared" si="10"/>
        <v>–</v>
      </c>
      <c r="N72" s="1240" t="str">
        <f t="shared" si="10"/>
        <v>–</v>
      </c>
      <c r="O72" s="1240" t="str">
        <f t="shared" si="10"/>
        <v>–</v>
      </c>
      <c r="P72" s="1240" t="str">
        <f t="shared" si="10"/>
        <v>–</v>
      </c>
      <c r="Q72" s="1240" t="str">
        <f t="shared" si="10"/>
        <v>–</v>
      </c>
      <c r="R72" s="1240" t="str">
        <f t="shared" si="10"/>
        <v>–</v>
      </c>
      <c r="S72" s="1240" t="str">
        <f t="shared" si="10"/>
        <v>–</v>
      </c>
      <c r="T72" s="1240" t="str">
        <f t="shared" si="10"/>
        <v>–</v>
      </c>
      <c r="U72" s="1240" t="str">
        <f t="shared" si="10"/>
        <v>–</v>
      </c>
      <c r="V72" s="1240" t="str">
        <f t="shared" si="10"/>
        <v>–</v>
      </c>
      <c r="W72" s="1240" t="str">
        <f t="shared" si="10"/>
        <v>–</v>
      </c>
      <c r="X72" s="1240" t="str">
        <f t="shared" si="10"/>
        <v>–</v>
      </c>
      <c r="Y72" s="1240" t="str">
        <f t="shared" si="10"/>
        <v>–</v>
      </c>
      <c r="Z72" s="1240" t="str">
        <f t="shared" si="8"/>
        <v>–</v>
      </c>
    </row>
    <row r="73" spans="1:26" ht="12.75" customHeight="1">
      <c r="A73" s="1238" t="s">
        <v>1881</v>
      </c>
      <c r="B73" s="1240" t="str">
        <f t="shared" si="9"/>
        <v/>
      </c>
      <c r="C73" s="1240">
        <f t="shared" si="9"/>
        <v>-0.28199915357773109</v>
      </c>
      <c r="D73" s="1240">
        <f t="shared" si="9"/>
        <v>2.127730561604313E-2</v>
      </c>
      <c r="E73" s="1240">
        <f t="shared" si="9"/>
        <v>-8.4766951321237127E-2</v>
      </c>
      <c r="F73" s="1240">
        <f t="shared" si="9"/>
        <v>-0.11671172114451056</v>
      </c>
      <c r="G73" s="1240">
        <f t="shared" si="9"/>
        <v>-2.1654911553776302E-2</v>
      </c>
      <c r="H73" s="1240">
        <f t="shared" si="9"/>
        <v>4.0801546476918471E-2</v>
      </c>
      <c r="I73" s="1240">
        <f t="shared" si="9"/>
        <v>8.473271334647392E-2</v>
      </c>
      <c r="J73" s="1240">
        <f t="shared" si="9"/>
        <v>7.9011490496132986E-2</v>
      </c>
      <c r="K73" s="1240">
        <f t="shared" si="9"/>
        <v>0.15837788351775028</v>
      </c>
      <c r="L73" s="1240">
        <f t="shared" si="10"/>
        <v>4.9325884136762976E-2</v>
      </c>
      <c r="M73" s="1240">
        <f t="shared" si="10"/>
        <v>4.2346845791350951E-2</v>
      </c>
      <c r="N73" s="1240">
        <f t="shared" si="10"/>
        <v>5.2053802250502601E-2</v>
      </c>
      <c r="O73" s="1240">
        <f t="shared" si="10"/>
        <v>3.0325281978316854E-2</v>
      </c>
      <c r="P73" s="1240">
        <f t="shared" si="10"/>
        <v>3.4240521434273363E-2</v>
      </c>
      <c r="Q73" s="1240">
        <f t="shared" si="10"/>
        <v>2.9581862568790473E-2</v>
      </c>
      <c r="R73" s="1240">
        <f t="shared" si="10"/>
        <v>3.3931734642458578E-2</v>
      </c>
      <c r="S73" s="1240">
        <f t="shared" si="10"/>
        <v>4.6960822128336632E-2</v>
      </c>
      <c r="T73" s="1240">
        <f t="shared" si="10"/>
        <v>2.4574831146206622E-2</v>
      </c>
      <c r="U73" s="1240">
        <f t="shared" si="10"/>
        <v>1.2589196119968671E-2</v>
      </c>
      <c r="V73" s="1240">
        <f t="shared" si="10"/>
        <v>-2.9977166153053458E-3</v>
      </c>
      <c r="W73" s="1240">
        <f t="shared" si="10"/>
        <v>-2.0095944779982666E-2</v>
      </c>
      <c r="X73" s="1240">
        <f t="shared" si="10"/>
        <v>-9.2108117855562721E-3</v>
      </c>
      <c r="Y73" s="1240">
        <f t="shared" si="10"/>
        <v>-4.8143744881128492E-2</v>
      </c>
      <c r="Z73" s="1240">
        <f t="shared" si="8"/>
        <v>2.9085670355102344E-3</v>
      </c>
    </row>
    <row r="74" spans="1:26" ht="12.75" customHeight="1">
      <c r="A74" s="1244" t="s">
        <v>1882</v>
      </c>
      <c r="B74" s="1240" t="str">
        <f t="shared" si="9"/>
        <v/>
      </c>
      <c r="C74" s="1240">
        <f t="shared" si="9"/>
        <v>-7.3491267508213332E-3</v>
      </c>
      <c r="D74" s="1240">
        <f t="shared" si="9"/>
        <v>-3.849838864210442E-2</v>
      </c>
      <c r="E74" s="1240">
        <f t="shared" si="9"/>
        <v>1.8661110607844922E-2</v>
      </c>
      <c r="F74" s="1240">
        <f t="shared" si="9"/>
        <v>-9.035126722987985E-2</v>
      </c>
      <c r="G74" s="1240">
        <f t="shared" si="9"/>
        <v>2.1116433668980195E-2</v>
      </c>
      <c r="H74" s="1240">
        <f t="shared" si="9"/>
        <v>5.1603638104356087E-2</v>
      </c>
      <c r="I74" s="1240">
        <f t="shared" si="9"/>
        <v>4.6795338674435527E-2</v>
      </c>
      <c r="J74" s="1240">
        <f t="shared" si="9"/>
        <v>4.0615759262480511E-2</v>
      </c>
      <c r="K74" s="1240">
        <f t="shared" si="9"/>
        <v>2.749686585875466E-2</v>
      </c>
      <c r="L74" s="1240">
        <f t="shared" si="10"/>
        <v>5.0268423621278702E-2</v>
      </c>
      <c r="M74" s="1240">
        <f t="shared" si="10"/>
        <v>4.7010532837670205E-2</v>
      </c>
      <c r="N74" s="1240">
        <f t="shared" si="10"/>
        <v>4.4381980915748187E-2</v>
      </c>
      <c r="O74" s="1240">
        <f t="shared" si="10"/>
        <v>3.1871945605212781E-2</v>
      </c>
      <c r="P74" s="1240">
        <f t="shared" si="10"/>
        <v>3.1779806438327896E-2</v>
      </c>
      <c r="Q74" s="1240">
        <f t="shared" si="10"/>
        <v>2.2352315061202832E-2</v>
      </c>
      <c r="R74" s="1240">
        <f t="shared" si="10"/>
        <v>6.0320145757417842E-2</v>
      </c>
      <c r="S74" s="1240">
        <f t="shared" si="10"/>
        <v>2.7247621969929581E-2</v>
      </c>
      <c r="T74" s="1240">
        <f t="shared" si="10"/>
        <v>5.4901726506959792E-2</v>
      </c>
      <c r="U74" s="1240">
        <f t="shared" si="10"/>
        <v>-1.4667572771548287E-2</v>
      </c>
      <c r="V74" s="1240">
        <f t="shared" si="10"/>
        <v>8.1039140180469982E-3</v>
      </c>
      <c r="W74" s="1240">
        <f t="shared" si="10"/>
        <v>-2.7366020524515422E-2</v>
      </c>
      <c r="X74" s="1240">
        <f t="shared" si="10"/>
        <v>-2.6670574443141803E-2</v>
      </c>
      <c r="Y74" s="1240">
        <f t="shared" si="10"/>
        <v>6.4790725685034634E-2</v>
      </c>
      <c r="Z74" s="1240">
        <f t="shared" si="8"/>
        <v>1.8624015216023748E-2</v>
      </c>
    </row>
    <row r="75" spans="1:26" ht="12.75" customHeight="1">
      <c r="A75" s="1244" t="s">
        <v>1883</v>
      </c>
      <c r="B75" s="1240" t="str">
        <f t="shared" si="9"/>
        <v/>
      </c>
      <c r="C75" s="1240">
        <f t="shared" si="9"/>
        <v>-1.9941619296358959E-2</v>
      </c>
      <c r="D75" s="1240">
        <f t="shared" si="9"/>
        <v>-3.2778404815650863E-2</v>
      </c>
      <c r="E75" s="1240">
        <f t="shared" si="9"/>
        <v>-0.1297709923664121</v>
      </c>
      <c r="F75" s="1240">
        <f t="shared" si="9"/>
        <v>-7.6507617238425252E-2</v>
      </c>
      <c r="G75" s="1240">
        <f t="shared" si="9"/>
        <v>-1.3148872665671885E-2</v>
      </c>
      <c r="H75" s="1240">
        <f t="shared" si="9"/>
        <v>4.3998038173866938E-2</v>
      </c>
      <c r="I75" s="1240">
        <f t="shared" si="9"/>
        <v>0.10231565760369565</v>
      </c>
      <c r="J75" s="1240">
        <f t="shared" si="9"/>
        <v>9.3191746279788434E-2</v>
      </c>
      <c r="K75" s="1240">
        <f t="shared" si="9"/>
        <v>0.44405639842760136</v>
      </c>
      <c r="L75" s="1240">
        <f t="shared" si="10"/>
        <v>2.4634697803124883E-2</v>
      </c>
      <c r="M75" s="1240">
        <f t="shared" si="10"/>
        <v>2.9520578774605122E-2</v>
      </c>
      <c r="N75" s="1240">
        <f t="shared" si="10"/>
        <v>3.1979782038431104E-2</v>
      </c>
      <c r="O75" s="1240">
        <f t="shared" si="10"/>
        <v>2.2412350041848939E-2</v>
      </c>
      <c r="P75" s="1240">
        <f t="shared" si="10"/>
        <v>2.946051381561654E-2</v>
      </c>
      <c r="Q75" s="1240">
        <f t="shared" si="10"/>
        <v>1.9025927489421779E-2</v>
      </c>
      <c r="R75" s="1240">
        <f t="shared" si="10"/>
        <v>1.4672588367903305E-2</v>
      </c>
      <c r="S75" s="1240">
        <f t="shared" si="10"/>
        <v>2.2939177000057098E-2</v>
      </c>
      <c r="T75" s="1240">
        <f t="shared" si="10"/>
        <v>4.2594070801388328E-2</v>
      </c>
      <c r="U75" s="1240">
        <f t="shared" si="10"/>
        <v>-1.687038735121571E-2</v>
      </c>
      <c r="V75" s="1240">
        <f t="shared" si="10"/>
        <v>6.9907273254130597E-3</v>
      </c>
      <c r="W75" s="1240">
        <f t="shared" si="10"/>
        <v>-6.0519405776771062E-3</v>
      </c>
      <c r="X75" s="1240">
        <f t="shared" si="10"/>
        <v>-7.6666274619789809E-2</v>
      </c>
      <c r="Y75" s="1240">
        <f t="shared" si="10"/>
        <v>1.1229391418520862E-2</v>
      </c>
      <c r="Z75" s="1240">
        <f t="shared" si="8"/>
        <v>2.0242475507781466E-2</v>
      </c>
    </row>
    <row r="76" spans="1:26" ht="12.75" customHeight="1">
      <c r="A76" s="1244" t="s">
        <v>1884</v>
      </c>
      <c r="B76" s="1240" t="str">
        <f t="shared" si="9"/>
        <v/>
      </c>
      <c r="C76" s="1240">
        <f t="shared" si="9"/>
        <v>1</v>
      </c>
      <c r="D76" s="1240">
        <f t="shared" si="9"/>
        <v>-0.10000000000000009</v>
      </c>
      <c r="E76" s="1240">
        <f t="shared" si="9"/>
        <v>0.33333333333333348</v>
      </c>
      <c r="F76" s="1240">
        <f t="shared" si="9"/>
        <v>-0.16666666666666663</v>
      </c>
      <c r="G76" s="1240">
        <f t="shared" si="9"/>
        <v>1</v>
      </c>
      <c r="H76" s="1240">
        <f t="shared" si="9"/>
        <v>0.19999999999999996</v>
      </c>
      <c r="I76" s="1240">
        <f t="shared" si="9"/>
        <v>4.1666666666666741E-2</v>
      </c>
      <c r="J76" s="1240" t="str">
        <f t="shared" si="9"/>
        <v>–</v>
      </c>
      <c r="K76" s="1240">
        <f t="shared" si="9"/>
        <v>0.43999999999999995</v>
      </c>
      <c r="L76" s="1240">
        <f t="shared" si="10"/>
        <v>0.25</v>
      </c>
      <c r="M76" s="1240">
        <f t="shared" si="10"/>
        <v>-0.15555555555555545</v>
      </c>
      <c r="N76" s="1240">
        <f t="shared" si="10"/>
        <v>-5.2631578947368474E-2</v>
      </c>
      <c r="O76" s="1240">
        <f t="shared" si="10"/>
        <v>-8.333333333333337E-2</v>
      </c>
      <c r="P76" s="1240">
        <f t="shared" si="10"/>
        <v>-0.21212121212121204</v>
      </c>
      <c r="Q76" s="1240">
        <f t="shared" si="10"/>
        <v>-0.11538461538461542</v>
      </c>
      <c r="R76" s="1240">
        <f t="shared" si="10"/>
        <v>-0.47826086956521741</v>
      </c>
      <c r="S76" s="1240">
        <f t="shared" si="10"/>
        <v>-8.333333333333337E-2</v>
      </c>
      <c r="T76" s="1240">
        <f t="shared" si="10"/>
        <v>0.18181818181818188</v>
      </c>
      <c r="U76" s="1240">
        <f t="shared" si="10"/>
        <v>0.30769230769230771</v>
      </c>
      <c r="V76" s="1240">
        <f t="shared" si="10"/>
        <v>-5.8823529411764719E-2</v>
      </c>
      <c r="W76" s="1240" t="str">
        <f t="shared" si="10"/>
        <v>–</v>
      </c>
      <c r="X76" s="1240" t="str">
        <f t="shared" si="10"/>
        <v>–</v>
      </c>
      <c r="Y76" s="1240">
        <f t="shared" si="10"/>
        <v>3.6648187500000002</v>
      </c>
      <c r="Z76" s="1240">
        <f t="shared" si="8"/>
        <v>0.12471584964559757</v>
      </c>
    </row>
    <row r="77" spans="1:26" ht="12.75" customHeight="1">
      <c r="A77" s="1244" t="s">
        <v>1885</v>
      </c>
      <c r="B77" s="1240" t="str">
        <f t="shared" ref="B77:K86" si="11">IFERROR(IF(OR(SECTOR_AAC=0,SECTOR_AAC=-1),CHAR(150),SECTOR_AAC),IF(COLUMN()&lt;=2,"",CHAR(150)))</f>
        <v/>
      </c>
      <c r="C77" s="1240">
        <f t="shared" si="11"/>
        <v>-0.55226824457593682</v>
      </c>
      <c r="D77" s="1240">
        <f t="shared" si="11"/>
        <v>0.15859030837004395</v>
      </c>
      <c r="E77" s="1240">
        <f t="shared" si="11"/>
        <v>-0.21292775665399233</v>
      </c>
      <c r="F77" s="1240">
        <f t="shared" si="11"/>
        <v>-0.18357487922705318</v>
      </c>
      <c r="G77" s="1240">
        <f t="shared" si="11"/>
        <v>-0.11538461538461542</v>
      </c>
      <c r="H77" s="1240">
        <f t="shared" si="11"/>
        <v>1.3377926421404673E-2</v>
      </c>
      <c r="I77" s="1240">
        <f t="shared" si="11"/>
        <v>0.17821782178217838</v>
      </c>
      <c r="J77" s="1240">
        <f t="shared" si="11"/>
        <v>0.1568627450980391</v>
      </c>
      <c r="K77" s="1240">
        <f t="shared" si="11"/>
        <v>0.27845036319612593</v>
      </c>
      <c r="L77" s="1240">
        <f t="shared" ref="L77:Y86" si="12">IFERROR(IF(OR(SECTOR_AAC=0,SECTOR_AAC=-1),CHAR(150),SECTOR_AAC),IF(COLUMN()&lt;=2,"",CHAR(150)))</f>
        <v>6.0606060606060552E-2</v>
      </c>
      <c r="M77" s="1240">
        <f t="shared" si="12"/>
        <v>4.2857142857142927E-2</v>
      </c>
      <c r="N77" s="1240">
        <f t="shared" si="12"/>
        <v>7.5342465753424515E-2</v>
      </c>
      <c r="O77" s="1240">
        <f t="shared" si="12"/>
        <v>3.1847133757961776E-2</v>
      </c>
      <c r="P77" s="1240">
        <f t="shared" si="12"/>
        <v>4.0123456790123635E-2</v>
      </c>
      <c r="Q77" s="1240">
        <f t="shared" si="12"/>
        <v>4.4510385756676651E-2</v>
      </c>
      <c r="R77" s="1240">
        <f t="shared" si="12"/>
        <v>1.1817265395894339E-2</v>
      </c>
      <c r="S77" s="1240">
        <f t="shared" si="12"/>
        <v>8.5187415937940214E-2</v>
      </c>
      <c r="T77" s="1240">
        <f t="shared" si="12"/>
        <v>-2.7166882276843607E-2</v>
      </c>
      <c r="U77" s="1240">
        <f t="shared" si="12"/>
        <v>7.1808510638297962E-2</v>
      </c>
      <c r="V77" s="1240">
        <f t="shared" si="12"/>
        <v>-2.4813895781637729E-2</v>
      </c>
      <c r="W77" s="1240">
        <f t="shared" si="12"/>
        <v>-1.5267175572518998E-2</v>
      </c>
      <c r="X77" s="1240">
        <f t="shared" si="12"/>
        <v>4.7803617571059442E-2</v>
      </c>
      <c r="Y77" s="1240">
        <f t="shared" si="12"/>
        <v>-0.23092478421701601</v>
      </c>
      <c r="Z77" s="1240">
        <f t="shared" si="8"/>
        <v>-2.0906905275321352E-2</v>
      </c>
    </row>
    <row r="78" spans="1:26" ht="12.75" customHeight="1">
      <c r="A78" s="1244" t="s">
        <v>1886</v>
      </c>
      <c r="B78" s="1240" t="str">
        <f t="shared" si="11"/>
        <v/>
      </c>
      <c r="C78" s="1240" t="str">
        <f t="shared" si="11"/>
        <v>–</v>
      </c>
      <c r="D78" s="1240" t="str">
        <f t="shared" si="11"/>
        <v>–</v>
      </c>
      <c r="E78" s="1240" t="str">
        <f t="shared" si="11"/>
        <v>–</v>
      </c>
      <c r="F78" s="1240" t="str">
        <f t="shared" si="11"/>
        <v>–</v>
      </c>
      <c r="G78" s="1240" t="str">
        <f t="shared" si="11"/>
        <v>–</v>
      </c>
      <c r="H78" s="1240" t="str">
        <f t="shared" si="11"/>
        <v>–</v>
      </c>
      <c r="I78" s="1240" t="str">
        <f t="shared" si="11"/>
        <v>–</v>
      </c>
      <c r="J78" s="1240" t="str">
        <f t="shared" si="11"/>
        <v>–</v>
      </c>
      <c r="K78" s="1240" t="str">
        <f t="shared" si="11"/>
        <v>–</v>
      </c>
      <c r="L78" s="1240" t="str">
        <f t="shared" si="12"/>
        <v>–</v>
      </c>
      <c r="M78" s="1240" t="str">
        <f t="shared" si="12"/>
        <v>–</v>
      </c>
      <c r="N78" s="1240" t="str">
        <f t="shared" si="12"/>
        <v>–</v>
      </c>
      <c r="O78" s="1240" t="str">
        <f t="shared" si="12"/>
        <v>–</v>
      </c>
      <c r="P78" s="1240" t="str">
        <f t="shared" si="12"/>
        <v>–</v>
      </c>
      <c r="Q78" s="1240" t="str">
        <f t="shared" si="12"/>
        <v>–</v>
      </c>
      <c r="R78" s="1240" t="str">
        <f t="shared" si="12"/>
        <v>–</v>
      </c>
      <c r="S78" s="1240" t="str">
        <f t="shared" si="12"/>
        <v>–</v>
      </c>
      <c r="T78" s="1240" t="str">
        <f t="shared" si="12"/>
        <v>–</v>
      </c>
      <c r="U78" s="1240" t="str">
        <f t="shared" si="12"/>
        <v>–</v>
      </c>
      <c r="V78" s="1240" t="str">
        <f t="shared" si="12"/>
        <v>–</v>
      </c>
      <c r="W78" s="1240" t="str">
        <f t="shared" si="12"/>
        <v>–</v>
      </c>
      <c r="X78" s="1240" t="str">
        <f t="shared" si="12"/>
        <v>–</v>
      </c>
      <c r="Y78" s="1240" t="str">
        <f t="shared" si="12"/>
        <v>–</v>
      </c>
      <c r="Z78" s="1240" t="str">
        <f t="shared" si="8"/>
        <v>–</v>
      </c>
    </row>
    <row r="79" spans="1:26" ht="12.75" customHeight="1">
      <c r="A79" s="1244" t="s">
        <v>1887</v>
      </c>
      <c r="B79" s="1240" t="str">
        <f t="shared" si="11"/>
        <v/>
      </c>
      <c r="C79" s="1240" t="str">
        <f t="shared" si="11"/>
        <v>–</v>
      </c>
      <c r="D79" s="1240">
        <f t="shared" si="11"/>
        <v>-0.37313432835820892</v>
      </c>
      <c r="E79" s="1240">
        <f t="shared" si="11"/>
        <v>-0.15476190476190477</v>
      </c>
      <c r="F79" s="1240" t="str">
        <f t="shared" si="11"/>
        <v>–</v>
      </c>
      <c r="G79" s="1240">
        <f t="shared" si="11"/>
        <v>-2.8169014084507005E-2</v>
      </c>
      <c r="H79" s="1240">
        <f t="shared" si="11"/>
        <v>1.4492753623188248E-2</v>
      </c>
      <c r="I79" s="1240">
        <f t="shared" si="11"/>
        <v>-0.51428571428571423</v>
      </c>
      <c r="J79" s="1240">
        <f t="shared" si="11"/>
        <v>-2.9411764705882359E-2</v>
      </c>
      <c r="K79" s="1240">
        <f t="shared" si="11"/>
        <v>-9.0909090909090939E-2</v>
      </c>
      <c r="L79" s="1240" t="str">
        <f t="shared" si="12"/>
        <v>–</v>
      </c>
      <c r="M79" s="1240">
        <f t="shared" si="12"/>
        <v>6.6666666666666652E-2</v>
      </c>
      <c r="N79" s="1240">
        <f t="shared" si="12"/>
        <v>-3.125E-2</v>
      </c>
      <c r="O79" s="1240">
        <f t="shared" si="12"/>
        <v>0.19354838709677424</v>
      </c>
      <c r="P79" s="1240">
        <f t="shared" si="12"/>
        <v>0.32432432432432434</v>
      </c>
      <c r="Q79" s="1240">
        <f t="shared" si="12"/>
        <v>0.34693877551020424</v>
      </c>
      <c r="R79" s="1240" t="str">
        <f t="shared" si="12"/>
        <v>–</v>
      </c>
      <c r="S79" s="1240" t="str">
        <f t="shared" si="12"/>
        <v>–</v>
      </c>
      <c r="T79" s="1240">
        <f t="shared" si="12"/>
        <v>-0.23809523809523814</v>
      </c>
      <c r="U79" s="1240">
        <f t="shared" si="12"/>
        <v>-0.21875</v>
      </c>
      <c r="V79" s="1240" t="str">
        <f t="shared" si="12"/>
        <v>–</v>
      </c>
      <c r="W79" s="1240">
        <f t="shared" si="12"/>
        <v>-0.15999999999999992</v>
      </c>
      <c r="X79" s="1240">
        <f t="shared" si="12"/>
        <v>4.7619047619047672E-2</v>
      </c>
      <c r="Y79" s="1240" t="str">
        <f t="shared" si="12"/>
        <v>–</v>
      </c>
      <c r="Z79" s="1240" t="str">
        <f t="shared" si="8"/>
        <v>–</v>
      </c>
    </row>
    <row r="80" spans="1:26" ht="12.75" customHeight="1">
      <c r="A80" s="1244" t="s">
        <v>1888</v>
      </c>
      <c r="B80" s="1240" t="str">
        <f t="shared" si="11"/>
        <v/>
      </c>
      <c r="C80" s="1240" t="str">
        <f t="shared" si="11"/>
        <v>–</v>
      </c>
      <c r="D80" s="1240">
        <f t="shared" si="11"/>
        <v>-0.33333333333333337</v>
      </c>
      <c r="E80" s="1240">
        <f t="shared" si="11"/>
        <v>-0.5</v>
      </c>
      <c r="F80" s="1240" t="str">
        <f t="shared" si="11"/>
        <v>–</v>
      </c>
      <c r="G80" s="1240" t="str">
        <f t="shared" si="11"/>
        <v>–</v>
      </c>
      <c r="H80" s="1240" t="str">
        <f t="shared" si="11"/>
        <v>–</v>
      </c>
      <c r="I80" s="1240" t="str">
        <f t="shared" si="11"/>
        <v>–</v>
      </c>
      <c r="J80" s="1240" t="str">
        <f t="shared" si="11"/>
        <v>–</v>
      </c>
      <c r="K80" s="1240" t="str">
        <f t="shared" si="11"/>
        <v>–</v>
      </c>
      <c r="L80" s="1240" t="str">
        <f t="shared" si="12"/>
        <v>–</v>
      </c>
      <c r="M80" s="1240" t="str">
        <f t="shared" si="12"/>
        <v>–</v>
      </c>
      <c r="N80" s="1240" t="str">
        <f t="shared" si="12"/>
        <v>–</v>
      </c>
      <c r="O80" s="1240" t="str">
        <f t="shared" si="12"/>
        <v>–</v>
      </c>
      <c r="P80" s="1240" t="str">
        <f t="shared" si="12"/>
        <v>–</v>
      </c>
      <c r="Q80" s="1240" t="str">
        <f t="shared" si="12"/>
        <v>–</v>
      </c>
      <c r="R80" s="1240" t="str">
        <f t="shared" si="12"/>
        <v>–</v>
      </c>
      <c r="S80" s="1240" t="str">
        <f t="shared" si="12"/>
        <v>–</v>
      </c>
      <c r="T80" s="1240" t="str">
        <f t="shared" si="12"/>
        <v>–</v>
      </c>
      <c r="U80" s="1240" t="str">
        <f t="shared" si="12"/>
        <v>–</v>
      </c>
      <c r="V80" s="1240" t="str">
        <f t="shared" si="12"/>
        <v>–</v>
      </c>
      <c r="W80" s="1240" t="str">
        <f t="shared" si="12"/>
        <v>–</v>
      </c>
      <c r="X80" s="1240" t="str">
        <f t="shared" si="12"/>
        <v>–</v>
      </c>
      <c r="Y80" s="1240" t="str">
        <f t="shared" si="12"/>
        <v>–</v>
      </c>
      <c r="Z80" s="1240" t="str">
        <f t="shared" si="8"/>
        <v>–</v>
      </c>
    </row>
    <row r="81" spans="1:26" ht="12.75" customHeight="1">
      <c r="A81" s="1238" t="s">
        <v>1889</v>
      </c>
      <c r="B81" s="1240" t="str">
        <f t="shared" si="11"/>
        <v/>
      </c>
      <c r="C81" s="1240">
        <f t="shared" si="11"/>
        <v>-1.0840108401083959E-2</v>
      </c>
      <c r="D81" s="1240">
        <f t="shared" si="11"/>
        <v>-7.9452054794520999E-3</v>
      </c>
      <c r="E81" s="1240">
        <f t="shared" si="11"/>
        <v>-8.2850041425019949E-4</v>
      </c>
      <c r="F81" s="1240">
        <f t="shared" si="11"/>
        <v>2.6810392482034207E-2</v>
      </c>
      <c r="G81" s="1240">
        <f t="shared" si="11"/>
        <v>2.0188425302826385E-2</v>
      </c>
      <c r="H81" s="1240">
        <f t="shared" si="11"/>
        <v>1.715039577836408E-2</v>
      </c>
      <c r="I81" s="1240">
        <f t="shared" si="11"/>
        <v>5.5252918287937769E-2</v>
      </c>
      <c r="J81" s="1240">
        <f t="shared" si="11"/>
        <v>0.11996066863323507</v>
      </c>
      <c r="K81" s="1240">
        <f t="shared" si="11"/>
        <v>1.3608428446005183E-2</v>
      </c>
      <c r="L81" s="1240">
        <f t="shared" si="12"/>
        <v>5.4569077522737208E-2</v>
      </c>
      <c r="M81" s="1240">
        <f t="shared" si="12"/>
        <v>4.7227926078028393E-3</v>
      </c>
      <c r="N81" s="1240">
        <f t="shared" si="12"/>
        <v>4.0057224606580899E-2</v>
      </c>
      <c r="O81" s="1240">
        <f t="shared" si="12"/>
        <v>2.6724307329534236E-2</v>
      </c>
      <c r="P81" s="1240">
        <f t="shared" si="12"/>
        <v>9.7607655502391921E-3</v>
      </c>
      <c r="Q81" s="1240">
        <f t="shared" si="12"/>
        <v>1.3836239575435894E-2</v>
      </c>
      <c r="R81" s="1240">
        <f t="shared" si="12"/>
        <v>7.478033277248386E-4</v>
      </c>
      <c r="S81" s="1240">
        <f t="shared" si="12"/>
        <v>1.5878946385204484E-2</v>
      </c>
      <c r="T81" s="1240">
        <f t="shared" si="12"/>
        <v>-1.0114012504597314E-2</v>
      </c>
      <c r="U81" s="1240">
        <f t="shared" si="12"/>
        <v>-4.2727103845439096E-3</v>
      </c>
      <c r="V81" s="1240">
        <f t="shared" si="12"/>
        <v>9.3283582089551675E-3</v>
      </c>
      <c r="W81" s="1240">
        <f t="shared" si="12"/>
        <v>4.6210720887245316E-3</v>
      </c>
      <c r="X81" s="1240">
        <f t="shared" si="12"/>
        <v>1.2879484820607079E-3</v>
      </c>
      <c r="Y81" s="1240">
        <f t="shared" si="12"/>
        <v>0.13894077085630285</v>
      </c>
      <c r="Z81" s="1240">
        <f t="shared" si="8"/>
        <v>2.2804788601380466E-2</v>
      </c>
    </row>
    <row r="82" spans="1:26" ht="12.75" customHeight="1">
      <c r="A82" s="1244" t="s">
        <v>1890</v>
      </c>
      <c r="B82" s="1240" t="str">
        <f t="shared" si="11"/>
        <v/>
      </c>
      <c r="C82" s="1240" t="str">
        <f t="shared" si="11"/>
        <v>–</v>
      </c>
      <c r="D82" s="1240" t="str">
        <f t="shared" si="11"/>
        <v>–</v>
      </c>
      <c r="E82" s="1240" t="str">
        <f t="shared" si="11"/>
        <v>–</v>
      </c>
      <c r="F82" s="1240" t="str">
        <f t="shared" si="11"/>
        <v>–</v>
      </c>
      <c r="G82" s="1240" t="str">
        <f t="shared" si="11"/>
        <v>–</v>
      </c>
      <c r="H82" s="1240" t="str">
        <f t="shared" si="11"/>
        <v>–</v>
      </c>
      <c r="I82" s="1240" t="str">
        <f t="shared" si="11"/>
        <v>–</v>
      </c>
      <c r="J82" s="1240" t="str">
        <f t="shared" si="11"/>
        <v>–</v>
      </c>
      <c r="K82" s="1240" t="str">
        <f t="shared" si="11"/>
        <v>–</v>
      </c>
      <c r="L82" s="1240" t="str">
        <f t="shared" si="12"/>
        <v>–</v>
      </c>
      <c r="M82" s="1240" t="str">
        <f t="shared" si="12"/>
        <v>–</v>
      </c>
      <c r="N82" s="1240" t="str">
        <f t="shared" si="12"/>
        <v>–</v>
      </c>
      <c r="O82" s="1240" t="str">
        <f t="shared" si="12"/>
        <v>–</v>
      </c>
      <c r="P82" s="1240" t="str">
        <f t="shared" si="12"/>
        <v>–</v>
      </c>
      <c r="Q82" s="1240" t="str">
        <f t="shared" si="12"/>
        <v>–</v>
      </c>
      <c r="R82" s="1240">
        <f t="shared" si="12"/>
        <v>7.478033277248386E-4</v>
      </c>
      <c r="S82" s="1240">
        <f t="shared" si="12"/>
        <v>1.5878946385204484E-2</v>
      </c>
      <c r="T82" s="1240">
        <f t="shared" si="12"/>
        <v>-1.0114012504597314E-2</v>
      </c>
      <c r="U82" s="1240">
        <f t="shared" si="12"/>
        <v>-4.2727103845439096E-3</v>
      </c>
      <c r="V82" s="1240">
        <f t="shared" si="12"/>
        <v>9.3283582089551675E-3</v>
      </c>
      <c r="W82" s="1240">
        <f t="shared" si="12"/>
        <v>4.6210720887245316E-3</v>
      </c>
      <c r="X82" s="1240">
        <f t="shared" si="12"/>
        <v>1.2879484820607079E-3</v>
      </c>
      <c r="Y82" s="1240">
        <f t="shared" si="12"/>
        <v>0.14819518559353173</v>
      </c>
      <c r="Z82" s="1240">
        <f t="shared" si="8"/>
        <v>2.3164729059965694E-2</v>
      </c>
    </row>
    <row r="83" spans="1:26" ht="12.75" customHeight="1">
      <c r="A83" s="1244" t="s">
        <v>1891</v>
      </c>
      <c r="B83" s="1240" t="str">
        <f t="shared" si="11"/>
        <v/>
      </c>
      <c r="C83" s="1240" t="str">
        <f t="shared" si="11"/>
        <v>–</v>
      </c>
      <c r="D83" s="1240" t="str">
        <f t="shared" si="11"/>
        <v>–</v>
      </c>
      <c r="E83" s="1240" t="str">
        <f t="shared" si="11"/>
        <v>–</v>
      </c>
      <c r="F83" s="1240" t="str">
        <f t="shared" si="11"/>
        <v>–</v>
      </c>
      <c r="G83" s="1240" t="str">
        <f t="shared" si="11"/>
        <v>–</v>
      </c>
      <c r="H83" s="1240" t="str">
        <f t="shared" si="11"/>
        <v>–</v>
      </c>
      <c r="I83" s="1240" t="str">
        <f t="shared" si="11"/>
        <v>–</v>
      </c>
      <c r="J83" s="1240" t="str">
        <f t="shared" si="11"/>
        <v>–</v>
      </c>
      <c r="K83" s="1240" t="str">
        <f t="shared" si="11"/>
        <v>–</v>
      </c>
      <c r="L83" s="1240" t="str">
        <f t="shared" si="12"/>
        <v>–</v>
      </c>
      <c r="M83" s="1240" t="str">
        <f t="shared" si="12"/>
        <v>–</v>
      </c>
      <c r="N83" s="1240" t="str">
        <f t="shared" si="12"/>
        <v>–</v>
      </c>
      <c r="O83" s="1240" t="str">
        <f t="shared" si="12"/>
        <v>–</v>
      </c>
      <c r="P83" s="1240" t="str">
        <f t="shared" si="12"/>
        <v>–</v>
      </c>
      <c r="Q83" s="1240" t="str">
        <f t="shared" si="12"/>
        <v>–</v>
      </c>
      <c r="R83" s="1240" t="str">
        <f t="shared" si="12"/>
        <v>–</v>
      </c>
      <c r="S83" s="1240" t="str">
        <f t="shared" si="12"/>
        <v>–</v>
      </c>
      <c r="T83" s="1240" t="str">
        <f t="shared" si="12"/>
        <v>–</v>
      </c>
      <c r="U83" s="1240" t="str">
        <f t="shared" si="12"/>
        <v>–</v>
      </c>
      <c r="V83" s="1240" t="str">
        <f t="shared" si="12"/>
        <v>–</v>
      </c>
      <c r="W83" s="1240" t="str">
        <f t="shared" si="12"/>
        <v>–</v>
      </c>
      <c r="X83" s="1240" t="str">
        <f t="shared" si="12"/>
        <v>–</v>
      </c>
      <c r="Y83" s="1240" t="str">
        <f t="shared" si="12"/>
        <v>–</v>
      </c>
      <c r="Z83" s="1240" t="str">
        <f t="shared" si="8"/>
        <v>–</v>
      </c>
    </row>
    <row r="84" spans="1:26" ht="12.75" customHeight="1">
      <c r="A84" s="1244" t="s">
        <v>1892</v>
      </c>
      <c r="B84" s="1240" t="str">
        <f t="shared" si="11"/>
        <v/>
      </c>
      <c r="C84" s="1240" t="str">
        <f t="shared" si="11"/>
        <v>–</v>
      </c>
      <c r="D84" s="1240" t="str">
        <f t="shared" si="11"/>
        <v>–</v>
      </c>
      <c r="E84" s="1240" t="str">
        <f t="shared" si="11"/>
        <v>–</v>
      </c>
      <c r="F84" s="1240" t="str">
        <f t="shared" si="11"/>
        <v>–</v>
      </c>
      <c r="G84" s="1240" t="str">
        <f t="shared" si="11"/>
        <v>–</v>
      </c>
      <c r="H84" s="1240" t="str">
        <f t="shared" si="11"/>
        <v>–</v>
      </c>
      <c r="I84" s="1240" t="str">
        <f t="shared" si="11"/>
        <v>–</v>
      </c>
      <c r="J84" s="1240" t="str">
        <f t="shared" si="11"/>
        <v>–</v>
      </c>
      <c r="K84" s="1240" t="str">
        <f t="shared" si="11"/>
        <v>–</v>
      </c>
      <c r="L84" s="1240" t="str">
        <f t="shared" si="12"/>
        <v>–</v>
      </c>
      <c r="M84" s="1240" t="str">
        <f t="shared" si="12"/>
        <v>–</v>
      </c>
      <c r="N84" s="1240" t="str">
        <f t="shared" si="12"/>
        <v>–</v>
      </c>
      <c r="O84" s="1240" t="str">
        <f t="shared" si="12"/>
        <v>–</v>
      </c>
      <c r="P84" s="1240" t="str">
        <f t="shared" si="12"/>
        <v>–</v>
      </c>
      <c r="Q84" s="1240" t="str">
        <f t="shared" si="12"/>
        <v>–</v>
      </c>
      <c r="R84" s="1240" t="str">
        <f t="shared" si="12"/>
        <v>–</v>
      </c>
      <c r="S84" s="1240" t="str">
        <f t="shared" si="12"/>
        <v>–</v>
      </c>
      <c r="T84" s="1240" t="str">
        <f t="shared" si="12"/>
        <v>–</v>
      </c>
      <c r="U84" s="1240" t="str">
        <f t="shared" si="12"/>
        <v>–</v>
      </c>
      <c r="V84" s="1240" t="str">
        <f t="shared" si="12"/>
        <v>–</v>
      </c>
      <c r="W84" s="1240" t="str">
        <f t="shared" si="12"/>
        <v>–</v>
      </c>
      <c r="X84" s="1240" t="str">
        <f t="shared" si="12"/>
        <v>–</v>
      </c>
      <c r="Y84" s="1240" t="str">
        <f t="shared" si="12"/>
        <v>–</v>
      </c>
      <c r="Z84" s="1240" t="str">
        <f t="shared" si="8"/>
        <v>–</v>
      </c>
    </row>
    <row r="85" spans="1:26" ht="12.75" customHeight="1">
      <c r="A85" s="1244" t="s">
        <v>1893</v>
      </c>
      <c r="B85" s="1240" t="str">
        <f t="shared" si="11"/>
        <v/>
      </c>
      <c r="C85" s="1240" t="str">
        <f t="shared" si="11"/>
        <v>–</v>
      </c>
      <c r="D85" s="1240" t="str">
        <f t="shared" si="11"/>
        <v>–</v>
      </c>
      <c r="E85" s="1240" t="str">
        <f t="shared" si="11"/>
        <v>–</v>
      </c>
      <c r="F85" s="1240" t="str">
        <f t="shared" si="11"/>
        <v>–</v>
      </c>
      <c r="G85" s="1240" t="str">
        <f t="shared" si="11"/>
        <v>–</v>
      </c>
      <c r="H85" s="1240" t="str">
        <f t="shared" si="11"/>
        <v>–</v>
      </c>
      <c r="I85" s="1240" t="str">
        <f t="shared" si="11"/>
        <v>–</v>
      </c>
      <c r="J85" s="1240" t="str">
        <f t="shared" si="11"/>
        <v>–</v>
      </c>
      <c r="K85" s="1240" t="str">
        <f t="shared" si="11"/>
        <v>–</v>
      </c>
      <c r="L85" s="1240" t="str">
        <f t="shared" si="12"/>
        <v>–</v>
      </c>
      <c r="M85" s="1240" t="str">
        <f t="shared" si="12"/>
        <v>–</v>
      </c>
      <c r="N85" s="1240" t="str">
        <f t="shared" si="12"/>
        <v>–</v>
      </c>
      <c r="O85" s="1240" t="str">
        <f t="shared" si="12"/>
        <v>–</v>
      </c>
      <c r="P85" s="1240" t="str">
        <f t="shared" si="12"/>
        <v>–</v>
      </c>
      <c r="Q85" s="1240" t="str">
        <f t="shared" si="12"/>
        <v>–</v>
      </c>
      <c r="R85" s="1240" t="str">
        <f t="shared" si="12"/>
        <v>–</v>
      </c>
      <c r="S85" s="1240" t="str">
        <f t="shared" si="12"/>
        <v>–</v>
      </c>
      <c r="T85" s="1240" t="str">
        <f t="shared" si="12"/>
        <v>–</v>
      </c>
      <c r="U85" s="1240" t="str">
        <f t="shared" si="12"/>
        <v>–</v>
      </c>
      <c r="V85" s="1240" t="str">
        <f t="shared" si="12"/>
        <v>–</v>
      </c>
      <c r="W85" s="1240" t="str">
        <f t="shared" si="12"/>
        <v>–</v>
      </c>
      <c r="X85" s="1240" t="str">
        <f t="shared" si="12"/>
        <v>–</v>
      </c>
      <c r="Y85" s="1240" t="str">
        <f t="shared" si="12"/>
        <v>–</v>
      </c>
      <c r="Z85" s="1240" t="str">
        <f t="shared" si="8"/>
        <v>–</v>
      </c>
    </row>
    <row r="86" spans="1:26" ht="12.75" customHeight="1">
      <c r="A86" s="1244" t="s">
        <v>1894</v>
      </c>
      <c r="B86" s="1240" t="str">
        <f t="shared" si="11"/>
        <v/>
      </c>
      <c r="C86" s="1240" t="str">
        <f t="shared" si="11"/>
        <v>–</v>
      </c>
      <c r="D86" s="1240" t="str">
        <f t="shared" si="11"/>
        <v>–</v>
      </c>
      <c r="E86" s="1240" t="str">
        <f t="shared" si="11"/>
        <v>–</v>
      </c>
      <c r="F86" s="1240" t="str">
        <f t="shared" si="11"/>
        <v>–</v>
      </c>
      <c r="G86" s="1240" t="str">
        <f t="shared" si="11"/>
        <v>–</v>
      </c>
      <c r="H86" s="1240" t="str">
        <f t="shared" si="11"/>
        <v>–</v>
      </c>
      <c r="I86" s="1240" t="str">
        <f t="shared" si="11"/>
        <v>–</v>
      </c>
      <c r="J86" s="1240" t="str">
        <f t="shared" si="11"/>
        <v>–</v>
      </c>
      <c r="K86" s="1240" t="str">
        <f t="shared" si="11"/>
        <v>–</v>
      </c>
      <c r="L86" s="1240" t="str">
        <f t="shared" si="12"/>
        <v>–</v>
      </c>
      <c r="M86" s="1240" t="str">
        <f t="shared" si="12"/>
        <v>–</v>
      </c>
      <c r="N86" s="1240" t="str">
        <f t="shared" si="12"/>
        <v>–</v>
      </c>
      <c r="O86" s="1240" t="str">
        <f t="shared" si="12"/>
        <v>–</v>
      </c>
      <c r="P86" s="1240" t="str">
        <f t="shared" si="12"/>
        <v>–</v>
      </c>
      <c r="Q86" s="1240" t="str">
        <f t="shared" si="12"/>
        <v>–</v>
      </c>
      <c r="R86" s="1240" t="str">
        <f t="shared" si="12"/>
        <v>–</v>
      </c>
      <c r="S86" s="1240" t="str">
        <f t="shared" si="12"/>
        <v>–</v>
      </c>
      <c r="T86" s="1240" t="str">
        <f t="shared" si="12"/>
        <v>–</v>
      </c>
      <c r="U86" s="1240" t="str">
        <f t="shared" si="12"/>
        <v>–</v>
      </c>
      <c r="V86" s="1240" t="str">
        <f t="shared" si="12"/>
        <v>–</v>
      </c>
      <c r="W86" s="1240" t="str">
        <f t="shared" si="12"/>
        <v>–</v>
      </c>
      <c r="X86" s="1240" t="str">
        <f t="shared" si="12"/>
        <v>–</v>
      </c>
      <c r="Y86" s="1240" t="str">
        <f t="shared" si="12"/>
        <v>–</v>
      </c>
      <c r="Z86" s="1240" t="str">
        <f t="shared" si="8"/>
        <v>–</v>
      </c>
    </row>
    <row r="87" spans="1:26" ht="12.75" customHeight="1">
      <c r="A87" s="1245" t="s">
        <v>1895</v>
      </c>
      <c r="B87" s="1240" t="str">
        <f t="shared" ref="B87:K92" si="13">IFERROR(IF(OR(SECTOR_AAC=0,SECTOR_AAC=-1),CHAR(150),SECTOR_AAC),IF(COLUMN()&lt;=2,"",CHAR(150)))</f>
        <v/>
      </c>
      <c r="C87" s="1240">
        <f t="shared" si="13"/>
        <v>-8.2199546485260733E-2</v>
      </c>
      <c r="D87" s="1240">
        <f t="shared" si="13"/>
        <v>6.1766522544781655E-3</v>
      </c>
      <c r="E87" s="1240">
        <f t="shared" si="13"/>
        <v>1.0804174340085959E-2</v>
      </c>
      <c r="F87" s="1240">
        <f t="shared" si="13"/>
        <v>8.4734488961379917E-3</v>
      </c>
      <c r="G87" s="1240">
        <f t="shared" si="13"/>
        <v>1.2164626802326328E-2</v>
      </c>
      <c r="H87" s="1240">
        <f t="shared" si="13"/>
        <v>8.0916142997182749E-3</v>
      </c>
      <c r="I87" s="1240">
        <f t="shared" si="13"/>
        <v>5.9019600128156213E-3</v>
      </c>
      <c r="J87" s="1240">
        <f t="shared" si="13"/>
        <v>2.5816257536728227E-3</v>
      </c>
      <c r="K87" s="1240">
        <f t="shared" si="13"/>
        <v>2.9261115043557329E-3</v>
      </c>
      <c r="L87" s="1240">
        <f t="shared" ref="L87:Y92" si="14">IFERROR(IF(OR(SECTOR_AAC=0,SECTOR_AAC=-1),CHAR(150),SECTOR_AAC),IF(COLUMN()&lt;=2,"",CHAR(150)))</f>
        <v>-2.5808029164628987E-2</v>
      </c>
      <c r="M87" s="1240">
        <f t="shared" si="14"/>
        <v>6.0490587564175691E-2</v>
      </c>
      <c r="N87" s="1240">
        <f t="shared" si="14"/>
        <v>1.3867372407263989E-2</v>
      </c>
      <c r="O87" s="1240">
        <f t="shared" si="14"/>
        <v>1.3481393448711243E-2</v>
      </c>
      <c r="P87" s="1240">
        <f t="shared" si="14"/>
        <v>3.1305130795768132E-2</v>
      </c>
      <c r="Q87" s="1240">
        <f t="shared" si="14"/>
        <v>-2.7933584767744657E-2</v>
      </c>
      <c r="R87" s="1240">
        <f t="shared" si="14"/>
        <v>2.9765013054830369E-2</v>
      </c>
      <c r="S87" s="1240">
        <f t="shared" si="14"/>
        <v>2.3833671399594358E-2</v>
      </c>
      <c r="T87" s="1240">
        <f t="shared" si="14"/>
        <v>2.2783556215948408E-2</v>
      </c>
      <c r="U87" s="1240">
        <f t="shared" si="14"/>
        <v>6.2953995157384313E-3</v>
      </c>
      <c r="V87" s="1240">
        <f t="shared" si="14"/>
        <v>2.9355149181905738E-2</v>
      </c>
      <c r="W87" s="1240">
        <f t="shared" si="14"/>
        <v>1.0285179990649818E-2</v>
      </c>
      <c r="X87" s="1240">
        <f t="shared" si="14"/>
        <v>0.14548819990745021</v>
      </c>
      <c r="Y87" s="1240">
        <f t="shared" si="14"/>
        <v>-0.68942964009857</v>
      </c>
      <c r="Z87" s="1240">
        <f t="shared" si="8"/>
        <v>-3.7509584322547251E-2</v>
      </c>
    </row>
    <row r="88" spans="1:26" ht="12.75" customHeight="1">
      <c r="A88" s="1246" t="s">
        <v>1896</v>
      </c>
      <c r="B88" s="1240" t="str">
        <f t="shared" si="13"/>
        <v/>
      </c>
      <c r="C88" s="1240" t="str">
        <f t="shared" si="13"/>
        <v>–</v>
      </c>
      <c r="D88" s="1240">
        <f t="shared" si="13"/>
        <v>6.3232572486118244E-3</v>
      </c>
      <c r="E88" s="1240">
        <f t="shared" si="13"/>
        <v>1.1340996168582418E-2</v>
      </c>
      <c r="F88" s="1240">
        <f t="shared" si="13"/>
        <v>5.9099863615699189E-3</v>
      </c>
      <c r="G88" s="1240">
        <f t="shared" si="13"/>
        <v>1.3708948478457383E-2</v>
      </c>
      <c r="H88" s="1240">
        <f t="shared" si="13"/>
        <v>7.1333036112350978E-3</v>
      </c>
      <c r="I88" s="1240">
        <f t="shared" si="13"/>
        <v>5.7547587428063984E-3</v>
      </c>
      <c r="J88" s="1240">
        <f t="shared" si="13"/>
        <v>1.0269953051642577E-3</v>
      </c>
      <c r="K88" s="1240">
        <f t="shared" si="13"/>
        <v>5.862523816504428E-4</v>
      </c>
      <c r="L88" s="1240" t="str">
        <f t="shared" si="14"/>
        <v>–</v>
      </c>
      <c r="M88" s="1240" t="str">
        <f t="shared" si="14"/>
        <v>–</v>
      </c>
      <c r="N88" s="1240">
        <f t="shared" si="14"/>
        <v>1.047345767575325E-2</v>
      </c>
      <c r="O88" s="1240">
        <f t="shared" si="14"/>
        <v>1.0648871219650635E-2</v>
      </c>
      <c r="P88" s="1240">
        <f t="shared" si="14"/>
        <v>2.8519246979488599E-2</v>
      </c>
      <c r="Q88" s="1240" t="str">
        <f t="shared" si="14"/>
        <v>–</v>
      </c>
      <c r="R88" s="1240" t="str">
        <f t="shared" si="14"/>
        <v>–</v>
      </c>
      <c r="S88" s="1240" t="str">
        <f t="shared" si="14"/>
        <v>–</v>
      </c>
      <c r="T88" s="1240" t="str">
        <f t="shared" si="14"/>
        <v>–</v>
      </c>
      <c r="U88" s="1240" t="str">
        <f t="shared" si="14"/>
        <v>–</v>
      </c>
      <c r="V88" s="1240" t="str">
        <f t="shared" si="14"/>
        <v>–</v>
      </c>
      <c r="W88" s="1240" t="str">
        <f t="shared" si="14"/>
        <v>–</v>
      </c>
      <c r="X88" s="1240" t="str">
        <f t="shared" si="14"/>
        <v>–</v>
      </c>
      <c r="Y88" s="1240" t="str">
        <f t="shared" si="14"/>
        <v>–</v>
      </c>
      <c r="Z88" s="1240" t="str">
        <f t="shared" si="8"/>
        <v>–</v>
      </c>
    </row>
    <row r="89" spans="1:26" ht="12.75" customHeight="1">
      <c r="A89" s="1246" t="s">
        <v>1897</v>
      </c>
      <c r="B89" s="1240" t="str">
        <f t="shared" si="13"/>
        <v/>
      </c>
      <c r="C89" s="1240">
        <f t="shared" si="13"/>
        <v>0.51572580645161303</v>
      </c>
      <c r="D89" s="1240">
        <f t="shared" si="13"/>
        <v>5.5865921787709993E-3</v>
      </c>
      <c r="E89" s="1240">
        <f t="shared" si="13"/>
        <v>8.6419753086419693E-3</v>
      </c>
      <c r="F89" s="1240">
        <f t="shared" si="13"/>
        <v>1.8826135105205033E-2</v>
      </c>
      <c r="G89" s="1240">
        <f t="shared" si="13"/>
        <v>6.0068649885582914E-3</v>
      </c>
      <c r="H89" s="1240">
        <f t="shared" si="13"/>
        <v>1.1941996019334544E-2</v>
      </c>
      <c r="I89" s="1240">
        <f t="shared" si="13"/>
        <v>6.4905872436078482E-3</v>
      </c>
      <c r="J89" s="1240">
        <f t="shared" si="13"/>
        <v>8.7937243516373886E-3</v>
      </c>
      <c r="K89" s="1240">
        <f t="shared" si="13"/>
        <v>1.2203896391410174E-2</v>
      </c>
      <c r="L89" s="1240" t="str">
        <f t="shared" si="14"/>
        <v>–</v>
      </c>
      <c r="M89" s="1240" t="str">
        <f t="shared" si="14"/>
        <v>–</v>
      </c>
      <c r="N89" s="1240">
        <f t="shared" si="14"/>
        <v>2.3584905660377409E-2</v>
      </c>
      <c r="O89" s="1240">
        <f t="shared" si="14"/>
        <v>3.0283080974325083E-2</v>
      </c>
      <c r="P89" s="1240">
        <f t="shared" si="14"/>
        <v>4.2811501597444179E-2</v>
      </c>
      <c r="Q89" s="1240" t="str">
        <f t="shared" si="14"/>
        <v>–</v>
      </c>
      <c r="R89" s="1240" t="str">
        <f t="shared" si="14"/>
        <v>–</v>
      </c>
      <c r="S89" s="1240" t="str">
        <f t="shared" si="14"/>
        <v>–</v>
      </c>
      <c r="T89" s="1240" t="str">
        <f t="shared" si="14"/>
        <v>–</v>
      </c>
      <c r="U89" s="1240" t="str">
        <f t="shared" si="14"/>
        <v>–</v>
      </c>
      <c r="V89" s="1240" t="str">
        <f t="shared" si="14"/>
        <v>–</v>
      </c>
      <c r="W89" s="1240" t="str">
        <f t="shared" si="14"/>
        <v>–</v>
      </c>
      <c r="X89" s="1240" t="str">
        <f t="shared" si="14"/>
        <v>–</v>
      </c>
      <c r="Y89" s="1240">
        <f t="shared" si="14"/>
        <v>-0.81087877831159916</v>
      </c>
      <c r="Z89" s="1240">
        <f t="shared" si="8"/>
        <v>-5.9002422685154987E-2</v>
      </c>
    </row>
    <row r="90" spans="1:26" ht="12.75" customHeight="1">
      <c r="A90" s="1246" t="s">
        <v>1898</v>
      </c>
      <c r="B90" s="1240" t="str">
        <f t="shared" si="13"/>
        <v/>
      </c>
      <c r="C90" s="1240" t="str">
        <f t="shared" si="13"/>
        <v>–</v>
      </c>
      <c r="D90" s="1240" t="str">
        <f t="shared" si="13"/>
        <v>–</v>
      </c>
      <c r="E90" s="1240" t="str">
        <f t="shared" si="13"/>
        <v>–</v>
      </c>
      <c r="F90" s="1240" t="str">
        <f t="shared" si="13"/>
        <v>–</v>
      </c>
      <c r="G90" s="1240" t="str">
        <f t="shared" si="13"/>
        <v>–</v>
      </c>
      <c r="H90" s="1240" t="str">
        <f t="shared" si="13"/>
        <v>–</v>
      </c>
      <c r="I90" s="1240" t="str">
        <f t="shared" si="13"/>
        <v>–</v>
      </c>
      <c r="J90" s="1240" t="str">
        <f t="shared" si="13"/>
        <v>–</v>
      </c>
      <c r="K90" s="1240" t="str">
        <f t="shared" si="13"/>
        <v>–</v>
      </c>
      <c r="L90" s="1240" t="str">
        <f t="shared" si="14"/>
        <v>–</v>
      </c>
      <c r="M90" s="1240" t="str">
        <f t="shared" si="14"/>
        <v>–</v>
      </c>
      <c r="N90" s="1240">
        <f t="shared" si="14"/>
        <v>3.7037037037036979E-2</v>
      </c>
      <c r="O90" s="1240" t="str">
        <f t="shared" si="14"/>
        <v>–</v>
      </c>
      <c r="P90" s="1240">
        <f t="shared" si="14"/>
        <v>3.5714285714285809E-2</v>
      </c>
      <c r="Q90" s="1240" t="str">
        <f t="shared" si="14"/>
        <v>–</v>
      </c>
      <c r="R90" s="1240" t="str">
        <f t="shared" si="14"/>
        <v>–</v>
      </c>
      <c r="S90" s="1240" t="str">
        <f t="shared" si="14"/>
        <v>–</v>
      </c>
      <c r="T90" s="1240" t="str">
        <f t="shared" si="14"/>
        <v>–</v>
      </c>
      <c r="U90" s="1240" t="str">
        <f t="shared" si="14"/>
        <v>–</v>
      </c>
      <c r="V90" s="1240" t="str">
        <f t="shared" si="14"/>
        <v>–</v>
      </c>
      <c r="W90" s="1240" t="str">
        <f t="shared" si="14"/>
        <v>–</v>
      </c>
      <c r="X90" s="1240" t="str">
        <f t="shared" si="14"/>
        <v>–</v>
      </c>
      <c r="Y90" s="1240" t="str">
        <f t="shared" si="14"/>
        <v>–</v>
      </c>
      <c r="Z90" s="1240" t="str">
        <f t="shared" si="8"/>
        <v>–</v>
      </c>
    </row>
    <row r="91" spans="1:26" ht="12.75" customHeight="1">
      <c r="A91" s="1246" t="s">
        <v>1899</v>
      </c>
      <c r="B91" s="1240" t="str">
        <f t="shared" si="13"/>
        <v/>
      </c>
      <c r="C91" s="1240" t="str">
        <f t="shared" si="13"/>
        <v>–</v>
      </c>
      <c r="D91" s="1240" t="str">
        <f t="shared" si="13"/>
        <v>–</v>
      </c>
      <c r="E91" s="1240" t="str">
        <f t="shared" si="13"/>
        <v>–</v>
      </c>
      <c r="F91" s="1240" t="str">
        <f t="shared" si="13"/>
        <v>–</v>
      </c>
      <c r="G91" s="1240" t="str">
        <f t="shared" si="13"/>
        <v>–</v>
      </c>
      <c r="H91" s="1240" t="str">
        <f t="shared" si="13"/>
        <v>–</v>
      </c>
      <c r="I91" s="1240" t="str">
        <f t="shared" si="13"/>
        <v>–</v>
      </c>
      <c r="J91" s="1240" t="str">
        <f t="shared" si="13"/>
        <v>–</v>
      </c>
      <c r="K91" s="1240" t="str">
        <f t="shared" si="13"/>
        <v>–</v>
      </c>
      <c r="L91" s="1240" t="str">
        <f t="shared" si="14"/>
        <v>–</v>
      </c>
      <c r="M91" s="1240" t="str">
        <f t="shared" si="14"/>
        <v>–</v>
      </c>
      <c r="N91" s="1240" t="str">
        <f t="shared" si="14"/>
        <v>–</v>
      </c>
      <c r="O91" s="1240" t="str">
        <f t="shared" si="14"/>
        <v>–</v>
      </c>
      <c r="P91" s="1240" t="str">
        <f t="shared" si="14"/>
        <v>–</v>
      </c>
      <c r="Q91" s="1240" t="str">
        <f t="shared" si="14"/>
        <v>–</v>
      </c>
      <c r="R91" s="1240" t="str">
        <f t="shared" si="14"/>
        <v>–</v>
      </c>
      <c r="S91" s="1240" t="str">
        <f t="shared" si="14"/>
        <v>–</v>
      </c>
      <c r="T91" s="1240" t="str">
        <f t="shared" si="14"/>
        <v>–</v>
      </c>
      <c r="U91" s="1240" t="str">
        <f t="shared" si="14"/>
        <v>–</v>
      </c>
      <c r="V91" s="1240" t="str">
        <f t="shared" si="14"/>
        <v>–</v>
      </c>
      <c r="W91" s="1240" t="str">
        <f t="shared" si="14"/>
        <v>–</v>
      </c>
      <c r="X91" s="1240" t="str">
        <f t="shared" si="14"/>
        <v>–</v>
      </c>
      <c r="Y91" s="1240" t="str">
        <f t="shared" si="14"/>
        <v>–</v>
      </c>
      <c r="Z91" s="1240" t="str">
        <f t="shared" si="8"/>
        <v>–</v>
      </c>
    </row>
    <row r="92" spans="1:26" ht="12.75" customHeight="1">
      <c r="A92" s="1245" t="s">
        <v>1900</v>
      </c>
      <c r="B92" s="1240" t="str">
        <f t="shared" si="13"/>
        <v/>
      </c>
      <c r="C92" s="1240" t="str">
        <f t="shared" si="13"/>
        <v>–</v>
      </c>
      <c r="D92" s="1240" t="str">
        <f t="shared" si="13"/>
        <v>–</v>
      </c>
      <c r="E92" s="1240" t="str">
        <f t="shared" si="13"/>
        <v>–</v>
      </c>
      <c r="F92" s="1240" t="str">
        <f t="shared" si="13"/>
        <v>–</v>
      </c>
      <c r="G92" s="1240" t="str">
        <f t="shared" si="13"/>
        <v>–</v>
      </c>
      <c r="H92" s="1240" t="str">
        <f t="shared" si="13"/>
        <v>–</v>
      </c>
      <c r="I92" s="1240" t="str">
        <f t="shared" si="13"/>
        <v>–</v>
      </c>
      <c r="J92" s="1240" t="str">
        <f t="shared" si="13"/>
        <v>–</v>
      </c>
      <c r="K92" s="1240" t="str">
        <f t="shared" si="13"/>
        <v>–</v>
      </c>
      <c r="L92" s="1240" t="str">
        <f t="shared" si="14"/>
        <v>–</v>
      </c>
      <c r="M92" s="1240" t="str">
        <f t="shared" si="14"/>
        <v>–</v>
      </c>
      <c r="N92" s="1240" t="str">
        <f t="shared" si="14"/>
        <v>–</v>
      </c>
      <c r="O92" s="1240" t="str">
        <f t="shared" si="14"/>
        <v>–</v>
      </c>
      <c r="P92" s="1240" t="str">
        <f t="shared" si="14"/>
        <v>–</v>
      </c>
      <c r="Q92" s="1240" t="str">
        <f t="shared" si="14"/>
        <v>–</v>
      </c>
      <c r="R92" s="1240" t="str">
        <f t="shared" si="14"/>
        <v>–</v>
      </c>
      <c r="S92" s="1240" t="str">
        <f t="shared" si="14"/>
        <v>–</v>
      </c>
      <c r="T92" s="1240" t="str">
        <f t="shared" si="14"/>
        <v>–</v>
      </c>
      <c r="U92" s="1240" t="str">
        <f t="shared" si="14"/>
        <v>–</v>
      </c>
      <c r="V92" s="1240" t="str">
        <f t="shared" si="14"/>
        <v>–</v>
      </c>
      <c r="W92" s="1240" t="str">
        <f t="shared" si="14"/>
        <v>–</v>
      </c>
      <c r="X92" s="1240" t="str">
        <f t="shared" si="14"/>
        <v>–</v>
      </c>
      <c r="Y92" s="1240" t="str">
        <f t="shared" si="14"/>
        <v>–</v>
      </c>
      <c r="Z92" s="1240" t="str">
        <f t="shared" si="8"/>
        <v>–</v>
      </c>
    </row>
  </sheetData>
  <pageMargins left="0.7" right="0.7" top="0.75" bottom="0.75" header="0.51180555555555496" footer="0.51180555555555496"/>
  <pageSetup paperSize="9" scale="66" firstPageNumber="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5546875" defaultRowHeight="13.2"/>
  <cols>
    <col min="2" max="2" width="39.554687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5546875" defaultRowHeight="13.2"/>
  <cols>
    <col min="1" max="1" width="32.44140625" bestFit="1" customWidth="1"/>
    <col min="2" max="2" width="40.5546875" bestFit="1" customWidth="1"/>
    <col min="3" max="3" width="20.554687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5546875" bestFit="1" customWidth="1"/>
  </cols>
  <sheetData>
    <row r="1" spans="1:51" ht="14.4" thickBot="1">
      <c r="A1" s="1306" t="s">
        <v>101</v>
      </c>
      <c r="B1" s="1307" t="s">
        <v>102</v>
      </c>
      <c r="C1" s="1309" t="s">
        <v>103</v>
      </c>
      <c r="D1" s="1309" t="s">
        <v>104</v>
      </c>
      <c r="E1" s="1299" t="s">
        <v>105</v>
      </c>
      <c r="F1" s="1311"/>
      <c r="G1" s="1312" t="s">
        <v>106</v>
      </c>
      <c r="H1" s="1312"/>
      <c r="I1" s="1299" t="s">
        <v>107</v>
      </c>
      <c r="J1" s="1301" t="s">
        <v>108</v>
      </c>
    </row>
    <row r="2" spans="1:51" ht="14.4" thickBot="1">
      <c r="A2" s="1306"/>
      <c r="B2" s="1308"/>
      <c r="C2" s="1310"/>
      <c r="D2" s="1310"/>
      <c r="E2" s="56" t="s">
        <v>110</v>
      </c>
      <c r="F2" s="25" t="s">
        <v>111</v>
      </c>
      <c r="G2" s="26" t="s">
        <v>110</v>
      </c>
      <c r="H2" s="26" t="s">
        <v>111</v>
      </c>
      <c r="I2" s="1300"/>
      <c r="J2" s="1302"/>
      <c r="L2" s="57" t="s">
        <v>161</v>
      </c>
      <c r="M2" s="1303" t="s">
        <v>162</v>
      </c>
      <c r="N2" s="1304"/>
      <c r="O2" s="1304"/>
      <c r="P2" s="1305"/>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5546875" style="116" customWidth="1"/>
    <col min="5" max="6" width="11.5546875" style="116" bestFit="1" customWidth="1"/>
    <col min="7" max="7" width="13.109375" style="116" bestFit="1" customWidth="1"/>
    <col min="8" max="9" width="12" style="116" bestFit="1" customWidth="1"/>
    <col min="10" max="10" width="12.44140625" style="116" customWidth="1"/>
    <col min="11" max="11" width="11.5546875" style="116" customWidth="1"/>
    <col min="12" max="12" width="12.44140625" style="116" customWidth="1"/>
    <col min="13" max="13" width="14.44140625" style="116" customWidth="1"/>
    <col min="14" max="14" width="13.5546875" style="116" customWidth="1"/>
    <col min="15" max="16" width="12.44140625" style="116" customWidth="1"/>
    <col min="17" max="17" width="12.109375" style="116" customWidth="1"/>
    <col min="18" max="18" width="11.554687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5546875" style="116" customWidth="1"/>
    <col min="28" max="28" width="12" style="116" customWidth="1"/>
    <col min="29" max="29" width="11.554687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5546875" style="116" bestFit="1" customWidth="1"/>
    <col min="95" max="95" width="12" style="116" bestFit="1" customWidth="1"/>
    <col min="96" max="96" width="13.109375" style="116" bestFit="1" customWidth="1"/>
    <col min="97" max="97" width="10.5546875" style="116" bestFit="1" customWidth="1"/>
    <col min="98" max="98" width="13.109375" style="116" bestFit="1" customWidth="1"/>
    <col min="99" max="99" width="9.109375" style="116"/>
    <col min="100" max="102" width="11.44140625" style="116" bestFit="1" customWidth="1"/>
    <col min="103" max="103" width="9.109375" style="116"/>
    <col min="104" max="104" width="9.5546875" style="116" bestFit="1" customWidth="1"/>
    <col min="105" max="107" width="11.44140625" style="116" bestFit="1" customWidth="1"/>
    <col min="108" max="16384" width="9.109375" style="116"/>
  </cols>
  <sheetData>
    <row r="1" spans="1:49" ht="15.6">
      <c r="A1" s="1314"/>
      <c r="B1" s="1313"/>
      <c r="C1" s="1313"/>
      <c r="D1" s="1313"/>
      <c r="E1" s="1313"/>
      <c r="F1" s="1313"/>
      <c r="G1" s="1313"/>
      <c r="H1" s="1313"/>
      <c r="I1" s="1313"/>
      <c r="J1" s="1313"/>
      <c r="K1" s="113"/>
      <c r="L1" s="114"/>
      <c r="M1" s="115"/>
      <c r="N1" s="115"/>
    </row>
    <row r="2" spans="1:49" ht="14.4">
      <c r="A2" s="1314"/>
      <c r="B2" s="1313"/>
      <c r="C2" s="1313"/>
      <c r="D2" s="1313"/>
      <c r="E2" s="117"/>
      <c r="F2" s="117"/>
      <c r="G2" s="117"/>
      <c r="H2" s="117"/>
      <c r="I2" s="1313"/>
      <c r="J2" s="1313"/>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si="5">MIN(AZ21:CT21)</f>
        <v>1.6804482254449384E-2</v>
      </c>
      <c r="CW21" s="148">
        <f t="shared" ref="CW21:CW26" si="6">AVERAGE(AZ21:CT21)</f>
        <v>2.2161391344051807E-2</v>
      </c>
      <c r="CX21" s="148">
        <f t="shared" ref="CX21:CX26" si="7">MAX(AZ21:CT21)</f>
        <v>3.2988477488742639E-2</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si="5"/>
        <v>7.8816209622916446E-3</v>
      </c>
      <c r="CW22" s="148">
        <f t="shared" si="6"/>
        <v>2.7495042974559881E-2</v>
      </c>
      <c r="CX22" s="148">
        <f t="shared" si="7"/>
        <v>5.2846997229167615E-2</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si="5"/>
        <v>0.14293415183864372</v>
      </c>
      <c r="CW23" s="148">
        <f t="shared" si="6"/>
        <v>0.21559460032363031</v>
      </c>
      <c r="CX23" s="148">
        <f t="shared" si="7"/>
        <v>0.3032999624209245</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si="5"/>
        <v>4.0674610131076778E-3</v>
      </c>
      <c r="CW24" s="148">
        <f t="shared" si="6"/>
        <v>4.3488807725244522E-2</v>
      </c>
      <c r="CX24" s="148">
        <f t="shared" si="7"/>
        <v>0.12513263625088755</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si="5"/>
        <v>0.25645133939662584</v>
      </c>
      <c r="CW25" s="148">
        <f t="shared" si="6"/>
        <v>0.41328339949286091</v>
      </c>
      <c r="CX25" s="148">
        <f t="shared" si="7"/>
        <v>0.49332581701019385</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si="5"/>
        <v>0.1463927999500082</v>
      </c>
      <c r="CW26" s="148">
        <f t="shared" si="6"/>
        <v>0.27797675813965261</v>
      </c>
      <c r="CX26" s="148">
        <f t="shared" si="7"/>
        <v>0.49191546663364843</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si="5"/>
        <v>-8224462</v>
      </c>
      <c r="CW27" s="151">
        <f>AVERAGE(AZ27:CT27)</f>
        <v>7675988.2553191492</v>
      </c>
      <c r="CX27" s="151">
        <f>MAX(AZ27:CT27)</f>
        <v>34123962</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si="5"/>
        <v>185997985</v>
      </c>
      <c r="CW28" s="151">
        <f>AVERAGE(AZ28:CT28)</f>
        <v>333969672.78723407</v>
      </c>
      <c r="CX28" s="151">
        <f>MAX(AZ28:CT28)</f>
        <v>448338000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MAX(AZ33:CT33)</f>
        <v>435531962</v>
      </c>
      <c r="CW30" s="156">
        <f>MIN(AZ33:CT33)</f>
        <v>185997985</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f>AZ27+AZ28</f>
        <v>185997985</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f>AZ27+AZ28</f>
        <v>185997985</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MIN(AZ35:CT35)</f>
        <v>0.88755559353951907</v>
      </c>
      <c r="CW33" s="165">
        <f>AVERAGE(AZ35:CT35)</f>
        <v>0.93782004065320823</v>
      </c>
      <c r="CX33" s="165">
        <f>MAX(AZ35:CT35)</f>
        <v>1</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f t="shared" ref="AZ35:CT35" si="17">AZ33/(AZ28+AZ27)</f>
        <v>1</v>
      </c>
      <c r="BA35" s="167">
        <f t="shared" si="17"/>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5546875" defaultRowHeight="14.4"/>
  <cols>
    <col min="1" max="2" width="40.5546875" style="648" customWidth="1"/>
    <col min="3" max="3" width="6.109375" style="648" customWidth="1"/>
    <col min="4" max="4" width="25.5546875" style="648" customWidth="1"/>
    <col min="5" max="5" width="40.5546875" style="648" customWidth="1"/>
    <col min="6" max="13" width="7" style="648" customWidth="1"/>
    <col min="14" max="16384" width="8.554687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554687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5546875" style="655" customWidth="1"/>
    <col min="23" max="45" width="10.5546875" style="654" customWidth="1"/>
    <col min="46" max="51" width="9.5546875" style="654" customWidth="1"/>
    <col min="52" max="52" width="10.5546875" style="655" customWidth="1"/>
    <col min="53" max="57" width="9.5546875" style="654" customWidth="1"/>
    <col min="58" max="256" width="8.554687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5546875" style="654" customWidth="1"/>
    <col min="302" max="307" width="9.5546875" style="654" customWidth="1"/>
    <col min="308" max="308" width="10.5546875" style="654" customWidth="1"/>
    <col min="309" max="313" width="9.5546875" style="654" customWidth="1"/>
    <col min="314" max="512" width="8.554687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5546875" style="654" customWidth="1"/>
    <col min="558" max="563" width="9.5546875" style="654" customWidth="1"/>
    <col min="564" max="564" width="10.5546875" style="654" customWidth="1"/>
    <col min="565" max="569" width="9.5546875" style="654" customWidth="1"/>
    <col min="570" max="768" width="8.554687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5546875" style="654" customWidth="1"/>
    <col min="814" max="819" width="9.5546875" style="654" customWidth="1"/>
    <col min="820" max="820" width="10.5546875" style="654" customWidth="1"/>
    <col min="821" max="825" width="9.5546875" style="654" customWidth="1"/>
    <col min="826" max="1024" width="8.554687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5546875" style="654" customWidth="1"/>
    <col min="1070" max="1075" width="9.5546875" style="654" customWidth="1"/>
    <col min="1076" max="1076" width="10.5546875" style="654" customWidth="1"/>
    <col min="1077" max="1081" width="9.5546875" style="654" customWidth="1"/>
    <col min="1082" max="1280" width="8.554687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5546875" style="654" customWidth="1"/>
    <col min="1326" max="1331" width="9.5546875" style="654" customWidth="1"/>
    <col min="1332" max="1332" width="10.5546875" style="654" customWidth="1"/>
    <col min="1333" max="1337" width="9.5546875" style="654" customWidth="1"/>
    <col min="1338" max="1536" width="8.554687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5546875" style="654" customWidth="1"/>
    <col min="1582" max="1587" width="9.5546875" style="654" customWidth="1"/>
    <col min="1588" max="1588" width="10.5546875" style="654" customWidth="1"/>
    <col min="1589" max="1593" width="9.5546875" style="654" customWidth="1"/>
    <col min="1594" max="1792" width="8.554687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5546875" style="654" customWidth="1"/>
    <col min="1838" max="1843" width="9.5546875" style="654" customWidth="1"/>
    <col min="1844" max="1844" width="10.5546875" style="654" customWidth="1"/>
    <col min="1845" max="1849" width="9.5546875" style="654" customWidth="1"/>
    <col min="1850" max="2048" width="8.554687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5546875" style="654" customWidth="1"/>
    <col min="2094" max="2099" width="9.5546875" style="654" customWidth="1"/>
    <col min="2100" max="2100" width="10.5546875" style="654" customWidth="1"/>
    <col min="2101" max="2105" width="9.5546875" style="654" customWidth="1"/>
    <col min="2106" max="2304" width="8.554687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5546875" style="654" customWidth="1"/>
    <col min="2350" max="2355" width="9.5546875" style="654" customWidth="1"/>
    <col min="2356" max="2356" width="10.5546875" style="654" customWidth="1"/>
    <col min="2357" max="2361" width="9.5546875" style="654" customWidth="1"/>
    <col min="2362" max="2560" width="8.554687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5546875" style="654" customWidth="1"/>
    <col min="2606" max="2611" width="9.5546875" style="654" customWidth="1"/>
    <col min="2612" max="2612" width="10.5546875" style="654" customWidth="1"/>
    <col min="2613" max="2617" width="9.5546875" style="654" customWidth="1"/>
    <col min="2618" max="2816" width="8.554687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5546875" style="654" customWidth="1"/>
    <col min="2862" max="2867" width="9.5546875" style="654" customWidth="1"/>
    <col min="2868" max="2868" width="10.5546875" style="654" customWidth="1"/>
    <col min="2869" max="2873" width="9.5546875" style="654" customWidth="1"/>
    <col min="2874" max="3072" width="8.554687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5546875" style="654" customWidth="1"/>
    <col min="3118" max="3123" width="9.5546875" style="654" customWidth="1"/>
    <col min="3124" max="3124" width="10.5546875" style="654" customWidth="1"/>
    <col min="3125" max="3129" width="9.5546875" style="654" customWidth="1"/>
    <col min="3130" max="3328" width="8.554687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5546875" style="654" customWidth="1"/>
    <col min="3374" max="3379" width="9.5546875" style="654" customWidth="1"/>
    <col min="3380" max="3380" width="10.5546875" style="654" customWidth="1"/>
    <col min="3381" max="3385" width="9.5546875" style="654" customWidth="1"/>
    <col min="3386" max="3584" width="8.554687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5546875" style="654" customWidth="1"/>
    <col min="3630" max="3635" width="9.5546875" style="654" customWidth="1"/>
    <col min="3636" max="3636" width="10.5546875" style="654" customWidth="1"/>
    <col min="3637" max="3641" width="9.5546875" style="654" customWidth="1"/>
    <col min="3642" max="3840" width="8.554687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5546875" style="654" customWidth="1"/>
    <col min="3886" max="3891" width="9.5546875" style="654" customWidth="1"/>
    <col min="3892" max="3892" width="10.5546875" style="654" customWidth="1"/>
    <col min="3893" max="3897" width="9.5546875" style="654" customWidth="1"/>
    <col min="3898" max="4096" width="8.554687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5546875" style="654" customWidth="1"/>
    <col min="4142" max="4147" width="9.5546875" style="654" customWidth="1"/>
    <col min="4148" max="4148" width="10.5546875" style="654" customWidth="1"/>
    <col min="4149" max="4153" width="9.5546875" style="654" customWidth="1"/>
    <col min="4154" max="4352" width="8.554687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5546875" style="654" customWidth="1"/>
    <col min="4398" max="4403" width="9.5546875" style="654" customWidth="1"/>
    <col min="4404" max="4404" width="10.5546875" style="654" customWidth="1"/>
    <col min="4405" max="4409" width="9.5546875" style="654" customWidth="1"/>
    <col min="4410" max="4608" width="8.554687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5546875" style="654" customWidth="1"/>
    <col min="4654" max="4659" width="9.5546875" style="654" customWidth="1"/>
    <col min="4660" max="4660" width="10.5546875" style="654" customWidth="1"/>
    <col min="4661" max="4665" width="9.5546875" style="654" customWidth="1"/>
    <col min="4666" max="4864" width="8.554687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5546875" style="654" customWidth="1"/>
    <col min="4910" max="4915" width="9.5546875" style="654" customWidth="1"/>
    <col min="4916" max="4916" width="10.5546875" style="654" customWidth="1"/>
    <col min="4917" max="4921" width="9.5546875" style="654" customWidth="1"/>
    <col min="4922" max="5120" width="8.554687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5546875" style="654" customWidth="1"/>
    <col min="5166" max="5171" width="9.5546875" style="654" customWidth="1"/>
    <col min="5172" max="5172" width="10.5546875" style="654" customWidth="1"/>
    <col min="5173" max="5177" width="9.5546875" style="654" customWidth="1"/>
    <col min="5178" max="5376" width="8.554687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5546875" style="654" customWidth="1"/>
    <col min="5422" max="5427" width="9.5546875" style="654" customWidth="1"/>
    <col min="5428" max="5428" width="10.5546875" style="654" customWidth="1"/>
    <col min="5429" max="5433" width="9.5546875" style="654" customWidth="1"/>
    <col min="5434" max="5632" width="8.554687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5546875" style="654" customWidth="1"/>
    <col min="5678" max="5683" width="9.5546875" style="654" customWidth="1"/>
    <col min="5684" max="5684" width="10.5546875" style="654" customWidth="1"/>
    <col min="5685" max="5689" width="9.5546875" style="654" customWidth="1"/>
    <col min="5690" max="5888" width="8.554687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5546875" style="654" customWidth="1"/>
    <col min="5934" max="5939" width="9.5546875" style="654" customWidth="1"/>
    <col min="5940" max="5940" width="10.5546875" style="654" customWidth="1"/>
    <col min="5941" max="5945" width="9.5546875" style="654" customWidth="1"/>
    <col min="5946" max="6144" width="8.554687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5546875" style="654" customWidth="1"/>
    <col min="6190" max="6195" width="9.5546875" style="654" customWidth="1"/>
    <col min="6196" max="6196" width="10.5546875" style="654" customWidth="1"/>
    <col min="6197" max="6201" width="9.5546875" style="654" customWidth="1"/>
    <col min="6202" max="6400" width="8.554687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5546875" style="654" customWidth="1"/>
    <col min="6446" max="6451" width="9.5546875" style="654" customWidth="1"/>
    <col min="6452" max="6452" width="10.5546875" style="654" customWidth="1"/>
    <col min="6453" max="6457" width="9.5546875" style="654" customWidth="1"/>
    <col min="6458" max="6656" width="8.554687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5546875" style="654" customWidth="1"/>
    <col min="6702" max="6707" width="9.5546875" style="654" customWidth="1"/>
    <col min="6708" max="6708" width="10.5546875" style="654" customWidth="1"/>
    <col min="6709" max="6713" width="9.5546875" style="654" customWidth="1"/>
    <col min="6714" max="6912" width="8.554687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5546875" style="654" customWidth="1"/>
    <col min="6958" max="6963" width="9.5546875" style="654" customWidth="1"/>
    <col min="6964" max="6964" width="10.5546875" style="654" customWidth="1"/>
    <col min="6965" max="6969" width="9.5546875" style="654" customWidth="1"/>
    <col min="6970" max="7168" width="8.554687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5546875" style="654" customWidth="1"/>
    <col min="7214" max="7219" width="9.5546875" style="654" customWidth="1"/>
    <col min="7220" max="7220" width="10.5546875" style="654" customWidth="1"/>
    <col min="7221" max="7225" width="9.5546875" style="654" customWidth="1"/>
    <col min="7226" max="7424" width="8.554687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5546875" style="654" customWidth="1"/>
    <col min="7470" max="7475" width="9.5546875" style="654" customWidth="1"/>
    <col min="7476" max="7476" width="10.5546875" style="654" customWidth="1"/>
    <col min="7477" max="7481" width="9.5546875" style="654" customWidth="1"/>
    <col min="7482" max="7680" width="8.554687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5546875" style="654" customWidth="1"/>
    <col min="7726" max="7731" width="9.5546875" style="654" customWidth="1"/>
    <col min="7732" max="7732" width="10.5546875" style="654" customWidth="1"/>
    <col min="7733" max="7737" width="9.5546875" style="654" customWidth="1"/>
    <col min="7738" max="7936" width="8.554687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5546875" style="654" customWidth="1"/>
    <col min="7982" max="7987" width="9.5546875" style="654" customWidth="1"/>
    <col min="7988" max="7988" width="10.5546875" style="654" customWidth="1"/>
    <col min="7989" max="7993" width="9.5546875" style="654" customWidth="1"/>
    <col min="7994" max="8192" width="8.554687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5546875" style="654" customWidth="1"/>
    <col min="8238" max="8243" width="9.5546875" style="654" customWidth="1"/>
    <col min="8244" max="8244" width="10.5546875" style="654" customWidth="1"/>
    <col min="8245" max="8249" width="9.5546875" style="654" customWidth="1"/>
    <col min="8250" max="8448" width="8.554687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5546875" style="654" customWidth="1"/>
    <col min="8494" max="8499" width="9.5546875" style="654" customWidth="1"/>
    <col min="8500" max="8500" width="10.5546875" style="654" customWidth="1"/>
    <col min="8501" max="8505" width="9.5546875" style="654" customWidth="1"/>
    <col min="8506" max="8704" width="8.554687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5546875" style="654" customWidth="1"/>
    <col min="8750" max="8755" width="9.5546875" style="654" customWidth="1"/>
    <col min="8756" max="8756" width="10.5546875" style="654" customWidth="1"/>
    <col min="8757" max="8761" width="9.5546875" style="654" customWidth="1"/>
    <col min="8762" max="8960" width="8.554687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5546875" style="654" customWidth="1"/>
    <col min="9006" max="9011" width="9.5546875" style="654" customWidth="1"/>
    <col min="9012" max="9012" width="10.5546875" style="654" customWidth="1"/>
    <col min="9013" max="9017" width="9.5546875" style="654" customWidth="1"/>
    <col min="9018" max="9216" width="8.554687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5546875" style="654" customWidth="1"/>
    <col min="9262" max="9267" width="9.5546875" style="654" customWidth="1"/>
    <col min="9268" max="9268" width="10.5546875" style="654" customWidth="1"/>
    <col min="9269" max="9273" width="9.5546875" style="654" customWidth="1"/>
    <col min="9274" max="9472" width="8.554687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5546875" style="654" customWidth="1"/>
    <col min="9518" max="9523" width="9.5546875" style="654" customWidth="1"/>
    <col min="9524" max="9524" width="10.5546875" style="654" customWidth="1"/>
    <col min="9525" max="9529" width="9.5546875" style="654" customWidth="1"/>
    <col min="9530" max="9728" width="8.554687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5546875" style="654" customWidth="1"/>
    <col min="9774" max="9779" width="9.5546875" style="654" customWidth="1"/>
    <col min="9780" max="9780" width="10.5546875" style="654" customWidth="1"/>
    <col min="9781" max="9785" width="9.5546875" style="654" customWidth="1"/>
    <col min="9786" max="9984" width="8.554687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5546875" style="654" customWidth="1"/>
    <col min="10030" max="10035" width="9.5546875" style="654" customWidth="1"/>
    <col min="10036" max="10036" width="10.5546875" style="654" customWidth="1"/>
    <col min="10037" max="10041" width="9.5546875" style="654" customWidth="1"/>
    <col min="10042" max="10240" width="8.554687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5546875" style="654" customWidth="1"/>
    <col min="10286" max="10291" width="9.5546875" style="654" customWidth="1"/>
    <col min="10292" max="10292" width="10.5546875" style="654" customWidth="1"/>
    <col min="10293" max="10297" width="9.5546875" style="654" customWidth="1"/>
    <col min="10298" max="10496" width="8.554687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5546875" style="654" customWidth="1"/>
    <col min="10542" max="10547" width="9.5546875" style="654" customWidth="1"/>
    <col min="10548" max="10548" width="10.5546875" style="654" customWidth="1"/>
    <col min="10549" max="10553" width="9.5546875" style="654" customWidth="1"/>
    <col min="10554" max="10752" width="8.554687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5546875" style="654" customWidth="1"/>
    <col min="10798" max="10803" width="9.5546875" style="654" customWidth="1"/>
    <col min="10804" max="10804" width="10.5546875" style="654" customWidth="1"/>
    <col min="10805" max="10809" width="9.5546875" style="654" customWidth="1"/>
    <col min="10810" max="11008" width="8.554687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5546875" style="654" customWidth="1"/>
    <col min="11054" max="11059" width="9.5546875" style="654" customWidth="1"/>
    <col min="11060" max="11060" width="10.5546875" style="654" customWidth="1"/>
    <col min="11061" max="11065" width="9.5546875" style="654" customWidth="1"/>
    <col min="11066" max="11264" width="8.554687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5546875" style="654" customWidth="1"/>
    <col min="11310" max="11315" width="9.5546875" style="654" customWidth="1"/>
    <col min="11316" max="11316" width="10.5546875" style="654" customWidth="1"/>
    <col min="11317" max="11321" width="9.5546875" style="654" customWidth="1"/>
    <col min="11322" max="11520" width="8.554687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5546875" style="654" customWidth="1"/>
    <col min="11566" max="11571" width="9.5546875" style="654" customWidth="1"/>
    <col min="11572" max="11572" width="10.5546875" style="654" customWidth="1"/>
    <col min="11573" max="11577" width="9.5546875" style="654" customWidth="1"/>
    <col min="11578" max="11776" width="8.554687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5546875" style="654" customWidth="1"/>
    <col min="11822" max="11827" width="9.5546875" style="654" customWidth="1"/>
    <col min="11828" max="11828" width="10.5546875" style="654" customWidth="1"/>
    <col min="11829" max="11833" width="9.5546875" style="654" customWidth="1"/>
    <col min="11834" max="12032" width="8.554687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5546875" style="654" customWidth="1"/>
    <col min="12078" max="12083" width="9.5546875" style="654" customWidth="1"/>
    <col min="12084" max="12084" width="10.5546875" style="654" customWidth="1"/>
    <col min="12085" max="12089" width="9.5546875" style="654" customWidth="1"/>
    <col min="12090" max="12288" width="8.554687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5546875" style="654" customWidth="1"/>
    <col min="12334" max="12339" width="9.5546875" style="654" customWidth="1"/>
    <col min="12340" max="12340" width="10.5546875" style="654" customWidth="1"/>
    <col min="12341" max="12345" width="9.5546875" style="654" customWidth="1"/>
    <col min="12346" max="12544" width="8.554687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5546875" style="654" customWidth="1"/>
    <col min="12590" max="12595" width="9.5546875" style="654" customWidth="1"/>
    <col min="12596" max="12596" width="10.5546875" style="654" customWidth="1"/>
    <col min="12597" max="12601" width="9.5546875" style="654" customWidth="1"/>
    <col min="12602" max="12800" width="8.554687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5546875" style="654" customWidth="1"/>
    <col min="12846" max="12851" width="9.5546875" style="654" customWidth="1"/>
    <col min="12852" max="12852" width="10.5546875" style="654" customWidth="1"/>
    <col min="12853" max="12857" width="9.5546875" style="654" customWidth="1"/>
    <col min="12858" max="13056" width="8.554687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5546875" style="654" customWidth="1"/>
    <col min="13102" max="13107" width="9.5546875" style="654" customWidth="1"/>
    <col min="13108" max="13108" width="10.5546875" style="654" customWidth="1"/>
    <col min="13109" max="13113" width="9.5546875" style="654" customWidth="1"/>
    <col min="13114" max="13312" width="8.554687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5546875" style="654" customWidth="1"/>
    <col min="13358" max="13363" width="9.5546875" style="654" customWidth="1"/>
    <col min="13364" max="13364" width="10.5546875" style="654" customWidth="1"/>
    <col min="13365" max="13369" width="9.5546875" style="654" customWidth="1"/>
    <col min="13370" max="13568" width="8.554687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5546875" style="654" customWidth="1"/>
    <col min="13614" max="13619" width="9.5546875" style="654" customWidth="1"/>
    <col min="13620" max="13620" width="10.5546875" style="654" customWidth="1"/>
    <col min="13621" max="13625" width="9.5546875" style="654" customWidth="1"/>
    <col min="13626" max="13824" width="8.554687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5546875" style="654" customWidth="1"/>
    <col min="13870" max="13875" width="9.5546875" style="654" customWidth="1"/>
    <col min="13876" max="13876" width="10.5546875" style="654" customWidth="1"/>
    <col min="13877" max="13881" width="9.5546875" style="654" customWidth="1"/>
    <col min="13882" max="14080" width="8.554687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5546875" style="654" customWidth="1"/>
    <col min="14126" max="14131" width="9.5546875" style="654" customWidth="1"/>
    <col min="14132" max="14132" width="10.5546875" style="654" customWidth="1"/>
    <col min="14133" max="14137" width="9.5546875" style="654" customWidth="1"/>
    <col min="14138" max="14336" width="8.554687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5546875" style="654" customWidth="1"/>
    <col min="14382" max="14387" width="9.5546875" style="654" customWidth="1"/>
    <col min="14388" max="14388" width="10.5546875" style="654" customWidth="1"/>
    <col min="14389" max="14393" width="9.5546875" style="654" customWidth="1"/>
    <col min="14394" max="14592" width="8.554687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5546875" style="654" customWidth="1"/>
    <col min="14638" max="14643" width="9.5546875" style="654" customWidth="1"/>
    <col min="14644" max="14644" width="10.5546875" style="654" customWidth="1"/>
    <col min="14645" max="14649" width="9.5546875" style="654" customWidth="1"/>
    <col min="14650" max="14848" width="8.554687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5546875" style="654" customWidth="1"/>
    <col min="14894" max="14899" width="9.5546875" style="654" customWidth="1"/>
    <col min="14900" max="14900" width="10.5546875" style="654" customWidth="1"/>
    <col min="14901" max="14905" width="9.5546875" style="654" customWidth="1"/>
    <col min="14906" max="15104" width="8.554687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5546875" style="654" customWidth="1"/>
    <col min="15150" max="15155" width="9.5546875" style="654" customWidth="1"/>
    <col min="15156" max="15156" width="10.5546875" style="654" customWidth="1"/>
    <col min="15157" max="15161" width="9.5546875" style="654" customWidth="1"/>
    <col min="15162" max="15360" width="8.554687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5546875" style="654" customWidth="1"/>
    <col min="15406" max="15411" width="9.5546875" style="654" customWidth="1"/>
    <col min="15412" max="15412" width="10.5546875" style="654" customWidth="1"/>
    <col min="15413" max="15417" width="9.5546875" style="654" customWidth="1"/>
    <col min="15418" max="15616" width="8.554687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5546875" style="654" customWidth="1"/>
    <col min="15662" max="15667" width="9.5546875" style="654" customWidth="1"/>
    <col min="15668" max="15668" width="10.5546875" style="654" customWidth="1"/>
    <col min="15669" max="15673" width="9.5546875" style="654" customWidth="1"/>
    <col min="15674" max="15872" width="8.554687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5546875" style="654" customWidth="1"/>
    <col min="15918" max="15923" width="9.5546875" style="654" customWidth="1"/>
    <col min="15924" max="15924" width="10.5546875" style="654" customWidth="1"/>
    <col min="15925" max="15929" width="9.5546875" style="654" customWidth="1"/>
    <col min="15930" max="16128" width="8.554687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5546875" style="654" customWidth="1"/>
    <col min="16174" max="16179" width="9.5546875" style="654" customWidth="1"/>
    <col min="16180" max="16180" width="10.5546875" style="654" customWidth="1"/>
    <col min="16181" max="16185" width="9.5546875" style="654" customWidth="1"/>
    <col min="16186" max="16384" width="8.554687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09375" defaultRowHeight="13.2"/>
  <cols>
    <col min="1" max="1" width="17.109375" style="606" customWidth="1"/>
    <col min="2" max="2" width="11.554687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5546875" style="606" customWidth="1"/>
    <col min="12" max="12" width="7.109375" style="606" customWidth="1"/>
    <col min="13" max="13" width="6.5546875" style="606" customWidth="1"/>
    <col min="14" max="14" width="5.44140625" style="606" customWidth="1"/>
    <col min="15" max="15" width="7.109375" style="606" customWidth="1"/>
    <col min="16" max="16" width="8.44140625" style="606" customWidth="1"/>
    <col min="17" max="19" width="8.554687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554687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1664</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15" t="s">
        <v>1431</v>
      </c>
      <c r="C112" s="1315"/>
      <c r="D112" s="1315"/>
      <c r="E112" s="1315"/>
      <c r="F112" s="1315" t="s">
        <v>1430</v>
      </c>
      <c r="G112" s="1315"/>
      <c r="H112" s="1315"/>
      <c r="I112" s="1315" t="s">
        <v>1429</v>
      </c>
      <c r="J112" s="1315"/>
      <c r="K112" s="131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5546875" defaultRowHeight="13.2"/>
  <cols>
    <col min="1" max="1" width="8.5546875" style="602"/>
    <col min="2" max="2" width="39.5546875" style="602" bestFit="1" customWidth="1"/>
    <col min="3" max="3" width="108.44140625" style="602" bestFit="1" customWidth="1"/>
    <col min="4" max="16384" width="8.554687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file>

<file path=customXml/itemProps2.xml><?xml version="1.0" encoding="utf-8"?>
<ds:datastoreItem xmlns:ds="http://schemas.openxmlformats.org/officeDocument/2006/customXml" ds:itemID="{4C696E28-DAEE-42A5-B2D2-BD53EF49CF02}"/>
</file>

<file path=customXml/itemProps3.xml><?xml version="1.0" encoding="utf-8"?>
<ds:datastoreItem xmlns:ds="http://schemas.openxmlformats.org/officeDocument/2006/customXml" ds:itemID="{507F4C32-BE0A-4C36-92DE-2F66C6FD172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14</vt:i4>
      </vt:variant>
    </vt:vector>
  </HeadingPairs>
  <TitlesOfParts>
    <vt:vector size="42" baseType="lpstr">
      <vt:lpstr>LOG</vt:lpstr>
      <vt:lpstr>Intro</vt:lpstr>
      <vt:lpstr>Commodities</vt:lpstr>
      <vt:lpstr>Processes</vt:lpstr>
      <vt:lpstr>MIN-IMP-EXP</vt:lpstr>
      <vt:lpstr>ETS_NETS_Prices</vt:lpstr>
      <vt:lpstr>Refineries</vt:lpstr>
      <vt:lpstr>Emis</vt:lpstr>
      <vt:lpstr>Trade</vt:lpstr>
      <vt:lpstr>Fuel Tech</vt:lpstr>
      <vt:lpstr>Distribution</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'Eurostat_EB-2010'!Print_Area</vt:lpstr>
      <vt:lpstr>'Eurostat_EB-2011'!Print_Area</vt:lpstr>
      <vt:lpstr>'Eurostat_EB-2012'!Print_Area</vt:lpstr>
      <vt:lpstr>'Eurostat_EB-2013'!Print_Area</vt:lpstr>
      <vt:lpstr>'Eurostat_EB-2014'!Print_Area</vt:lpstr>
      <vt:lpstr>'Eurostat_EB-2010'!Print_Titles</vt:lpstr>
      <vt:lpstr>'Eurostat_EB-2011'!Print_Titles</vt:lpstr>
      <vt:lpstr>'Eurostat_EB-2012'!Print_Titles</vt:lpstr>
      <vt:lpstr>'Eurostat_EB-2013'!Print_Titles</vt:lpstr>
      <vt:lpstr>'Eurostat_EB-2014'!Print_Titles</vt:lpstr>
      <vt:lpstr>Raggr4</vt:lpstr>
      <vt:lpstr>Raggr5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Mikkel Bosack</cp:lastModifiedBy>
  <cp:lastPrinted>2005-02-10T12:45:56Z</cp:lastPrinted>
  <dcterms:created xsi:type="dcterms:W3CDTF">2000-12-13T15:53:11Z</dcterms:created>
  <dcterms:modified xsi:type="dcterms:W3CDTF">2021-10-05T11:40:30Z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