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docProps/custom.xml" ContentType="application/vnd.openxmlformats-officedocument.custom-propertie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TIMES models\TIMES_AZ\"/>
    </mc:Choice>
  </mc:AlternateContent>
  <xr:revisionPtr revIDLastSave="0" documentId="13_ncr:1_{2749A8C4-5A89-4F02-B0EC-95FB1356C505}" xr6:coauthVersionLast="47" xr6:coauthVersionMax="47" xr10:uidLastSave="{00000000-0000-0000-0000-000000000000}"/>
  <bookViews>
    <workbookView xWindow="0" yWindow="2376" windowWidth="41232" windowHeight="11724" activeTab="3" xr2:uid="{00000000-000D-0000-FFFF-FFFF00000000}"/>
  </bookViews>
  <sheets>
    <sheet name="LOG" sheetId="20" r:id="rId1"/>
    <sheet name="Comm" sheetId="8" r:id="rId2"/>
    <sheet name="Proc" sheetId="4" r:id="rId3"/>
    <sheet name="Tech" sheetId="1" r:id="rId4"/>
    <sheet name="Emis" sheetId="9" r:id="rId5"/>
    <sheet name="Fuel Tech" sheetId="10" r:id="rId6"/>
    <sheet name="PP List" sheetId="21" r:id="rId7"/>
    <sheet name="5.3" sheetId="22" r:id="rId8"/>
    <sheet name="5.4" sheetId="29" r:id="rId9"/>
    <sheet name="2.10" sheetId="28" r:id="rId10"/>
    <sheet name="ELC_TechsR_ELC" sheetId="25" r:id="rId11"/>
    <sheet name="ELC_TechsR_DHC" sheetId="26" r:id="rId12"/>
    <sheet name="ELC_TechsR_DHD" sheetId="27"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Order1" hidden="1">255</definedName>
    <definedName name="_Order2" hidden="1">255</definedName>
    <definedName name="ActUnit_P">Proc!$F$10</definedName>
    <definedName name="ActUnit_Pa">#REF!</definedName>
    <definedName name="ActUnit_Pb">#REF!</definedName>
    <definedName name="AFA_3">Tech!$Y$9</definedName>
    <definedName name="AFA_3a">#REF!</definedName>
    <definedName name="AFA_3b">#REF!</definedName>
    <definedName name="AnnualProd_1">[1]Plants1!$N$14:$N$1884</definedName>
    <definedName name="BaseYear">[1]Start!$D$22</definedName>
    <definedName name="BiomassLargeCHP">[2]TechnologyData!$A$14:$M$41</definedName>
    <definedName name="BPslut">[2]Plants!$J$2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Tech!$X$9</definedName>
    <definedName name="CAP2ACT_3a">#REF!</definedName>
    <definedName name="CAP2ACT_3b">#REF!</definedName>
    <definedName name="CapUnit_P">Proc!$G$10</definedName>
    <definedName name="CapUnit_Pa">#REF!</definedName>
    <definedName name="CapUnit_Pb">#REF!</definedName>
    <definedName name="CEH_3">Tech!$J$9</definedName>
    <definedName name="CEH_3a">#REF!</definedName>
    <definedName name="CEH_3b">#REF!</definedName>
    <definedName name="CHPR_3">Tech!$I$9</definedName>
    <definedName name="CHPR_3a">#REF!</definedName>
    <definedName name="CHPR_3b">#REF!</definedName>
    <definedName name="CHPR_UP_3">Tech!#REF!</definedName>
    <definedName name="CHPR_UP_3a">#REF!</definedName>
    <definedName name="CHPR_UP_3b">#REF!</definedName>
    <definedName name="Comm_IN_3">Tech!$E$9</definedName>
    <definedName name="Comm_IN_3a">#REF!</definedName>
    <definedName name="Comm_IN_3b">#REF!</definedName>
    <definedName name="Comm_OUT_3">Tech!$F$9</definedName>
    <definedName name="Comm_OUT_3a">#REF!</definedName>
    <definedName name="Comm_OUT_3b">#REF!</definedName>
    <definedName name="E_waste" localSheetId="11">#REF!</definedName>
    <definedName name="E_waste" localSheetId="12">#REF!</definedName>
    <definedName name="E_waste" localSheetId="10">#REF!</definedName>
    <definedName name="E_waste">#REF!</definedName>
    <definedName name="EFF_3">Tech!$H$9</definedName>
    <definedName name="EFF_3a">#REF!</definedName>
    <definedName name="EFF_3b">#REF!</definedName>
    <definedName name="Eksportstigning">[2]Plants!$J$6</definedName>
    <definedName name="ElArea">[1]Start!$D$24</definedName>
    <definedName name="ELarea_1">[1]Plants1!$B$14:$B$1884</definedName>
    <definedName name="ElAreas">[1]Geo!$B$11:$B$15</definedName>
    <definedName name="ElAreas_Translate">[1]Geo!$I$11:$J$15</definedName>
    <definedName name="ElBoiler">[2]TechnologyData!$O$72:$AA$99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11">[2]Subsidy!#REF!</definedName>
    <definedName name="ElPriceMix" localSheetId="12">[2]Subsidy!#REF!</definedName>
    <definedName name="ElPriceMix" localSheetId="10">[2]Subsidy!#REF!</definedName>
    <definedName name="ElPriceMix">[2]Subsidy!#REF!</definedName>
    <definedName name="Euro" localSheetId="11">[3]ELC_CEN!$E$2</definedName>
    <definedName name="Euro" localSheetId="12">[3]ELC_CEN!$E$2</definedName>
    <definedName name="Euro" localSheetId="10">[3]ELC_CEN!$E$2</definedName>
    <definedName name="Euro">#REF!</definedName>
    <definedName name="Fastprisår">[4]Forside!$B$5</definedName>
    <definedName name="FID_1">[5]AGR_Fuels!$A$2</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Tech!$V$9</definedName>
    <definedName name="FIXOM_3a">#REF!</definedName>
    <definedName name="FIXOM_3b">#REF!</definedName>
    <definedName name="FIXWINOFF">'[6]O&amp;M waste and WIN '!$K$13</definedName>
    <definedName name="FIXWINON">'[6]O&amp;M waste and WIN '!$K$14</definedName>
    <definedName name="FIXWSTBO">'[7]O&amp;M waste and WIN '!$E$5</definedName>
    <definedName name="FIXWSTBP" localSheetId="11">#REF!</definedName>
    <definedName name="FIXWSTBP" localSheetId="12">#REF!</definedName>
    <definedName name="FIXWSTBP" localSheetId="10">#REF!</definedName>
    <definedName name="FIXWSTBP">'[8]Adjusted O&amp;M waste and wind '!$C$4</definedName>
    <definedName name="FuelDesc">[1]Fuel!$T$12:$U$34</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[2]TechnologyData!$O$101:$AA$128</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11">[2]General!#REF!</definedName>
    <definedName name="Inflation" localSheetId="12">[2]General!#REF!</definedName>
    <definedName name="Inflation" localSheetId="10">[2]General!#REF!</definedName>
    <definedName name="Inflation">[2]General!#REF!</definedName>
    <definedName name="LastPSOYear">[2]Plants!$H$2</definedName>
    <definedName name="LIFE_3a">#REF!</definedName>
    <definedName name="LIFE_3b">#REF!</definedName>
    <definedName name="MWhGJ" localSheetId="11">#REF!</definedName>
    <definedName name="MWhGJ" localSheetId="12">#REF!</definedName>
    <definedName name="MWhGJ" localSheetId="10">#REF!</definedName>
    <definedName name="MWhGJ">#REF!</definedName>
    <definedName name="NCAP_BND_FX_0_3a">#REF!</definedName>
    <definedName name="NCAP_BND_FX_0_3b">#REF!</definedName>
    <definedName name="NCAP_BND_FX_3a">#REF!</definedName>
    <definedName name="NCAP_BND_FX_3b">#REF!</definedName>
    <definedName name="Nettarif">[2]TechnologyData!$F$11</definedName>
    <definedName name="NGCC_SmallBP">[2]TechnologyData!$A$72:$M$99</definedName>
    <definedName name="nhydro" localSheetId="11">[2]General!#REF!</definedName>
    <definedName name="nhydro" localSheetId="12">[2]General!#REF!</definedName>
    <definedName name="nhydro" localSheetId="10">[2]General!#REF!</definedName>
    <definedName name="nhydro">[2]General!#REF!</definedName>
    <definedName name="NyeNGCC">[2]Plants!$J$5</definedName>
    <definedName name="OffshoreWindPark">[2]TechnologyData!$O$43:$AA$70</definedName>
    <definedName name="OnshoreWindPark">[2]TechnologyData!$O$14:$AA$41</definedName>
    <definedName name="Peak_3">Tech!$AA$9</definedName>
    <definedName name="Peak_3a">#REF!</definedName>
    <definedName name="Peak_3b">#REF!</definedName>
    <definedName name="PlantDesc1">'[1]TIMES-DK codes'!$B$12:$C$48</definedName>
    <definedName name="PlantDesc2">'[1]TIMES-DK codes'!$D$12:$E$40</definedName>
    <definedName name="PlantName_1">[1]Plants1!$A$14:$A$1884</definedName>
    <definedName name="Real_interest_rate">[9]TechnologyData!$B$37</definedName>
    <definedName name="RefurbishedCoalBioCHP">[2]TechnologyData!$A$43:$M$70</definedName>
    <definedName name="Region_3">Tech!$D$9</definedName>
    <definedName name="Region_3a">#REF!</definedName>
    <definedName name="Region_3b">#REF!</definedName>
    <definedName name="Region_P">Proc!$C$10</definedName>
    <definedName name="Region_Pa">#REF!</definedName>
    <definedName name="Region_Pb">#REF!</definedName>
    <definedName name="RenovCKV">[2]Plants!$J$4</definedName>
    <definedName name="Set_P">Proc!$B$10</definedName>
    <definedName name="Set_Pa">#REF!</definedName>
    <definedName name="Set_Pb">#REF!</definedName>
    <definedName name="Share_I_UP_3">Tech!#REF!</definedName>
    <definedName name="Share_I_UP_3a">#REF!</definedName>
    <definedName name="Share_I_UP_3b">#REF!</definedName>
    <definedName name="STOCK_2015_3">Tech!$M$9</definedName>
    <definedName name="STOCK_2020_3">Tech!$N$9</definedName>
    <definedName name="STOCK_2025_3">Tech!$O$9</definedName>
    <definedName name="STOCK_2030_3">Tech!$P$9</definedName>
    <definedName name="STOCK_2040_3">Tech!$R$9</definedName>
    <definedName name="STOCK_2050_3">Tech!$S$9</definedName>
    <definedName name="STOCK_3">Tech!$K$9</definedName>
    <definedName name="STOCK_HET_3">Tech!#REF!</definedName>
    <definedName name="STOCK_HET_3a">#REF!</definedName>
    <definedName name="STOCK_HET_3b">#REF!</definedName>
    <definedName name="TechDesc_3">Tech!$C$9</definedName>
    <definedName name="TechDesc_3a">#REF!</definedName>
    <definedName name="TechDesc_3b">#REF!</definedName>
    <definedName name="TechDesc_P">Proc!$E$10</definedName>
    <definedName name="TechDesc_Pa">#REF!</definedName>
    <definedName name="TechDesc_Pb">#REF!</definedName>
    <definedName name="TechName_1">[1]Plants1!$CP$14:$CP$1884</definedName>
    <definedName name="TechName_3">Tech!$B$9</definedName>
    <definedName name="TechName_3a">#REF!</definedName>
    <definedName name="TechName_3b">#REF!</definedName>
    <definedName name="TechName_P">Proc!$D$10</definedName>
    <definedName name="TechName_Pa">#REF!</definedName>
    <definedName name="TechName_Pb">#REF!</definedName>
    <definedName name="TimesliceLevel_P">Proc!$H$10</definedName>
    <definedName name="TimesliceLevel_Pa">#REF!</definedName>
    <definedName name="TimesliceLevel_Pb">#REF!</definedName>
    <definedName name="Translate">'[1]Plants Translate 1'!$E$12:$K$55</definedName>
    <definedName name="VAROM_3">Tech!$W$9</definedName>
    <definedName name="VAROM_3a">#REF!</definedName>
    <definedName name="VAROM_3b">#REF!</definedName>
    <definedName name="VARWINOFF">'[6]O&amp;M waste and WIN '!$L$13</definedName>
    <definedName name="VARWINON">'[6]O&amp;M waste and WIN '!$L$14</definedName>
    <definedName name="VARWSTBO" localSheetId="11">#REF!</definedName>
    <definedName name="VARWSTBO" localSheetId="12">#REF!</definedName>
    <definedName name="VARWSTBO" localSheetId="10">#REF!</definedName>
    <definedName name="VARWSTBO">'[8]Adjusted O&amp;M waste and wind '!$D$5</definedName>
    <definedName name="VARWSTBP" localSheetId="11">#REF!</definedName>
    <definedName name="VARWSTBP" localSheetId="12">#REF!</definedName>
    <definedName name="VARWSTBP" localSheetId="10">#REF!</definedName>
    <definedName name="VARWSTBP">'[8]Adjusted O&amp;M waste and wind '!$D$4</definedName>
    <definedName name="WasteCHP">[2]TechnologyData!$A$101:$M$129</definedName>
    <definedName name="Wood_SmallBP">[2]TechnologyData!$A$131:$M$158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36" i="1" l="1"/>
  <c r="AC33" i="1"/>
  <c r="AC32" i="1"/>
  <c r="AC29" i="1"/>
  <c r="AC28" i="1"/>
  <c r="AC27" i="1"/>
  <c r="AC26" i="1"/>
  <c r="AC25" i="1"/>
  <c r="AC24" i="1"/>
  <c r="AC31" i="1" s="1"/>
  <c r="AC23" i="1"/>
  <c r="AC18" i="1"/>
  <c r="AC17" i="1"/>
  <c r="AC15" i="1"/>
  <c r="AC14" i="1"/>
  <c r="AC13" i="1"/>
  <c r="AC12" i="1"/>
  <c r="AC11" i="1"/>
  <c r="AC10" i="1"/>
  <c r="Q36" i="1"/>
  <c r="P36" i="1"/>
  <c r="O36" i="1"/>
  <c r="N36" i="1"/>
  <c r="K36" i="1"/>
  <c r="V19" i="28"/>
  <c r="H15" i="1"/>
  <c r="V18" i="28"/>
  <c r="U19" i="28"/>
  <c r="H36" i="1"/>
  <c r="M60" i="21"/>
  <c r="K33" i="1"/>
  <c r="K32" i="1"/>
  <c r="Y34" i="1"/>
  <c r="Y30" i="1"/>
  <c r="Y22" i="1"/>
  <c r="Y21" i="1"/>
  <c r="Y20" i="1"/>
  <c r="Y19" i="1"/>
  <c r="E36" i="4"/>
  <c r="D36" i="4"/>
  <c r="C36" i="4"/>
  <c r="B36" i="1"/>
  <c r="L36" i="1"/>
  <c r="M36" i="1" s="1"/>
  <c r="AF36" i="1"/>
  <c r="AE36" i="1"/>
  <c r="AD36" i="1"/>
  <c r="AB36" i="1"/>
  <c r="AA36" i="1"/>
  <c r="X36" i="1"/>
  <c r="W36" i="1"/>
  <c r="V36" i="1"/>
  <c r="U36" i="1"/>
  <c r="AK36" i="1"/>
  <c r="S36" i="1"/>
  <c r="AK28" i="1"/>
  <c r="H28" i="1"/>
  <c r="H25" i="1"/>
  <c r="H26" i="1"/>
  <c r="H27" i="1"/>
  <c r="M10" i="1"/>
  <c r="N10" i="1" s="1"/>
  <c r="AA55" i="28"/>
  <c r="AA54" i="28"/>
  <c r="AA39" i="28"/>
  <c r="Z39" i="28" s="1"/>
  <c r="AA37" i="28"/>
  <c r="Z37" i="28" s="1"/>
  <c r="AA36" i="28"/>
  <c r="Z36" i="28"/>
  <c r="AA35" i="28"/>
  <c r="Z35" i="28" s="1"/>
  <c r="AA34" i="28"/>
  <c r="Z34" i="28" s="1"/>
  <c r="Z38" i="28" s="1"/>
  <c r="Z40" i="28" s="1"/>
  <c r="AA31" i="28"/>
  <c r="AA30" i="28"/>
  <c r="AA29" i="28"/>
  <c r="W29" i="28"/>
  <c r="Z28" i="28"/>
  <c r="AA28" i="28" s="1"/>
  <c r="V27" i="28"/>
  <c r="W26" i="28"/>
  <c r="V20" i="28"/>
  <c r="X18" i="28"/>
  <c r="U18" i="28"/>
  <c r="S2" i="28"/>
  <c r="R2" i="28"/>
  <c r="Q2" i="28"/>
  <c r="P2" i="28"/>
  <c r="F2" i="28"/>
  <c r="D2" i="28"/>
  <c r="S1" i="28"/>
  <c r="R1" i="28"/>
  <c r="Q1" i="28"/>
  <c r="P1" i="28"/>
  <c r="F1" i="28"/>
  <c r="D1" i="28"/>
  <c r="C32" i="10"/>
  <c r="B32" i="10"/>
  <c r="E11" i="4"/>
  <c r="C11" i="4"/>
  <c r="E12" i="4"/>
  <c r="C12" i="4"/>
  <c r="E13" i="4"/>
  <c r="C13" i="4"/>
  <c r="E14" i="4"/>
  <c r="C14" i="4"/>
  <c r="E15" i="4"/>
  <c r="C15" i="4"/>
  <c r="E16" i="4"/>
  <c r="C16" i="4"/>
  <c r="E17" i="4"/>
  <c r="C17" i="4"/>
  <c r="E18" i="4"/>
  <c r="C18" i="4"/>
  <c r="E19" i="4"/>
  <c r="C19" i="4"/>
  <c r="E20" i="4"/>
  <c r="C20" i="4"/>
  <c r="E21" i="4"/>
  <c r="C21" i="4"/>
  <c r="E22" i="4"/>
  <c r="C22" i="4"/>
  <c r="E23" i="4"/>
  <c r="C23" i="4"/>
  <c r="E24" i="4"/>
  <c r="C24" i="4"/>
  <c r="E25" i="4"/>
  <c r="C25" i="4"/>
  <c r="E26" i="4"/>
  <c r="C26" i="4"/>
  <c r="E27" i="4"/>
  <c r="C27" i="4"/>
  <c r="E28" i="4"/>
  <c r="C28" i="4"/>
  <c r="E29" i="4"/>
  <c r="C29" i="4"/>
  <c r="E30" i="4"/>
  <c r="C30" i="4"/>
  <c r="E31" i="4"/>
  <c r="C31" i="4"/>
  <c r="E32" i="4"/>
  <c r="C32" i="4"/>
  <c r="E33" i="4"/>
  <c r="C33" i="4"/>
  <c r="E34" i="4"/>
  <c r="C34" i="4"/>
  <c r="E35" i="4"/>
  <c r="C35" i="4"/>
  <c r="B20" i="1"/>
  <c r="D20" i="4"/>
  <c r="B28" i="1"/>
  <c r="D28" i="4"/>
  <c r="B14" i="1"/>
  <c r="D15" i="4"/>
  <c r="B35" i="1"/>
  <c r="D35" i="4"/>
  <c r="B34" i="1"/>
  <c r="D34" i="4"/>
  <c r="B33" i="1"/>
  <c r="D33" i="4" s="1"/>
  <c r="B32" i="1"/>
  <c r="D32" i="4"/>
  <c r="B31" i="1"/>
  <c r="D31" i="4"/>
  <c r="B30" i="1"/>
  <c r="D30" i="4"/>
  <c r="B29" i="1"/>
  <c r="D29" i="4"/>
  <c r="B27" i="1"/>
  <c r="D27" i="4"/>
  <c r="B26" i="1"/>
  <c r="D26" i="4"/>
  <c r="B25" i="1"/>
  <c r="D25" i="4"/>
  <c r="B24" i="1"/>
  <c r="D24" i="4"/>
  <c r="B23" i="1"/>
  <c r="D23" i="4"/>
  <c r="B22" i="1"/>
  <c r="D22" i="4"/>
  <c r="B21" i="1"/>
  <c r="D21" i="4"/>
  <c r="B19" i="1"/>
  <c r="D19" i="4"/>
  <c r="B18" i="1"/>
  <c r="D18" i="4"/>
  <c r="B17" i="1"/>
  <c r="D17" i="4"/>
  <c r="B15" i="1"/>
  <c r="D16" i="4"/>
  <c r="B13" i="1"/>
  <c r="D14" i="4"/>
  <c r="B12" i="1"/>
  <c r="D13" i="4"/>
  <c r="B11" i="1"/>
  <c r="D12" i="4"/>
  <c r="B10" i="1"/>
  <c r="D11" i="4"/>
  <c r="J78" i="21"/>
  <c r="J79" i="21"/>
  <c r="J10" i="21"/>
  <c r="J81" i="21"/>
  <c r="J80" i="21"/>
  <c r="J95" i="21"/>
  <c r="AB15" i="1"/>
  <c r="AF15" i="1"/>
  <c r="AE15" i="1"/>
  <c r="AD15" i="1"/>
  <c r="Z1" i="25"/>
  <c r="Y1" i="25"/>
  <c r="X1" i="25"/>
  <c r="W1" i="25"/>
  <c r="AK29" i="1"/>
  <c r="AF29" i="1"/>
  <c r="AK18" i="1"/>
  <c r="AE18" i="1"/>
  <c r="AK24" i="1"/>
  <c r="AA24" i="1"/>
  <c r="AK23" i="1"/>
  <c r="V23" i="1"/>
  <c r="AK17" i="1"/>
  <c r="U7" i="1"/>
  <c r="U15" i="1"/>
  <c r="AK10" i="1"/>
  <c r="AE10" i="1"/>
  <c r="AK11" i="1"/>
  <c r="AE11" i="1"/>
  <c r="AA15" i="1"/>
  <c r="X15" i="1"/>
  <c r="W15" i="1"/>
  <c r="V15" i="1"/>
  <c r="W19" i="1"/>
  <c r="W20" i="1"/>
  <c r="W21" i="1"/>
  <c r="W34" i="1"/>
  <c r="V19" i="1"/>
  <c r="V20" i="1"/>
  <c r="V21" i="1"/>
  <c r="V34" i="1"/>
  <c r="U19" i="1"/>
  <c r="U20" i="1"/>
  <c r="U21" i="1"/>
  <c r="U34" i="1"/>
  <c r="U17" i="1"/>
  <c r="H29" i="1"/>
  <c r="AK25" i="1"/>
  <c r="AF25" i="1"/>
  <c r="AA11" i="1"/>
  <c r="AA12" i="1"/>
  <c r="AA13" i="1"/>
  <c r="AA14" i="1"/>
  <c r="AB11" i="1"/>
  <c r="AK33" i="1"/>
  <c r="H33" i="1"/>
  <c r="AB18" i="1"/>
  <c r="AF18" i="1"/>
  <c r="AB10" i="1"/>
  <c r="AK26" i="1"/>
  <c r="AK27" i="1"/>
  <c r="AA10" i="1"/>
  <c r="H10" i="1"/>
  <c r="AF10" i="1"/>
  <c r="V10" i="1"/>
  <c r="X18" i="1"/>
  <c r="AD10" i="1"/>
  <c r="W10" i="1"/>
  <c r="X10" i="1"/>
  <c r="AF11" i="1"/>
  <c r="V24" i="1"/>
  <c r="H18" i="1"/>
  <c r="U10" i="1"/>
  <c r="AD11" i="1"/>
  <c r="V27" i="1"/>
  <c r="U27" i="1"/>
  <c r="AF27" i="1"/>
  <c r="AB27" i="1"/>
  <c r="W24" i="1"/>
  <c r="AF17" i="1"/>
  <c r="AK31" i="1"/>
  <c r="AK35" i="1"/>
  <c r="W17" i="1"/>
  <c r="X23" i="1"/>
  <c r="AB23" i="1"/>
  <c r="X17" i="1"/>
  <c r="AA23" i="1"/>
  <c r="W28" i="1"/>
  <c r="U18" i="1"/>
  <c r="AF23" i="1"/>
  <c r="W25" i="1"/>
  <c r="AE25" i="1"/>
  <c r="AE17" i="1"/>
  <c r="X24" i="1"/>
  <c r="V17" i="1"/>
  <c r="W23" i="1"/>
  <c r="U28" i="1"/>
  <c r="AK12" i="1"/>
  <c r="V28" i="1"/>
  <c r="AE23" i="1"/>
  <c r="X28" i="1"/>
  <c r="V18" i="1"/>
  <c r="AB33" i="1"/>
  <c r="AB28" i="1"/>
  <c r="W18" i="1"/>
  <c r="AA28" i="1"/>
  <c r="AD23" i="1"/>
  <c r="AD28" i="1"/>
  <c r="U29" i="1"/>
  <c r="AB24" i="1"/>
  <c r="AB31" i="1"/>
  <c r="AE33" i="1"/>
  <c r="U11" i="1"/>
  <c r="U12" i="1"/>
  <c r="U13" i="1"/>
  <c r="U14" i="1"/>
  <c r="AA17" i="1"/>
  <c r="U26" i="1"/>
  <c r="H17" i="1"/>
  <c r="V11" i="1"/>
  <c r="V12" i="1"/>
  <c r="V13" i="1"/>
  <c r="V14" i="1"/>
  <c r="W29" i="1"/>
  <c r="AD24" i="1"/>
  <c r="AD31" i="1"/>
  <c r="AB29" i="1"/>
  <c r="W11" i="1"/>
  <c r="W12" i="1"/>
  <c r="W13" i="1"/>
  <c r="W14" i="1"/>
  <c r="X29" i="1"/>
  <c r="X26" i="1"/>
  <c r="AE24" i="1"/>
  <c r="AE31" i="1"/>
  <c r="AD29" i="1"/>
  <c r="X11" i="1"/>
  <c r="X12" i="1"/>
  <c r="X13" i="1"/>
  <c r="X14" i="1"/>
  <c r="Y26" i="1"/>
  <c r="AF24" i="1"/>
  <c r="AF31" i="1"/>
  <c r="AE29" i="1"/>
  <c r="AE28" i="1"/>
  <c r="V29" i="1"/>
  <c r="AA18" i="1"/>
  <c r="AF33" i="1"/>
  <c r="AF28" i="1"/>
  <c r="Y13" i="1"/>
  <c r="Y14" i="1"/>
  <c r="AA29" i="1"/>
  <c r="H11" i="1"/>
  <c r="AB17" i="1"/>
  <c r="AB26" i="1"/>
  <c r="X33" i="1"/>
  <c r="U24" i="1"/>
  <c r="AD17" i="1"/>
  <c r="U23" i="1"/>
  <c r="AD18" i="1"/>
  <c r="AK32" i="1"/>
  <c r="W23" i="28"/>
  <c r="W24" i="28"/>
  <c r="W25" i="28"/>
  <c r="W22" i="1"/>
  <c r="W30" i="1"/>
  <c r="V30" i="1"/>
  <c r="V22" i="1"/>
  <c r="U30" i="1"/>
  <c r="U22" i="1"/>
  <c r="Z129" i="21"/>
  <c r="Y129" i="21"/>
  <c r="X129" i="21"/>
  <c r="W129" i="21"/>
  <c r="V129" i="21"/>
  <c r="U129" i="21"/>
  <c r="T129" i="21"/>
  <c r="S129" i="21"/>
  <c r="R129" i="21"/>
  <c r="Q129" i="21"/>
  <c r="P129" i="21"/>
  <c r="O129" i="21"/>
  <c r="N129" i="21"/>
  <c r="M129" i="21"/>
  <c r="Z128" i="21"/>
  <c r="Y128" i="21"/>
  <c r="X128" i="21"/>
  <c r="W128" i="21"/>
  <c r="V128" i="21"/>
  <c r="U128" i="21"/>
  <c r="T128" i="21"/>
  <c r="S128" i="21"/>
  <c r="R128" i="21"/>
  <c r="Q128" i="21"/>
  <c r="P128" i="21"/>
  <c r="O128" i="21"/>
  <c r="N128" i="21"/>
  <c r="M128" i="21"/>
  <c r="Z127" i="21"/>
  <c r="Y127" i="21"/>
  <c r="X127" i="21"/>
  <c r="W127" i="21"/>
  <c r="V127" i="21"/>
  <c r="U127" i="21"/>
  <c r="T127" i="21"/>
  <c r="S127" i="21"/>
  <c r="R127" i="21"/>
  <c r="Q127" i="21"/>
  <c r="P127" i="21"/>
  <c r="O127" i="21"/>
  <c r="N127" i="21"/>
  <c r="M127" i="21"/>
  <c r="Z126" i="21"/>
  <c r="Y126" i="21"/>
  <c r="X126" i="21"/>
  <c r="W126" i="21"/>
  <c r="V126" i="21"/>
  <c r="U126" i="21"/>
  <c r="T126" i="21"/>
  <c r="S126" i="21"/>
  <c r="R126" i="21"/>
  <c r="Q126" i="21"/>
  <c r="P126" i="21"/>
  <c r="O126" i="21"/>
  <c r="N126" i="21"/>
  <c r="M126" i="21"/>
  <c r="Z125" i="21"/>
  <c r="Y125" i="21"/>
  <c r="X125" i="21"/>
  <c r="W125" i="21"/>
  <c r="V125" i="21"/>
  <c r="U125" i="21"/>
  <c r="T125" i="21"/>
  <c r="S125" i="21"/>
  <c r="R125" i="21"/>
  <c r="Q125" i="21"/>
  <c r="P125" i="21"/>
  <c r="O125" i="21"/>
  <c r="N125" i="21"/>
  <c r="M125" i="21"/>
  <c r="Z124" i="21"/>
  <c r="Y124" i="21"/>
  <c r="X124" i="21"/>
  <c r="W124" i="21"/>
  <c r="V124" i="21"/>
  <c r="U124" i="21"/>
  <c r="T124" i="21"/>
  <c r="S124" i="21"/>
  <c r="R124" i="21"/>
  <c r="Q124" i="21"/>
  <c r="P124" i="21"/>
  <c r="O124" i="21"/>
  <c r="N124" i="21"/>
  <c r="M124" i="21"/>
  <c r="Z123" i="21"/>
  <c r="Y123" i="21"/>
  <c r="X123" i="21"/>
  <c r="W123" i="21"/>
  <c r="V123" i="21"/>
  <c r="U123" i="21"/>
  <c r="T123" i="21"/>
  <c r="S123" i="21"/>
  <c r="R123" i="21"/>
  <c r="Q123" i="21"/>
  <c r="P123" i="21"/>
  <c r="O123" i="21"/>
  <c r="N123" i="21"/>
  <c r="M123" i="21"/>
  <c r="Z122" i="21"/>
  <c r="Y122" i="21"/>
  <c r="X122" i="21"/>
  <c r="W122" i="21"/>
  <c r="V122" i="21"/>
  <c r="U122" i="21"/>
  <c r="T122" i="21"/>
  <c r="S122" i="21"/>
  <c r="R122" i="21"/>
  <c r="Q122" i="21"/>
  <c r="P122" i="21"/>
  <c r="O122" i="21"/>
  <c r="N122" i="21"/>
  <c r="M122" i="21"/>
  <c r="Z121" i="21"/>
  <c r="Y121" i="21"/>
  <c r="X121" i="21"/>
  <c r="W121" i="21"/>
  <c r="V121" i="21"/>
  <c r="U121" i="21"/>
  <c r="T121" i="21"/>
  <c r="S121" i="21"/>
  <c r="R121" i="21"/>
  <c r="Q121" i="21"/>
  <c r="P121" i="21"/>
  <c r="O121" i="21"/>
  <c r="N121" i="21"/>
  <c r="M121" i="21"/>
  <c r="Z120" i="21"/>
  <c r="Y120" i="21"/>
  <c r="X120" i="21"/>
  <c r="W120" i="21"/>
  <c r="V120" i="21"/>
  <c r="U120" i="21"/>
  <c r="T120" i="21"/>
  <c r="S120" i="21"/>
  <c r="R120" i="21"/>
  <c r="Q120" i="21"/>
  <c r="P120" i="21"/>
  <c r="O120" i="21"/>
  <c r="N120" i="21"/>
  <c r="M120" i="21"/>
  <c r="Z119" i="21"/>
  <c r="Y119" i="21"/>
  <c r="X119" i="21"/>
  <c r="W119" i="21"/>
  <c r="V119" i="21"/>
  <c r="U119" i="21"/>
  <c r="T119" i="21"/>
  <c r="S119" i="21"/>
  <c r="R119" i="21"/>
  <c r="Q119" i="21"/>
  <c r="P119" i="21"/>
  <c r="O119" i="21"/>
  <c r="N119" i="21"/>
  <c r="M119" i="21"/>
  <c r="Z118" i="21"/>
  <c r="Y118" i="21"/>
  <c r="X118" i="21"/>
  <c r="W118" i="21"/>
  <c r="V118" i="21"/>
  <c r="U118" i="21"/>
  <c r="T118" i="21"/>
  <c r="S118" i="21"/>
  <c r="R118" i="21"/>
  <c r="Q118" i="21"/>
  <c r="P118" i="21"/>
  <c r="O118" i="21"/>
  <c r="N118" i="21"/>
  <c r="M118" i="21"/>
  <c r="Z117" i="21"/>
  <c r="Y117" i="21"/>
  <c r="X117" i="21"/>
  <c r="W117" i="21"/>
  <c r="V117" i="21"/>
  <c r="U117" i="21"/>
  <c r="T117" i="21"/>
  <c r="S117" i="21"/>
  <c r="R117" i="21"/>
  <c r="Q117" i="21"/>
  <c r="P117" i="21"/>
  <c r="O117" i="21"/>
  <c r="N117" i="21"/>
  <c r="M117" i="21"/>
  <c r="Z116" i="21"/>
  <c r="Y116" i="21"/>
  <c r="X116" i="21"/>
  <c r="W116" i="21"/>
  <c r="V116" i="21"/>
  <c r="U116" i="21"/>
  <c r="T116" i="21"/>
  <c r="S116" i="21"/>
  <c r="R116" i="21"/>
  <c r="Q116" i="21"/>
  <c r="P116" i="21"/>
  <c r="O116" i="21"/>
  <c r="N116" i="21"/>
  <c r="M116" i="21"/>
  <c r="Z115" i="21"/>
  <c r="Y115" i="21"/>
  <c r="X115" i="21"/>
  <c r="W115" i="21"/>
  <c r="V115" i="21"/>
  <c r="U115" i="21"/>
  <c r="T115" i="21"/>
  <c r="S115" i="21"/>
  <c r="R115" i="21"/>
  <c r="Q115" i="21"/>
  <c r="P115" i="21"/>
  <c r="O115" i="21"/>
  <c r="N115" i="21"/>
  <c r="M115" i="21"/>
  <c r="Z114" i="21"/>
  <c r="Y114" i="21"/>
  <c r="X114" i="21"/>
  <c r="W114" i="21"/>
  <c r="V114" i="21"/>
  <c r="U114" i="21"/>
  <c r="T114" i="21"/>
  <c r="S114" i="21"/>
  <c r="R114" i="21"/>
  <c r="Q114" i="21"/>
  <c r="P114" i="21"/>
  <c r="O114" i="21"/>
  <c r="N114" i="21"/>
  <c r="M114" i="21"/>
  <c r="Z113" i="21"/>
  <c r="Y113" i="21"/>
  <c r="X113" i="21"/>
  <c r="W113" i="21"/>
  <c r="V113" i="21"/>
  <c r="U113" i="21"/>
  <c r="T113" i="21"/>
  <c r="S113" i="21"/>
  <c r="R113" i="21"/>
  <c r="Q113" i="21"/>
  <c r="P113" i="21"/>
  <c r="O113" i="21"/>
  <c r="N113" i="21"/>
  <c r="M113" i="21"/>
  <c r="Z112" i="21"/>
  <c r="Y112" i="21"/>
  <c r="X112" i="21"/>
  <c r="W112" i="21"/>
  <c r="V112" i="21"/>
  <c r="U112" i="21"/>
  <c r="T112" i="21"/>
  <c r="S112" i="21"/>
  <c r="R112" i="21"/>
  <c r="Q112" i="21"/>
  <c r="P112" i="21"/>
  <c r="O112" i="21"/>
  <c r="N112" i="21"/>
  <c r="M112" i="21"/>
  <c r="Z111" i="21"/>
  <c r="Y111" i="21"/>
  <c r="X111" i="21"/>
  <c r="W111" i="21"/>
  <c r="V111" i="21"/>
  <c r="U111" i="21"/>
  <c r="T111" i="21"/>
  <c r="S111" i="21"/>
  <c r="R111" i="21"/>
  <c r="Q111" i="21"/>
  <c r="P111" i="21"/>
  <c r="O111" i="21"/>
  <c r="N111" i="21"/>
  <c r="M111" i="21"/>
  <c r="Z110" i="21"/>
  <c r="Y110" i="21"/>
  <c r="X110" i="21"/>
  <c r="W110" i="21"/>
  <c r="V110" i="21"/>
  <c r="U110" i="21"/>
  <c r="T110" i="21"/>
  <c r="S110" i="21"/>
  <c r="R110" i="21"/>
  <c r="Q110" i="21"/>
  <c r="P110" i="21"/>
  <c r="O110" i="21"/>
  <c r="N110" i="21"/>
  <c r="M110" i="21"/>
  <c r="Z109" i="21"/>
  <c r="Y109" i="21"/>
  <c r="X109" i="21"/>
  <c r="W109" i="21"/>
  <c r="V109" i="21"/>
  <c r="U109" i="21"/>
  <c r="T109" i="21"/>
  <c r="S109" i="21"/>
  <c r="R109" i="21"/>
  <c r="Q109" i="21"/>
  <c r="P109" i="21"/>
  <c r="O109" i="21"/>
  <c r="N109" i="21"/>
  <c r="M109" i="21"/>
  <c r="Z108" i="21"/>
  <c r="Y108" i="21"/>
  <c r="X108" i="21"/>
  <c r="W108" i="21"/>
  <c r="V108" i="21"/>
  <c r="U108" i="21"/>
  <c r="T108" i="21"/>
  <c r="S108" i="21"/>
  <c r="R108" i="21"/>
  <c r="Q108" i="21"/>
  <c r="P108" i="21"/>
  <c r="O108" i="21"/>
  <c r="N108" i="21"/>
  <c r="M108" i="21"/>
  <c r="Z107" i="21"/>
  <c r="Y107" i="21"/>
  <c r="X107" i="21"/>
  <c r="W107" i="21"/>
  <c r="V107" i="21"/>
  <c r="U107" i="21"/>
  <c r="T107" i="21"/>
  <c r="S107" i="21"/>
  <c r="R107" i="21"/>
  <c r="Q107" i="21"/>
  <c r="P107" i="21"/>
  <c r="O107" i="21"/>
  <c r="N107" i="21"/>
  <c r="M107" i="21"/>
  <c r="Z106" i="21"/>
  <c r="Y106" i="21"/>
  <c r="X106" i="21"/>
  <c r="W106" i="21"/>
  <c r="V106" i="21"/>
  <c r="U106" i="21"/>
  <c r="T106" i="21"/>
  <c r="S106" i="21"/>
  <c r="R106" i="21"/>
  <c r="Q106" i="21"/>
  <c r="P106" i="21"/>
  <c r="O106" i="21"/>
  <c r="N106" i="21"/>
  <c r="M106" i="21"/>
  <c r="Z105" i="21"/>
  <c r="Y105" i="21"/>
  <c r="X105" i="21"/>
  <c r="W105" i="21"/>
  <c r="V105" i="21"/>
  <c r="U105" i="21"/>
  <c r="T105" i="21"/>
  <c r="S105" i="21"/>
  <c r="R105" i="21"/>
  <c r="Q105" i="21"/>
  <c r="P105" i="21"/>
  <c r="O105" i="21"/>
  <c r="N105" i="21"/>
  <c r="M105" i="21"/>
  <c r="Z104" i="21"/>
  <c r="Y104" i="21"/>
  <c r="X104" i="21"/>
  <c r="W104" i="21"/>
  <c r="V104" i="21"/>
  <c r="U104" i="21"/>
  <c r="T104" i="21"/>
  <c r="S104" i="21"/>
  <c r="R104" i="21"/>
  <c r="Q104" i="21"/>
  <c r="P104" i="21"/>
  <c r="O104" i="21"/>
  <c r="N104" i="21"/>
  <c r="M104" i="21"/>
  <c r="Z103" i="21"/>
  <c r="Y103" i="21"/>
  <c r="X103" i="21"/>
  <c r="W103" i="21"/>
  <c r="V103" i="21"/>
  <c r="U103" i="21"/>
  <c r="T103" i="21"/>
  <c r="S103" i="21"/>
  <c r="R103" i="21"/>
  <c r="Q103" i="21"/>
  <c r="P103" i="21"/>
  <c r="O103" i="21"/>
  <c r="N103" i="21"/>
  <c r="M103" i="21"/>
  <c r="Z102" i="21"/>
  <c r="Y102" i="21"/>
  <c r="X102" i="21"/>
  <c r="W102" i="21"/>
  <c r="V102" i="21"/>
  <c r="U102" i="21"/>
  <c r="T102" i="21"/>
  <c r="S102" i="21"/>
  <c r="R102" i="21"/>
  <c r="Q102" i="21"/>
  <c r="P102" i="21"/>
  <c r="O102" i="21"/>
  <c r="N102" i="21"/>
  <c r="M102" i="21"/>
  <c r="Z101" i="21"/>
  <c r="Y101" i="21"/>
  <c r="X101" i="21"/>
  <c r="W101" i="21"/>
  <c r="V101" i="21"/>
  <c r="U101" i="21"/>
  <c r="T101" i="21"/>
  <c r="S101" i="21"/>
  <c r="R101" i="21"/>
  <c r="Q101" i="21"/>
  <c r="P101" i="21"/>
  <c r="O101" i="21"/>
  <c r="N101" i="21"/>
  <c r="M101" i="21"/>
  <c r="Z100" i="21"/>
  <c r="Y100" i="21"/>
  <c r="X100" i="21"/>
  <c r="W100" i="21"/>
  <c r="V100" i="21"/>
  <c r="U100" i="21"/>
  <c r="T100" i="21"/>
  <c r="S100" i="21"/>
  <c r="R100" i="21"/>
  <c r="Q100" i="21"/>
  <c r="P100" i="21"/>
  <c r="O100" i="21"/>
  <c r="N100" i="21"/>
  <c r="M100" i="21"/>
  <c r="Z99" i="21"/>
  <c r="Y99" i="21"/>
  <c r="X99" i="21"/>
  <c r="W99" i="21"/>
  <c r="V99" i="21"/>
  <c r="U99" i="21"/>
  <c r="T99" i="21"/>
  <c r="S99" i="21"/>
  <c r="R99" i="21"/>
  <c r="Q99" i="21"/>
  <c r="P99" i="21"/>
  <c r="O99" i="21"/>
  <c r="N99" i="21"/>
  <c r="M99" i="21"/>
  <c r="Z98" i="21"/>
  <c r="Y98" i="21"/>
  <c r="X98" i="21"/>
  <c r="W98" i="21"/>
  <c r="V98" i="21"/>
  <c r="U98" i="21"/>
  <c r="T98" i="21"/>
  <c r="S98" i="21"/>
  <c r="R98" i="21"/>
  <c r="Q98" i="21"/>
  <c r="P98" i="21"/>
  <c r="O98" i="21"/>
  <c r="N98" i="21"/>
  <c r="M98" i="21"/>
  <c r="Z97" i="21"/>
  <c r="Y97" i="21"/>
  <c r="X97" i="21"/>
  <c r="W97" i="21"/>
  <c r="V97" i="21"/>
  <c r="U97" i="21"/>
  <c r="T97" i="21"/>
  <c r="S97" i="21"/>
  <c r="R97" i="21"/>
  <c r="Q97" i="21"/>
  <c r="P97" i="21"/>
  <c r="O97" i="21"/>
  <c r="N97" i="21"/>
  <c r="M97" i="21"/>
  <c r="Z96" i="21"/>
  <c r="Y96" i="21"/>
  <c r="X96" i="21"/>
  <c r="W96" i="21"/>
  <c r="V96" i="21"/>
  <c r="U96" i="21"/>
  <c r="T96" i="21"/>
  <c r="S96" i="21"/>
  <c r="R96" i="21"/>
  <c r="Q96" i="21"/>
  <c r="P96" i="21"/>
  <c r="O96" i="21"/>
  <c r="N96" i="21"/>
  <c r="M96" i="21"/>
  <c r="Z95" i="21"/>
  <c r="Y95" i="21"/>
  <c r="X95" i="21"/>
  <c r="W95" i="21"/>
  <c r="V95" i="21"/>
  <c r="U95" i="21"/>
  <c r="T95" i="21"/>
  <c r="S95" i="21"/>
  <c r="R95" i="21"/>
  <c r="Q95" i="21"/>
  <c r="P95" i="21"/>
  <c r="O95" i="21"/>
  <c r="N95" i="21"/>
  <c r="M95" i="21"/>
  <c r="Z94" i="21"/>
  <c r="Y94" i="21"/>
  <c r="X94" i="21"/>
  <c r="W94" i="21"/>
  <c r="V94" i="21"/>
  <c r="U94" i="21"/>
  <c r="T94" i="21"/>
  <c r="S94" i="21"/>
  <c r="R94" i="21"/>
  <c r="Q94" i="21"/>
  <c r="P94" i="21"/>
  <c r="O94" i="21"/>
  <c r="N94" i="21"/>
  <c r="M94" i="21"/>
  <c r="Z93" i="21"/>
  <c r="Y93" i="21"/>
  <c r="X93" i="21"/>
  <c r="W93" i="21"/>
  <c r="V93" i="21"/>
  <c r="U93" i="21"/>
  <c r="T93" i="21"/>
  <c r="S93" i="21"/>
  <c r="R93" i="21"/>
  <c r="Q93" i="21"/>
  <c r="P93" i="21"/>
  <c r="O93" i="21"/>
  <c r="N93" i="21"/>
  <c r="M93" i="21"/>
  <c r="Z92" i="21"/>
  <c r="Y92" i="21"/>
  <c r="X92" i="21"/>
  <c r="W92" i="21"/>
  <c r="V92" i="21"/>
  <c r="U92" i="21"/>
  <c r="T92" i="21"/>
  <c r="S92" i="21"/>
  <c r="R92" i="21"/>
  <c r="Q92" i="21"/>
  <c r="P92" i="21"/>
  <c r="O92" i="21"/>
  <c r="N92" i="21"/>
  <c r="M92" i="21"/>
  <c r="Z91" i="21"/>
  <c r="Y91" i="21"/>
  <c r="X91" i="21"/>
  <c r="W91" i="21"/>
  <c r="V91" i="21"/>
  <c r="U91" i="21"/>
  <c r="T91" i="21"/>
  <c r="S91" i="21"/>
  <c r="R91" i="21"/>
  <c r="Q91" i="21"/>
  <c r="P91" i="21"/>
  <c r="O91" i="21"/>
  <c r="N91" i="21"/>
  <c r="M91" i="21"/>
  <c r="Z90" i="21"/>
  <c r="Y90" i="21"/>
  <c r="X90" i="21"/>
  <c r="W90" i="21"/>
  <c r="V90" i="21"/>
  <c r="U90" i="21"/>
  <c r="T90" i="21"/>
  <c r="S90" i="21"/>
  <c r="R90" i="21"/>
  <c r="Q90" i="21"/>
  <c r="P90" i="21"/>
  <c r="O90" i="21"/>
  <c r="N90" i="21"/>
  <c r="M90" i="21"/>
  <c r="Z89" i="21"/>
  <c r="Y89" i="21"/>
  <c r="X89" i="21"/>
  <c r="W89" i="21"/>
  <c r="V89" i="21"/>
  <c r="U89" i="21"/>
  <c r="T89" i="21"/>
  <c r="S89" i="21"/>
  <c r="R89" i="21"/>
  <c r="Q89" i="21"/>
  <c r="P89" i="21"/>
  <c r="O89" i="21"/>
  <c r="N89" i="21"/>
  <c r="M89" i="21"/>
  <c r="Z88" i="21"/>
  <c r="Y88" i="21"/>
  <c r="X88" i="21"/>
  <c r="W88" i="21"/>
  <c r="V88" i="21"/>
  <c r="U88" i="21"/>
  <c r="T88" i="21"/>
  <c r="S88" i="21"/>
  <c r="R88" i="21"/>
  <c r="Q88" i="21"/>
  <c r="P88" i="21"/>
  <c r="O88" i="21"/>
  <c r="N88" i="21"/>
  <c r="M88" i="21"/>
  <c r="Z87" i="21"/>
  <c r="Y87" i="21"/>
  <c r="X87" i="21"/>
  <c r="W87" i="21"/>
  <c r="V87" i="21"/>
  <c r="U87" i="21"/>
  <c r="T87" i="21"/>
  <c r="S87" i="21"/>
  <c r="R87" i="21"/>
  <c r="Q87" i="21"/>
  <c r="P87" i="21"/>
  <c r="O87" i="21"/>
  <c r="N87" i="21"/>
  <c r="M87" i="21"/>
  <c r="Z86" i="21"/>
  <c r="Y86" i="21"/>
  <c r="X86" i="21"/>
  <c r="W86" i="21"/>
  <c r="V86" i="21"/>
  <c r="U86" i="21"/>
  <c r="T86" i="21"/>
  <c r="S86" i="21"/>
  <c r="R86" i="21"/>
  <c r="Q86" i="21"/>
  <c r="P86" i="21"/>
  <c r="O86" i="21"/>
  <c r="N86" i="21"/>
  <c r="M86" i="21"/>
  <c r="Z85" i="21"/>
  <c r="Y85" i="21"/>
  <c r="X85" i="21"/>
  <c r="W85" i="21"/>
  <c r="V85" i="21"/>
  <c r="U85" i="21"/>
  <c r="T85" i="21"/>
  <c r="S85" i="21"/>
  <c r="R85" i="21"/>
  <c r="Q85" i="21"/>
  <c r="P85" i="21"/>
  <c r="O85" i="21"/>
  <c r="N85" i="21"/>
  <c r="M85" i="21"/>
  <c r="Z84" i="21"/>
  <c r="Y84" i="21"/>
  <c r="X84" i="21"/>
  <c r="W84" i="21"/>
  <c r="V84" i="21"/>
  <c r="U84" i="21"/>
  <c r="T84" i="21"/>
  <c r="S84" i="21"/>
  <c r="R84" i="21"/>
  <c r="Q84" i="21"/>
  <c r="P84" i="21"/>
  <c r="O84" i="21"/>
  <c r="N84" i="21"/>
  <c r="M84" i="21"/>
  <c r="Z83" i="21"/>
  <c r="Y83" i="21"/>
  <c r="X83" i="21"/>
  <c r="W83" i="21"/>
  <c r="V83" i="21"/>
  <c r="U83" i="21"/>
  <c r="T83" i="21"/>
  <c r="S83" i="21"/>
  <c r="R83" i="21"/>
  <c r="Q83" i="21"/>
  <c r="P83" i="21"/>
  <c r="O83" i="21"/>
  <c r="N83" i="21"/>
  <c r="M83" i="21"/>
  <c r="Z82" i="21"/>
  <c r="Y82" i="21"/>
  <c r="X82" i="21"/>
  <c r="W82" i="21"/>
  <c r="V82" i="21"/>
  <c r="U82" i="21"/>
  <c r="T82" i="21"/>
  <c r="S82" i="21"/>
  <c r="R82" i="21"/>
  <c r="Q82" i="21"/>
  <c r="P82" i="21"/>
  <c r="O82" i="21"/>
  <c r="N82" i="21"/>
  <c r="M82" i="21"/>
  <c r="Z81" i="21"/>
  <c r="Y81" i="21"/>
  <c r="X81" i="21"/>
  <c r="W81" i="21"/>
  <c r="V81" i="21"/>
  <c r="U81" i="21"/>
  <c r="T81" i="21"/>
  <c r="S81" i="21"/>
  <c r="R81" i="21"/>
  <c r="Q81" i="21"/>
  <c r="P81" i="21"/>
  <c r="O81" i="21"/>
  <c r="N81" i="21"/>
  <c r="M81" i="21"/>
  <c r="Z80" i="21"/>
  <c r="Y80" i="21"/>
  <c r="X80" i="21"/>
  <c r="W80" i="21"/>
  <c r="V80" i="21"/>
  <c r="U80" i="21"/>
  <c r="T80" i="21"/>
  <c r="S80" i="21"/>
  <c r="R80" i="21"/>
  <c r="Q80" i="21"/>
  <c r="P80" i="21"/>
  <c r="O80" i="21"/>
  <c r="N80" i="21"/>
  <c r="M80" i="21"/>
  <c r="Z79" i="21"/>
  <c r="Y79" i="21"/>
  <c r="X79" i="21"/>
  <c r="W79" i="21"/>
  <c r="V79" i="21"/>
  <c r="U79" i="21"/>
  <c r="T79" i="21"/>
  <c r="S79" i="21"/>
  <c r="R79" i="21"/>
  <c r="Q79" i="21"/>
  <c r="P79" i="21"/>
  <c r="O79" i="21"/>
  <c r="N79" i="21"/>
  <c r="M79" i="21"/>
  <c r="Z78" i="21"/>
  <c r="Y78" i="21"/>
  <c r="X78" i="21"/>
  <c r="W78" i="21"/>
  <c r="V78" i="21"/>
  <c r="U78" i="21"/>
  <c r="T78" i="21"/>
  <c r="S78" i="21"/>
  <c r="R78" i="21"/>
  <c r="Q78" i="21"/>
  <c r="P78" i="21"/>
  <c r="O78" i="21"/>
  <c r="N78" i="21"/>
  <c r="M78" i="21"/>
  <c r="Z77" i="21"/>
  <c r="Y77" i="21"/>
  <c r="X77" i="21"/>
  <c r="W77" i="21"/>
  <c r="V77" i="21"/>
  <c r="U77" i="21"/>
  <c r="T77" i="21"/>
  <c r="S77" i="21"/>
  <c r="R77" i="21"/>
  <c r="Q77" i="21"/>
  <c r="P77" i="21"/>
  <c r="O77" i="21"/>
  <c r="N77" i="21"/>
  <c r="M77" i="21"/>
  <c r="Z76" i="21"/>
  <c r="Y76" i="21"/>
  <c r="X76" i="21"/>
  <c r="W76" i="21"/>
  <c r="V76" i="21"/>
  <c r="U76" i="21"/>
  <c r="T76" i="21"/>
  <c r="S76" i="21"/>
  <c r="R76" i="21"/>
  <c r="Q76" i="21"/>
  <c r="P76" i="21"/>
  <c r="O76" i="21"/>
  <c r="N76" i="21"/>
  <c r="M76" i="21"/>
  <c r="Z75" i="21"/>
  <c r="Y75" i="21"/>
  <c r="X75" i="21"/>
  <c r="W75" i="21"/>
  <c r="V75" i="21"/>
  <c r="U75" i="21"/>
  <c r="T75" i="21"/>
  <c r="S75" i="21"/>
  <c r="R75" i="21"/>
  <c r="Q75" i="21"/>
  <c r="P75" i="21"/>
  <c r="O75" i="21"/>
  <c r="N75" i="21"/>
  <c r="M75" i="21"/>
  <c r="Z74" i="21"/>
  <c r="Y74" i="21"/>
  <c r="X74" i="21"/>
  <c r="W74" i="21"/>
  <c r="V74" i="21"/>
  <c r="U74" i="21"/>
  <c r="T74" i="21"/>
  <c r="S74" i="21"/>
  <c r="R74" i="21"/>
  <c r="Q74" i="21"/>
  <c r="P74" i="21"/>
  <c r="O74" i="21"/>
  <c r="N74" i="21"/>
  <c r="M74" i="21"/>
  <c r="Z73" i="21"/>
  <c r="Y73" i="21"/>
  <c r="X73" i="21"/>
  <c r="W73" i="21"/>
  <c r="V73" i="21"/>
  <c r="U73" i="21"/>
  <c r="T73" i="21"/>
  <c r="S73" i="21"/>
  <c r="R73" i="21"/>
  <c r="Q73" i="21"/>
  <c r="P73" i="21"/>
  <c r="O73" i="21"/>
  <c r="N73" i="21"/>
  <c r="M73" i="21"/>
  <c r="Z72" i="21"/>
  <c r="Y72" i="21"/>
  <c r="X72" i="21"/>
  <c r="W72" i="21"/>
  <c r="V72" i="21"/>
  <c r="U72" i="21"/>
  <c r="T72" i="21"/>
  <c r="S72" i="21"/>
  <c r="R72" i="21"/>
  <c r="Q72" i="21"/>
  <c r="P72" i="21"/>
  <c r="O72" i="21"/>
  <c r="N72" i="21"/>
  <c r="M72" i="21"/>
  <c r="Z71" i="21"/>
  <c r="Y71" i="21"/>
  <c r="X71" i="21"/>
  <c r="W71" i="21"/>
  <c r="V71" i="21"/>
  <c r="U71" i="21"/>
  <c r="T71" i="21"/>
  <c r="S71" i="21"/>
  <c r="R71" i="21"/>
  <c r="Q71" i="21"/>
  <c r="P71" i="21"/>
  <c r="O71" i="21"/>
  <c r="N71" i="21"/>
  <c r="M71" i="21"/>
  <c r="Z70" i="21"/>
  <c r="Y70" i="21"/>
  <c r="X70" i="21"/>
  <c r="W70" i="21"/>
  <c r="V70" i="21"/>
  <c r="U70" i="21"/>
  <c r="T70" i="21"/>
  <c r="S70" i="21"/>
  <c r="R70" i="21"/>
  <c r="Q70" i="21"/>
  <c r="P70" i="21"/>
  <c r="O70" i="21"/>
  <c r="N70" i="21"/>
  <c r="M70" i="21"/>
  <c r="Z69" i="21"/>
  <c r="Y69" i="21"/>
  <c r="X69" i="21"/>
  <c r="W69" i="21"/>
  <c r="V69" i="21"/>
  <c r="U69" i="21"/>
  <c r="T69" i="21"/>
  <c r="S69" i="21"/>
  <c r="R69" i="21"/>
  <c r="Q69" i="21"/>
  <c r="P69" i="21"/>
  <c r="O69" i="21"/>
  <c r="N69" i="21"/>
  <c r="M69" i="21"/>
  <c r="Z68" i="21"/>
  <c r="Y68" i="21"/>
  <c r="X68" i="21"/>
  <c r="W68" i="21"/>
  <c r="V68" i="21"/>
  <c r="U68" i="21"/>
  <c r="T68" i="21"/>
  <c r="S68" i="21"/>
  <c r="R68" i="21"/>
  <c r="Q68" i="21"/>
  <c r="P68" i="21"/>
  <c r="O68" i="21"/>
  <c r="N68" i="21"/>
  <c r="M68" i="21"/>
  <c r="Z67" i="21"/>
  <c r="Y67" i="21"/>
  <c r="X67" i="21"/>
  <c r="W67" i="21"/>
  <c r="V67" i="21"/>
  <c r="U67" i="21"/>
  <c r="T67" i="21"/>
  <c r="S67" i="21"/>
  <c r="R67" i="21"/>
  <c r="Q67" i="21"/>
  <c r="P67" i="21"/>
  <c r="O67" i="21"/>
  <c r="N67" i="21"/>
  <c r="M67" i="21"/>
  <c r="Z66" i="21"/>
  <c r="Y66" i="21"/>
  <c r="X66" i="21"/>
  <c r="W66" i="21"/>
  <c r="V66" i="21"/>
  <c r="U66" i="21"/>
  <c r="T66" i="21"/>
  <c r="S66" i="21"/>
  <c r="R66" i="21"/>
  <c r="Q66" i="21"/>
  <c r="P66" i="21"/>
  <c r="O66" i="21"/>
  <c r="N66" i="21"/>
  <c r="M66" i="21"/>
  <c r="Z65" i="21"/>
  <c r="Y65" i="21"/>
  <c r="X65" i="21"/>
  <c r="W65" i="21"/>
  <c r="V65" i="21"/>
  <c r="U65" i="21"/>
  <c r="T65" i="21"/>
  <c r="S65" i="21"/>
  <c r="R65" i="21"/>
  <c r="Q65" i="21"/>
  <c r="P65" i="21"/>
  <c r="O65" i="21"/>
  <c r="N65" i="21"/>
  <c r="M65" i="21"/>
  <c r="Z64" i="21"/>
  <c r="Y64" i="21"/>
  <c r="X64" i="21"/>
  <c r="W64" i="21"/>
  <c r="V64" i="21"/>
  <c r="U64" i="21"/>
  <c r="T64" i="21"/>
  <c r="S64" i="21"/>
  <c r="R64" i="21"/>
  <c r="Q64" i="21"/>
  <c r="P64" i="21"/>
  <c r="O64" i="21"/>
  <c r="N64" i="21"/>
  <c r="M64" i="21"/>
  <c r="Z63" i="21"/>
  <c r="Y63" i="21"/>
  <c r="X63" i="21"/>
  <c r="W63" i="21"/>
  <c r="V63" i="21"/>
  <c r="U63" i="21"/>
  <c r="T63" i="21"/>
  <c r="S63" i="21"/>
  <c r="R63" i="21"/>
  <c r="Q63" i="21"/>
  <c r="P63" i="21"/>
  <c r="O63" i="21"/>
  <c r="N63" i="21"/>
  <c r="M63" i="21"/>
  <c r="Z62" i="21"/>
  <c r="Y62" i="21"/>
  <c r="X62" i="21"/>
  <c r="W62" i="21"/>
  <c r="V62" i="21"/>
  <c r="U62" i="21"/>
  <c r="T62" i="21"/>
  <c r="S62" i="21"/>
  <c r="R62" i="21"/>
  <c r="Q62" i="21"/>
  <c r="P62" i="21"/>
  <c r="O62" i="21"/>
  <c r="N62" i="21"/>
  <c r="M62" i="21"/>
  <c r="Z61" i="21"/>
  <c r="Y61" i="21"/>
  <c r="X61" i="21"/>
  <c r="W61" i="21"/>
  <c r="V61" i="21"/>
  <c r="U61" i="21"/>
  <c r="T61" i="21"/>
  <c r="S61" i="21"/>
  <c r="R61" i="21"/>
  <c r="Q61" i="21"/>
  <c r="P61" i="21"/>
  <c r="O61" i="21"/>
  <c r="N61" i="21"/>
  <c r="M61" i="21"/>
  <c r="Z60" i="21"/>
  <c r="Y60" i="21"/>
  <c r="X60" i="21"/>
  <c r="W60" i="21"/>
  <c r="V60" i="21"/>
  <c r="U60" i="21"/>
  <c r="T60" i="21"/>
  <c r="S60" i="21"/>
  <c r="R60" i="21"/>
  <c r="Q60" i="21"/>
  <c r="P60" i="21"/>
  <c r="O60" i="21"/>
  <c r="N60" i="21"/>
  <c r="Z59" i="21"/>
  <c r="Y59" i="21"/>
  <c r="X59" i="21"/>
  <c r="W59" i="21"/>
  <c r="V59" i="21"/>
  <c r="U59" i="21"/>
  <c r="T59" i="21"/>
  <c r="S59" i="21"/>
  <c r="R59" i="21"/>
  <c r="Q59" i="21"/>
  <c r="P59" i="21"/>
  <c r="O59" i="21"/>
  <c r="N59" i="21"/>
  <c r="M59" i="21"/>
  <c r="Z58" i="21"/>
  <c r="Y58" i="21"/>
  <c r="X58" i="21"/>
  <c r="W58" i="21"/>
  <c r="V58" i="21"/>
  <c r="U58" i="21"/>
  <c r="T58" i="21"/>
  <c r="S58" i="21"/>
  <c r="R58" i="21"/>
  <c r="Q58" i="21"/>
  <c r="P58" i="21"/>
  <c r="O58" i="21"/>
  <c r="N58" i="21"/>
  <c r="M58" i="21"/>
  <c r="Z57" i="21"/>
  <c r="Y57" i="21"/>
  <c r="X57" i="21"/>
  <c r="W57" i="21"/>
  <c r="V57" i="21"/>
  <c r="U57" i="21"/>
  <c r="T57" i="21"/>
  <c r="S57" i="21"/>
  <c r="R57" i="21"/>
  <c r="Q57" i="21"/>
  <c r="P57" i="21"/>
  <c r="O57" i="21"/>
  <c r="N57" i="21"/>
  <c r="M57" i="21"/>
  <c r="Z56" i="21"/>
  <c r="Y56" i="21"/>
  <c r="X56" i="21"/>
  <c r="W56" i="21"/>
  <c r="V56" i="21"/>
  <c r="U56" i="21"/>
  <c r="T56" i="21"/>
  <c r="S56" i="21"/>
  <c r="R56" i="21"/>
  <c r="Q56" i="21"/>
  <c r="P56" i="21"/>
  <c r="O56" i="21"/>
  <c r="N56" i="21"/>
  <c r="M56" i="21"/>
  <c r="Z55" i="21"/>
  <c r="Y55" i="21"/>
  <c r="X55" i="21"/>
  <c r="W55" i="21"/>
  <c r="V55" i="21"/>
  <c r="U55" i="21"/>
  <c r="T55" i="21"/>
  <c r="S55" i="21"/>
  <c r="R55" i="21"/>
  <c r="Q55" i="21"/>
  <c r="P55" i="21"/>
  <c r="O55" i="21"/>
  <c r="N55" i="21"/>
  <c r="M55" i="21"/>
  <c r="Z54" i="21"/>
  <c r="Y54" i="21"/>
  <c r="X54" i="21"/>
  <c r="W54" i="21"/>
  <c r="V54" i="21"/>
  <c r="U54" i="21"/>
  <c r="T54" i="21"/>
  <c r="S54" i="21"/>
  <c r="R54" i="21"/>
  <c r="Q54" i="21"/>
  <c r="P54" i="21"/>
  <c r="O54" i="21"/>
  <c r="N54" i="21"/>
  <c r="M54" i="21"/>
  <c r="Z53" i="21"/>
  <c r="Y53" i="21"/>
  <c r="X53" i="21"/>
  <c r="W53" i="21"/>
  <c r="V53" i="21"/>
  <c r="U53" i="21"/>
  <c r="T53" i="21"/>
  <c r="S53" i="21"/>
  <c r="R53" i="21"/>
  <c r="Q53" i="21"/>
  <c r="P53" i="21"/>
  <c r="O53" i="21"/>
  <c r="N53" i="21"/>
  <c r="M53" i="21"/>
  <c r="Z52" i="21"/>
  <c r="Y52" i="21"/>
  <c r="X52" i="21"/>
  <c r="W52" i="21"/>
  <c r="V52" i="21"/>
  <c r="U52" i="21"/>
  <c r="T52" i="21"/>
  <c r="S52" i="21"/>
  <c r="R52" i="21"/>
  <c r="Q52" i="21"/>
  <c r="P52" i="21"/>
  <c r="O52" i="21"/>
  <c r="N52" i="21"/>
  <c r="M52" i="21"/>
  <c r="Z51" i="21"/>
  <c r="Y51" i="21"/>
  <c r="X51" i="21"/>
  <c r="W51" i="21"/>
  <c r="V51" i="21"/>
  <c r="U51" i="21"/>
  <c r="T51" i="21"/>
  <c r="S51" i="21"/>
  <c r="R51" i="21"/>
  <c r="Q51" i="21"/>
  <c r="P51" i="21"/>
  <c r="O51" i="21"/>
  <c r="N51" i="21"/>
  <c r="M51" i="21"/>
  <c r="Z50" i="21"/>
  <c r="Y50" i="21"/>
  <c r="X50" i="21"/>
  <c r="W50" i="21"/>
  <c r="V50" i="21"/>
  <c r="U50" i="21"/>
  <c r="T50" i="21"/>
  <c r="S50" i="21"/>
  <c r="R50" i="21"/>
  <c r="Q50" i="21"/>
  <c r="P50" i="21"/>
  <c r="O50" i="21"/>
  <c r="N50" i="21"/>
  <c r="M50" i="21"/>
  <c r="Z49" i="21"/>
  <c r="Y49" i="21"/>
  <c r="X49" i="21"/>
  <c r="W49" i="21"/>
  <c r="V49" i="21"/>
  <c r="U49" i="21"/>
  <c r="T49" i="21"/>
  <c r="S49" i="21"/>
  <c r="R49" i="21"/>
  <c r="Q49" i="21"/>
  <c r="P49" i="21"/>
  <c r="O49" i="21"/>
  <c r="N49" i="21"/>
  <c r="M49" i="21"/>
  <c r="Z48" i="21"/>
  <c r="Y48" i="21"/>
  <c r="X48" i="21"/>
  <c r="W48" i="21"/>
  <c r="V48" i="21"/>
  <c r="U48" i="21"/>
  <c r="T48" i="21"/>
  <c r="S48" i="21"/>
  <c r="R48" i="21"/>
  <c r="Q48" i="21"/>
  <c r="P48" i="21"/>
  <c r="O48" i="21"/>
  <c r="N48" i="21"/>
  <c r="M48" i="21"/>
  <c r="Z47" i="21"/>
  <c r="Y47" i="21"/>
  <c r="X47" i="21"/>
  <c r="W47" i="21"/>
  <c r="V47" i="21"/>
  <c r="U47" i="21"/>
  <c r="T47" i="21"/>
  <c r="S47" i="21"/>
  <c r="R47" i="21"/>
  <c r="Q47" i="21"/>
  <c r="P47" i="21"/>
  <c r="O47" i="21"/>
  <c r="N47" i="21"/>
  <c r="M47" i="21"/>
  <c r="Z46" i="21"/>
  <c r="Y46" i="21"/>
  <c r="X46" i="21"/>
  <c r="W46" i="21"/>
  <c r="V46" i="21"/>
  <c r="U46" i="21"/>
  <c r="T46" i="21"/>
  <c r="S46" i="21"/>
  <c r="R46" i="21"/>
  <c r="Q46" i="21"/>
  <c r="P46" i="21"/>
  <c r="O46" i="21"/>
  <c r="N46" i="21"/>
  <c r="M46" i="21"/>
  <c r="Z45" i="21"/>
  <c r="Y45" i="21"/>
  <c r="X45" i="21"/>
  <c r="W45" i="21"/>
  <c r="V45" i="21"/>
  <c r="U45" i="21"/>
  <c r="T45" i="21"/>
  <c r="S45" i="21"/>
  <c r="R45" i="21"/>
  <c r="Q45" i="21"/>
  <c r="P45" i="21"/>
  <c r="O45" i="21"/>
  <c r="N45" i="21"/>
  <c r="M45" i="21"/>
  <c r="Z44" i="21"/>
  <c r="Y44" i="21"/>
  <c r="X44" i="21"/>
  <c r="W44" i="21"/>
  <c r="V44" i="21"/>
  <c r="U44" i="21"/>
  <c r="T44" i="21"/>
  <c r="S44" i="21"/>
  <c r="R44" i="21"/>
  <c r="Q44" i="21"/>
  <c r="P44" i="21"/>
  <c r="O44" i="21"/>
  <c r="N44" i="21"/>
  <c r="M44" i="21"/>
  <c r="Z43" i="21"/>
  <c r="Y43" i="21"/>
  <c r="X43" i="21"/>
  <c r="W43" i="21"/>
  <c r="V43" i="21"/>
  <c r="U43" i="21"/>
  <c r="T43" i="21"/>
  <c r="S43" i="21"/>
  <c r="R43" i="21"/>
  <c r="Q43" i="21"/>
  <c r="P43" i="21"/>
  <c r="O43" i="21"/>
  <c r="N43" i="21"/>
  <c r="M43" i="21"/>
  <c r="Z42" i="21"/>
  <c r="Y42" i="21"/>
  <c r="X42" i="21"/>
  <c r="W42" i="21"/>
  <c r="V42" i="21"/>
  <c r="U42" i="21"/>
  <c r="T42" i="21"/>
  <c r="S42" i="21"/>
  <c r="R42" i="21"/>
  <c r="Q42" i="21"/>
  <c r="P42" i="21"/>
  <c r="O42" i="21"/>
  <c r="N42" i="21"/>
  <c r="M42" i="21"/>
  <c r="Z41" i="21"/>
  <c r="Y41" i="21"/>
  <c r="X41" i="21"/>
  <c r="W41" i="21"/>
  <c r="V41" i="21"/>
  <c r="U41" i="21"/>
  <c r="T41" i="21"/>
  <c r="S41" i="21"/>
  <c r="R41" i="21"/>
  <c r="Q41" i="21"/>
  <c r="P41" i="21"/>
  <c r="O41" i="21"/>
  <c r="N41" i="21"/>
  <c r="M41" i="21"/>
  <c r="Z40" i="21"/>
  <c r="Y40" i="21"/>
  <c r="X40" i="21"/>
  <c r="W40" i="21"/>
  <c r="V40" i="21"/>
  <c r="U40" i="21"/>
  <c r="T40" i="21"/>
  <c r="S40" i="21"/>
  <c r="R40" i="21"/>
  <c r="Q40" i="21"/>
  <c r="P40" i="21"/>
  <c r="O40" i="21"/>
  <c r="N40" i="21"/>
  <c r="M40" i="21"/>
  <c r="Z39" i="21"/>
  <c r="Y39" i="21"/>
  <c r="X39" i="21"/>
  <c r="W39" i="21"/>
  <c r="V39" i="21"/>
  <c r="U39" i="21"/>
  <c r="T39" i="21"/>
  <c r="S39" i="21"/>
  <c r="R39" i="21"/>
  <c r="Q39" i="21"/>
  <c r="P39" i="21"/>
  <c r="O39" i="21"/>
  <c r="N39" i="21"/>
  <c r="M39" i="21"/>
  <c r="Z38" i="21"/>
  <c r="Y38" i="21"/>
  <c r="X38" i="21"/>
  <c r="W38" i="21"/>
  <c r="V38" i="21"/>
  <c r="U38" i="21"/>
  <c r="T38" i="21"/>
  <c r="S38" i="21"/>
  <c r="R38" i="21"/>
  <c r="Q38" i="21"/>
  <c r="P38" i="21"/>
  <c r="O38" i="21"/>
  <c r="N38" i="21"/>
  <c r="M38" i="21"/>
  <c r="Z37" i="21"/>
  <c r="Y37" i="21"/>
  <c r="X37" i="21"/>
  <c r="W37" i="21"/>
  <c r="V37" i="21"/>
  <c r="U37" i="21"/>
  <c r="T37" i="21"/>
  <c r="S37" i="21"/>
  <c r="R37" i="21"/>
  <c r="Q37" i="21"/>
  <c r="P37" i="21"/>
  <c r="O37" i="21"/>
  <c r="N37" i="21"/>
  <c r="M37" i="21"/>
  <c r="Z36" i="21"/>
  <c r="Y36" i="21"/>
  <c r="X36" i="21"/>
  <c r="W36" i="21"/>
  <c r="V36" i="21"/>
  <c r="U36" i="21"/>
  <c r="T36" i="21"/>
  <c r="S36" i="21"/>
  <c r="R36" i="21"/>
  <c r="Q36" i="21"/>
  <c r="P36" i="21"/>
  <c r="O36" i="21"/>
  <c r="N36" i="21"/>
  <c r="M36" i="21"/>
  <c r="Z35" i="21"/>
  <c r="Y35" i="21"/>
  <c r="X35" i="21"/>
  <c r="W35" i="21"/>
  <c r="V35" i="21"/>
  <c r="U35" i="21"/>
  <c r="T35" i="21"/>
  <c r="S35" i="21"/>
  <c r="R35" i="21"/>
  <c r="Q35" i="21"/>
  <c r="P35" i="21"/>
  <c r="O35" i="21"/>
  <c r="N35" i="21"/>
  <c r="M35" i="21"/>
  <c r="Z34" i="21"/>
  <c r="Y34" i="21"/>
  <c r="X34" i="21"/>
  <c r="W34" i="21"/>
  <c r="V34" i="21"/>
  <c r="U34" i="21"/>
  <c r="T34" i="21"/>
  <c r="S34" i="21"/>
  <c r="R34" i="21"/>
  <c r="Q34" i="21"/>
  <c r="P34" i="21"/>
  <c r="O34" i="21"/>
  <c r="N34" i="21"/>
  <c r="M34" i="21"/>
  <c r="Z33" i="21"/>
  <c r="Y33" i="21"/>
  <c r="X33" i="21"/>
  <c r="W33" i="21"/>
  <c r="V33" i="21"/>
  <c r="U33" i="21"/>
  <c r="T33" i="21"/>
  <c r="S33" i="21"/>
  <c r="R33" i="21"/>
  <c r="Q33" i="21"/>
  <c r="P33" i="21"/>
  <c r="O33" i="21"/>
  <c r="N33" i="21"/>
  <c r="M33" i="21"/>
  <c r="Z32" i="21"/>
  <c r="Y32" i="21"/>
  <c r="X32" i="21"/>
  <c r="W32" i="21"/>
  <c r="V32" i="21"/>
  <c r="U32" i="21"/>
  <c r="T32" i="21"/>
  <c r="S32" i="21"/>
  <c r="R32" i="21"/>
  <c r="Q32" i="21"/>
  <c r="P32" i="21"/>
  <c r="O32" i="21"/>
  <c r="N32" i="21"/>
  <c r="M32" i="21"/>
  <c r="Z31" i="21"/>
  <c r="Y31" i="21"/>
  <c r="X31" i="21"/>
  <c r="W31" i="21"/>
  <c r="V31" i="21"/>
  <c r="U31" i="21"/>
  <c r="T31" i="21"/>
  <c r="S31" i="21"/>
  <c r="R31" i="21"/>
  <c r="Q31" i="21"/>
  <c r="P31" i="21"/>
  <c r="O31" i="21"/>
  <c r="N31" i="21"/>
  <c r="M31" i="21"/>
  <c r="Z30" i="21"/>
  <c r="Y30" i="21"/>
  <c r="X30" i="21"/>
  <c r="W30" i="21"/>
  <c r="V30" i="21"/>
  <c r="U30" i="21"/>
  <c r="T30" i="21"/>
  <c r="S30" i="21"/>
  <c r="R30" i="21"/>
  <c r="Q30" i="21"/>
  <c r="P30" i="21"/>
  <c r="O30" i="21"/>
  <c r="N30" i="21"/>
  <c r="M30" i="21"/>
  <c r="Z29" i="21"/>
  <c r="Y29" i="21"/>
  <c r="X29" i="21"/>
  <c r="W29" i="21"/>
  <c r="V29" i="21"/>
  <c r="U29" i="21"/>
  <c r="T29" i="21"/>
  <c r="S29" i="21"/>
  <c r="R29" i="21"/>
  <c r="Q29" i="21"/>
  <c r="P29" i="21"/>
  <c r="O29" i="21"/>
  <c r="N29" i="21"/>
  <c r="M29" i="21"/>
  <c r="Z28" i="21"/>
  <c r="Y28" i="21"/>
  <c r="X28" i="21"/>
  <c r="W28" i="21"/>
  <c r="V28" i="21"/>
  <c r="U28" i="21"/>
  <c r="T28" i="21"/>
  <c r="S28" i="21"/>
  <c r="R28" i="21"/>
  <c r="Q28" i="21"/>
  <c r="P28" i="21"/>
  <c r="O28" i="21"/>
  <c r="N28" i="21"/>
  <c r="M28" i="21"/>
  <c r="Z27" i="21"/>
  <c r="Y27" i="21"/>
  <c r="X27" i="21"/>
  <c r="W27" i="21"/>
  <c r="V27" i="21"/>
  <c r="U27" i="21"/>
  <c r="T27" i="21"/>
  <c r="S27" i="21"/>
  <c r="R27" i="21"/>
  <c r="Q27" i="21"/>
  <c r="P27" i="21"/>
  <c r="O27" i="21"/>
  <c r="N27" i="21"/>
  <c r="M27" i="21"/>
  <c r="Z26" i="21"/>
  <c r="Y26" i="21"/>
  <c r="X26" i="21"/>
  <c r="W26" i="21"/>
  <c r="V26" i="21"/>
  <c r="U26" i="21"/>
  <c r="T26" i="21"/>
  <c r="S26" i="21"/>
  <c r="R26" i="21"/>
  <c r="Q26" i="21"/>
  <c r="P26" i="21"/>
  <c r="O26" i="21"/>
  <c r="N26" i="21"/>
  <c r="M26" i="21"/>
  <c r="Z25" i="21"/>
  <c r="Y25" i="21"/>
  <c r="X25" i="21"/>
  <c r="W25" i="21"/>
  <c r="V25" i="21"/>
  <c r="U25" i="21"/>
  <c r="T25" i="21"/>
  <c r="S25" i="21"/>
  <c r="R25" i="21"/>
  <c r="Q25" i="21"/>
  <c r="P25" i="21"/>
  <c r="O25" i="21"/>
  <c r="N25" i="21"/>
  <c r="M25" i="21"/>
  <c r="Z24" i="21"/>
  <c r="Y24" i="21"/>
  <c r="X24" i="21"/>
  <c r="W24" i="21"/>
  <c r="V24" i="21"/>
  <c r="U24" i="21"/>
  <c r="T24" i="21"/>
  <c r="S24" i="21"/>
  <c r="R24" i="21"/>
  <c r="Q24" i="21"/>
  <c r="P24" i="21"/>
  <c r="O24" i="21"/>
  <c r="N24" i="21"/>
  <c r="M24" i="21"/>
  <c r="Z23" i="21"/>
  <c r="Y23" i="21"/>
  <c r="X23" i="21"/>
  <c r="W23" i="21"/>
  <c r="V23" i="21"/>
  <c r="U23" i="21"/>
  <c r="T23" i="21"/>
  <c r="S23" i="21"/>
  <c r="R23" i="21"/>
  <c r="Q23" i="21"/>
  <c r="P23" i="21"/>
  <c r="O23" i="21"/>
  <c r="N23" i="21"/>
  <c r="M23" i="21"/>
  <c r="Z22" i="21"/>
  <c r="Y22" i="21"/>
  <c r="X22" i="21"/>
  <c r="W22" i="21"/>
  <c r="V22" i="21"/>
  <c r="U22" i="21"/>
  <c r="T22" i="21"/>
  <c r="S22" i="21"/>
  <c r="R22" i="21"/>
  <c r="Q22" i="21"/>
  <c r="P22" i="21"/>
  <c r="O22" i="21"/>
  <c r="N22" i="21"/>
  <c r="M22" i="21"/>
  <c r="Z21" i="21"/>
  <c r="Y21" i="21"/>
  <c r="X21" i="21"/>
  <c r="W21" i="21"/>
  <c r="V21" i="21"/>
  <c r="U21" i="21"/>
  <c r="T21" i="21"/>
  <c r="S21" i="21"/>
  <c r="R21" i="21"/>
  <c r="Q21" i="21"/>
  <c r="P21" i="21"/>
  <c r="O21" i="21"/>
  <c r="N21" i="21"/>
  <c r="M21" i="21"/>
  <c r="Z20" i="21"/>
  <c r="Y20" i="21"/>
  <c r="X20" i="21"/>
  <c r="W20" i="21"/>
  <c r="V20" i="21"/>
  <c r="U20" i="21"/>
  <c r="T20" i="21"/>
  <c r="S20" i="21"/>
  <c r="R20" i="21"/>
  <c r="Q20" i="21"/>
  <c r="P20" i="21"/>
  <c r="O20" i="21"/>
  <c r="N20" i="21"/>
  <c r="M20" i="21"/>
  <c r="Z19" i="21"/>
  <c r="Y19" i="21"/>
  <c r="X19" i="21"/>
  <c r="W19" i="21"/>
  <c r="V19" i="21"/>
  <c r="U19" i="21"/>
  <c r="T19" i="21"/>
  <c r="S19" i="21"/>
  <c r="R19" i="21"/>
  <c r="Q19" i="21"/>
  <c r="P19" i="21"/>
  <c r="O19" i="21"/>
  <c r="N19" i="21"/>
  <c r="M19" i="21"/>
  <c r="Z18" i="21"/>
  <c r="Y18" i="21"/>
  <c r="X18" i="21"/>
  <c r="W18" i="21"/>
  <c r="V18" i="21"/>
  <c r="U18" i="21"/>
  <c r="T18" i="21"/>
  <c r="S18" i="21"/>
  <c r="R18" i="21"/>
  <c r="Q18" i="21"/>
  <c r="P18" i="21"/>
  <c r="O18" i="21"/>
  <c r="N18" i="21"/>
  <c r="M18" i="21"/>
  <c r="Z17" i="21"/>
  <c r="Y17" i="21"/>
  <c r="X17" i="21"/>
  <c r="W17" i="21"/>
  <c r="V17" i="21"/>
  <c r="U17" i="21"/>
  <c r="T17" i="21"/>
  <c r="S17" i="21"/>
  <c r="R17" i="21"/>
  <c r="Q17" i="21"/>
  <c r="P17" i="21"/>
  <c r="O17" i="21"/>
  <c r="N17" i="21"/>
  <c r="M17" i="21"/>
  <c r="Z16" i="21"/>
  <c r="Y16" i="21"/>
  <c r="X16" i="21"/>
  <c r="W16" i="21"/>
  <c r="V16" i="21"/>
  <c r="U16" i="21"/>
  <c r="T16" i="21"/>
  <c r="S16" i="21"/>
  <c r="R16" i="21"/>
  <c r="Q16" i="21"/>
  <c r="P16" i="21"/>
  <c r="O16" i="21"/>
  <c r="N16" i="21"/>
  <c r="M16" i="21"/>
  <c r="Z15" i="21"/>
  <c r="Y15" i="21"/>
  <c r="X15" i="21"/>
  <c r="W15" i="21"/>
  <c r="V15" i="21"/>
  <c r="U15" i="21"/>
  <c r="T15" i="21"/>
  <c r="S15" i="21"/>
  <c r="R15" i="21"/>
  <c r="Q15" i="21"/>
  <c r="P15" i="21"/>
  <c r="O15" i="21"/>
  <c r="N15" i="21"/>
  <c r="M15" i="21"/>
  <c r="Z14" i="21"/>
  <c r="Y14" i="21"/>
  <c r="X14" i="21"/>
  <c r="W14" i="21"/>
  <c r="V14" i="21"/>
  <c r="U14" i="21"/>
  <c r="T14" i="21"/>
  <c r="S14" i="21"/>
  <c r="R14" i="21"/>
  <c r="Q14" i="21"/>
  <c r="P14" i="21"/>
  <c r="O14" i="21"/>
  <c r="N14" i="21"/>
  <c r="M14" i="21"/>
  <c r="Z13" i="21"/>
  <c r="Y13" i="21"/>
  <c r="X13" i="21"/>
  <c r="W13" i="21"/>
  <c r="V13" i="21"/>
  <c r="U13" i="21"/>
  <c r="T13" i="21"/>
  <c r="S13" i="21"/>
  <c r="R13" i="21"/>
  <c r="Q13" i="21"/>
  <c r="P13" i="21"/>
  <c r="O13" i="21"/>
  <c r="N13" i="21"/>
  <c r="M13" i="21"/>
  <c r="Z12" i="21"/>
  <c r="Y12" i="21"/>
  <c r="X12" i="21"/>
  <c r="W12" i="21"/>
  <c r="V12" i="21"/>
  <c r="U12" i="21"/>
  <c r="T12" i="21"/>
  <c r="S12" i="21"/>
  <c r="R12" i="21"/>
  <c r="Q12" i="21"/>
  <c r="P12" i="21"/>
  <c r="O12" i="21"/>
  <c r="N12" i="21"/>
  <c r="M12" i="21"/>
  <c r="Z11" i="21"/>
  <c r="Y11" i="21"/>
  <c r="X11" i="21"/>
  <c r="W11" i="21"/>
  <c r="V11" i="21"/>
  <c r="U11" i="21"/>
  <c r="T11" i="21"/>
  <c r="S11" i="21"/>
  <c r="R11" i="21"/>
  <c r="Q11" i="21"/>
  <c r="P11" i="21"/>
  <c r="O11" i="21"/>
  <c r="N11" i="21"/>
  <c r="M11" i="21"/>
  <c r="Z10" i="21"/>
  <c r="Y10" i="21"/>
  <c r="X10" i="21"/>
  <c r="W10" i="21"/>
  <c r="V10" i="21"/>
  <c r="U10" i="21"/>
  <c r="T10" i="21"/>
  <c r="S10" i="21"/>
  <c r="R10" i="21"/>
  <c r="Q10" i="21"/>
  <c r="P10" i="21"/>
  <c r="O10" i="21"/>
  <c r="N10" i="21"/>
  <c r="M10" i="21"/>
  <c r="M9" i="21"/>
  <c r="AD25" i="1"/>
  <c r="AE27" i="1"/>
  <c r="V25" i="1"/>
  <c r="AB25" i="1"/>
  <c r="AE26" i="1"/>
  <c r="AA26" i="1"/>
  <c r="X25" i="1"/>
  <c r="V26" i="1"/>
  <c r="AD33" i="1"/>
  <c r="AF26" i="1"/>
  <c r="AD26" i="1"/>
  <c r="X27" i="1"/>
  <c r="AD27" i="1"/>
  <c r="W26" i="1"/>
  <c r="AA27" i="1"/>
  <c r="AA25" i="1"/>
  <c r="U25" i="1"/>
  <c r="W27" i="1"/>
  <c r="AA33" i="1"/>
  <c r="W33" i="1"/>
  <c r="V33" i="1"/>
  <c r="U33" i="1"/>
  <c r="AA32" i="1"/>
  <c r="X32" i="1"/>
  <c r="W32" i="1"/>
  <c r="V32" i="1"/>
  <c r="U32" i="1"/>
  <c r="AE32" i="1"/>
  <c r="H32" i="1"/>
  <c r="AD32" i="1"/>
  <c r="AF32" i="1"/>
  <c r="AB32" i="1"/>
  <c r="AA35" i="1"/>
  <c r="X35" i="1"/>
  <c r="W35" i="1"/>
  <c r="AF35" i="1"/>
  <c r="AE35" i="1"/>
  <c r="AD35" i="1"/>
  <c r="AC35" i="1"/>
  <c r="AB35" i="1"/>
  <c r="U35" i="1"/>
  <c r="V35" i="1"/>
  <c r="AD12" i="1"/>
  <c r="H12" i="1"/>
  <c r="AF12" i="1"/>
  <c r="AE12" i="1"/>
  <c r="AB12" i="1"/>
  <c r="AK13" i="1"/>
  <c r="U31" i="1"/>
  <c r="V31" i="1"/>
  <c r="X31" i="1"/>
  <c r="AA31" i="1"/>
  <c r="AB13" i="1"/>
  <c r="H13" i="1"/>
  <c r="AD13" i="1"/>
  <c r="AK14" i="1"/>
  <c r="AE13" i="1"/>
  <c r="AF13" i="1"/>
  <c r="K13" i="1"/>
  <c r="F10" i="21"/>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F41" i="21"/>
  <c r="F42" i="21"/>
  <c r="F43" i="21"/>
  <c r="F44" i="21"/>
  <c r="F45" i="21"/>
  <c r="F46" i="21"/>
  <c r="F47" i="21"/>
  <c r="F48" i="21"/>
  <c r="F49" i="21"/>
  <c r="F50" i="21"/>
  <c r="F51" i="21"/>
  <c r="F52" i="21"/>
  <c r="F53" i="21"/>
  <c r="F54" i="21"/>
  <c r="F55" i="21"/>
  <c r="F56" i="21"/>
  <c r="F57" i="21"/>
  <c r="F58" i="21"/>
  <c r="F59" i="21"/>
  <c r="F60" i="21"/>
  <c r="F61" i="21"/>
  <c r="F62" i="21"/>
  <c r="F63" i="21"/>
  <c r="F64" i="21"/>
  <c r="F65" i="21"/>
  <c r="F66" i="21"/>
  <c r="F67" i="21"/>
  <c r="F68" i="21"/>
  <c r="F69" i="21"/>
  <c r="F70" i="21"/>
  <c r="F71" i="21"/>
  <c r="F72" i="21"/>
  <c r="F73" i="21"/>
  <c r="F74" i="21"/>
  <c r="F75" i="21"/>
  <c r="F76" i="21"/>
  <c r="F77" i="21"/>
  <c r="F78" i="21"/>
  <c r="F79" i="21"/>
  <c r="F80" i="21"/>
  <c r="F81" i="21"/>
  <c r="F82" i="21"/>
  <c r="F83" i="21"/>
  <c r="F84" i="21"/>
  <c r="F85" i="21"/>
  <c r="F86" i="21"/>
  <c r="F87" i="21"/>
  <c r="F88" i="21"/>
  <c r="F89" i="21"/>
  <c r="F90" i="21"/>
  <c r="F91" i="21"/>
  <c r="F92" i="21"/>
  <c r="F93" i="21"/>
  <c r="F94" i="21"/>
  <c r="F95" i="21"/>
  <c r="F96" i="21"/>
  <c r="F97" i="21"/>
  <c r="F98" i="21"/>
  <c r="F99" i="21"/>
  <c r="F100" i="21"/>
  <c r="F101" i="21"/>
  <c r="F102" i="21"/>
  <c r="F103" i="21"/>
  <c r="F104" i="21"/>
  <c r="F105" i="21"/>
  <c r="F106" i="21"/>
  <c r="F107" i="21"/>
  <c r="F108" i="21"/>
  <c r="F109" i="21"/>
  <c r="F110" i="21"/>
  <c r="F111" i="21"/>
  <c r="F112" i="21"/>
  <c r="F113" i="21"/>
  <c r="F114" i="21"/>
  <c r="F115" i="21"/>
  <c r="F116" i="21"/>
  <c r="F117" i="21"/>
  <c r="F118" i="21"/>
  <c r="F119" i="21"/>
  <c r="F120" i="21"/>
  <c r="F121" i="21"/>
  <c r="F122" i="21"/>
  <c r="F123" i="21"/>
  <c r="F124" i="21"/>
  <c r="F125" i="21"/>
  <c r="F126" i="21"/>
  <c r="F127" i="21"/>
  <c r="F128" i="21"/>
  <c r="F129" i="21"/>
  <c r="F9" i="21"/>
  <c r="H60" i="21"/>
  <c r="H66" i="21"/>
  <c r="H65" i="21"/>
  <c r="H64" i="21"/>
  <c r="H63" i="21"/>
  <c r="H62" i="21"/>
  <c r="H35" i="21"/>
  <c r="H34" i="21"/>
  <c r="H32" i="21"/>
  <c r="H31" i="21"/>
  <c r="H30" i="21"/>
  <c r="H29" i="21"/>
  <c r="H28" i="21"/>
  <c r="H27" i="21"/>
  <c r="H26" i="21"/>
  <c r="H25" i="21"/>
  <c r="H24" i="21"/>
  <c r="H21" i="21"/>
  <c r="H20" i="21"/>
  <c r="G20" i="21"/>
  <c r="H19" i="21"/>
  <c r="H18" i="21"/>
  <c r="H17" i="21"/>
  <c r="H16" i="21"/>
  <c r="H15" i="21"/>
  <c r="H14" i="21"/>
  <c r="H13" i="21"/>
  <c r="H12" i="21"/>
  <c r="H11" i="21"/>
  <c r="H10" i="21"/>
  <c r="N9" i="21"/>
  <c r="O9" i="21"/>
  <c r="H9" i="21"/>
  <c r="G9" i="21"/>
  <c r="G14" i="21"/>
  <c r="G15" i="21"/>
  <c r="G16" i="21"/>
  <c r="G17" i="21"/>
  <c r="G18" i="21"/>
  <c r="G19" i="21"/>
  <c r="G21" i="21"/>
  <c r="G22" i="21"/>
  <c r="G23" i="21"/>
  <c r="G28" i="21"/>
  <c r="G29" i="21"/>
  <c r="G30" i="21"/>
  <c r="G32" i="21"/>
  <c r="G33" i="21"/>
  <c r="G34" i="21"/>
  <c r="G35" i="21"/>
  <c r="G36" i="21"/>
  <c r="G37" i="21"/>
  <c r="G38" i="21"/>
  <c r="G39" i="21"/>
  <c r="G40" i="21"/>
  <c r="G41" i="21"/>
  <c r="G42" i="21"/>
  <c r="G43" i="21"/>
  <c r="G44" i="21"/>
  <c r="G45" i="21"/>
  <c r="G46" i="21"/>
  <c r="G47" i="21"/>
  <c r="G48" i="21"/>
  <c r="G49" i="21"/>
  <c r="G50" i="21"/>
  <c r="G51" i="21"/>
  <c r="G52" i="21"/>
  <c r="G53" i="21"/>
  <c r="G54" i="21"/>
  <c r="G55" i="21"/>
  <c r="G56" i="21"/>
  <c r="G57" i="21"/>
  <c r="G58" i="21"/>
  <c r="G59" i="21"/>
  <c r="G60" i="21"/>
  <c r="G61" i="21"/>
  <c r="G64" i="21"/>
  <c r="G66" i="21"/>
  <c r="G67" i="21"/>
  <c r="G68" i="21"/>
  <c r="G69" i="21"/>
  <c r="G70" i="21"/>
  <c r="G71" i="21"/>
  <c r="G72" i="21"/>
  <c r="G73" i="21"/>
  <c r="G74" i="21"/>
  <c r="G75" i="21"/>
  <c r="G76" i="21"/>
  <c r="G77" i="21"/>
  <c r="G82" i="21"/>
  <c r="G83" i="21"/>
  <c r="G84" i="21"/>
  <c r="G85" i="21"/>
  <c r="G86" i="21"/>
  <c r="G87" i="21"/>
  <c r="G88" i="21"/>
  <c r="G89" i="21"/>
  <c r="G90" i="21"/>
  <c r="G91" i="21"/>
  <c r="G92" i="21"/>
  <c r="G93" i="21"/>
  <c r="G94" i="21"/>
  <c r="G96" i="21"/>
  <c r="G97" i="21"/>
  <c r="G98" i="21"/>
  <c r="G99" i="21"/>
  <c r="G100" i="21"/>
  <c r="G101" i="21"/>
  <c r="G102" i="21"/>
  <c r="G103" i="21"/>
  <c r="G104" i="21"/>
  <c r="G105" i="21"/>
  <c r="G106" i="21"/>
  <c r="G107" i="21"/>
  <c r="G108" i="21"/>
  <c r="G109" i="21"/>
  <c r="G110" i="21"/>
  <c r="G111" i="21"/>
  <c r="G112" i="21"/>
  <c r="G113" i="21"/>
  <c r="G114" i="21"/>
  <c r="G115" i="21"/>
  <c r="G116" i="21"/>
  <c r="G117" i="21"/>
  <c r="G118" i="21"/>
  <c r="G119" i="21"/>
  <c r="G120" i="21"/>
  <c r="G121" i="21"/>
  <c r="G122" i="21"/>
  <c r="G123" i="21"/>
  <c r="G124" i="21"/>
  <c r="G125" i="21"/>
  <c r="G126" i="21"/>
  <c r="G127" i="21"/>
  <c r="G128" i="21"/>
  <c r="G129" i="21"/>
  <c r="G95" i="21"/>
  <c r="G81" i="21"/>
  <c r="G80" i="21"/>
  <c r="G79" i="21"/>
  <c r="G78" i="21"/>
  <c r="J13" i="21"/>
  <c r="N20" i="1"/>
  <c r="J26" i="21"/>
  <c r="G26" i="21"/>
  <c r="J25" i="21"/>
  <c r="G25" i="21"/>
  <c r="J24" i="21"/>
  <c r="M24" i="1"/>
  <c r="J12" i="21"/>
  <c r="G12" i="21"/>
  <c r="J11" i="21"/>
  <c r="G10" i="21"/>
  <c r="AD14" i="1"/>
  <c r="AB14" i="1"/>
  <c r="AE14" i="1"/>
  <c r="AF14" i="1"/>
  <c r="H14" i="1"/>
  <c r="K10" i="1"/>
  <c r="K11" i="1"/>
  <c r="K12" i="1"/>
  <c r="K14" i="1"/>
  <c r="K15" i="1"/>
  <c r="I15" i="1" s="1"/>
  <c r="K17" i="1"/>
  <c r="K18" i="1"/>
  <c r="K19" i="1"/>
  <c r="K20" i="1"/>
  <c r="K21" i="1"/>
  <c r="R28" i="1"/>
  <c r="Q28" i="1"/>
  <c r="P28" i="1"/>
  <c r="N24" i="1"/>
  <c r="L24" i="1"/>
  <c r="R23" i="1"/>
  <c r="Q23" i="1"/>
  <c r="P23" i="1"/>
  <c r="O23" i="1"/>
  <c r="Q22" i="1"/>
  <c r="L21" i="1"/>
  <c r="O20" i="1"/>
  <c r="M20" i="1"/>
  <c r="L20" i="1"/>
  <c r="K25" i="1"/>
  <c r="R19" i="1"/>
  <c r="Q19" i="1"/>
  <c r="P19" i="1"/>
  <c r="O15" i="1"/>
  <c r="L32" i="1"/>
  <c r="O28" i="1"/>
  <c r="N15" i="1"/>
  <c r="M15" i="1"/>
  <c r="L15" i="1"/>
  <c r="Q27" i="1"/>
  <c r="R14" i="1"/>
  <c r="Q14" i="1"/>
  <c r="N28" i="1"/>
  <c r="O27" i="1"/>
  <c r="O11" i="1"/>
  <c r="N27" i="1"/>
  <c r="N11" i="1"/>
  <c r="M27" i="1"/>
  <c r="M11" i="1"/>
  <c r="R27" i="1"/>
  <c r="R26" i="1"/>
  <c r="S12" i="1"/>
  <c r="P27" i="1"/>
  <c r="O26" i="1"/>
  <c r="S11" i="1"/>
  <c r="O24" i="1"/>
  <c r="K34" i="1"/>
  <c r="S33" i="1"/>
  <c r="K30" i="1"/>
  <c r="L34" i="1"/>
  <c r="L11" i="1"/>
  <c r="L30" i="1"/>
  <c r="M34" i="1"/>
  <c r="R10" i="1"/>
  <c r="M30" i="1"/>
  <c r="N34" i="1"/>
  <c r="Q10" i="1"/>
  <c r="N30" i="1"/>
  <c r="O34" i="1"/>
  <c r="P14" i="1"/>
  <c r="P10" i="1"/>
  <c r="O30" i="1"/>
  <c r="P34" i="1"/>
  <c r="O19" i="1"/>
  <c r="O14" i="1"/>
  <c r="O10" i="1"/>
  <c r="P30" i="1"/>
  <c r="Q34" i="1"/>
  <c r="N23" i="1"/>
  <c r="N19" i="1"/>
  <c r="N14" i="1"/>
  <c r="Q30" i="1"/>
  <c r="R34" i="1"/>
  <c r="M23" i="1"/>
  <c r="M19" i="1"/>
  <c r="M14" i="1"/>
  <c r="R30" i="1"/>
  <c r="S34" i="1"/>
  <c r="L23" i="1"/>
  <c r="L19" i="1"/>
  <c r="L14" i="1"/>
  <c r="L10" i="1"/>
  <c r="S30" i="1"/>
  <c r="K35" i="1"/>
  <c r="L27" i="1"/>
  <c r="R22" i="1"/>
  <c r="R18" i="1"/>
  <c r="R13" i="1"/>
  <c r="S10" i="1"/>
  <c r="K31" i="1"/>
  <c r="L35" i="1"/>
  <c r="Q18" i="1"/>
  <c r="Q13" i="1"/>
  <c r="S29" i="1"/>
  <c r="L31" i="1"/>
  <c r="M35" i="1"/>
  <c r="K22" i="1"/>
  <c r="Q26" i="1"/>
  <c r="P22" i="1"/>
  <c r="P18" i="1"/>
  <c r="P13" i="1"/>
  <c r="S28" i="1"/>
  <c r="M31" i="1"/>
  <c r="N35" i="1"/>
  <c r="K24" i="1"/>
  <c r="P26" i="1"/>
  <c r="O22" i="1"/>
  <c r="O18" i="1"/>
  <c r="O13" i="1"/>
  <c r="S27" i="1"/>
  <c r="N31" i="1"/>
  <c r="O35" i="1"/>
  <c r="N18" i="1"/>
  <c r="N13" i="1"/>
  <c r="S26" i="1"/>
  <c r="O31" i="1"/>
  <c r="P35" i="1"/>
  <c r="N22" i="1"/>
  <c r="K26" i="1"/>
  <c r="N26" i="1"/>
  <c r="M22" i="1"/>
  <c r="M18" i="1"/>
  <c r="M13" i="1"/>
  <c r="S25" i="1"/>
  <c r="P31" i="1"/>
  <c r="Q35" i="1"/>
  <c r="M26" i="1"/>
  <c r="L22" i="1"/>
  <c r="L18" i="1"/>
  <c r="L13" i="1"/>
  <c r="S24" i="1"/>
  <c r="Q31" i="1"/>
  <c r="R35" i="1"/>
  <c r="K28" i="1"/>
  <c r="L26" i="1"/>
  <c r="R21" i="1"/>
  <c r="R17" i="1"/>
  <c r="R12" i="1"/>
  <c r="S23" i="1"/>
  <c r="R31" i="1"/>
  <c r="S35" i="1"/>
  <c r="K29" i="1"/>
  <c r="R25" i="1"/>
  <c r="Q21" i="1"/>
  <c r="Q17" i="1"/>
  <c r="Q12" i="1"/>
  <c r="S22" i="1"/>
  <c r="S31" i="1"/>
  <c r="S32" i="1"/>
  <c r="K27" i="1"/>
  <c r="K23" i="1"/>
  <c r="Q25" i="1"/>
  <c r="P21" i="1"/>
  <c r="P17" i="1"/>
  <c r="P12" i="1"/>
  <c r="S21" i="1"/>
  <c r="R32" i="1"/>
  <c r="R29" i="1"/>
  <c r="P25" i="1"/>
  <c r="O21" i="1"/>
  <c r="O17" i="1"/>
  <c r="O12" i="1"/>
  <c r="S20" i="1"/>
  <c r="L33" i="1"/>
  <c r="Q32" i="1"/>
  <c r="O25" i="1"/>
  <c r="N21" i="1"/>
  <c r="N17" i="1"/>
  <c r="N12" i="1"/>
  <c r="S19" i="1"/>
  <c r="M33" i="1"/>
  <c r="P32" i="1"/>
  <c r="Q29" i="1"/>
  <c r="P29" i="1"/>
  <c r="N25" i="1"/>
  <c r="M21" i="1"/>
  <c r="M17" i="1"/>
  <c r="M12" i="1"/>
  <c r="S18" i="1"/>
  <c r="N33" i="1"/>
  <c r="O32" i="1"/>
  <c r="L12" i="1"/>
  <c r="S17" i="1"/>
  <c r="O33" i="1"/>
  <c r="N32" i="1"/>
  <c r="O29" i="1"/>
  <c r="L17" i="1"/>
  <c r="N29" i="1"/>
  <c r="R24" i="1"/>
  <c r="R20" i="1"/>
  <c r="R15" i="1"/>
  <c r="R11" i="1"/>
  <c r="S15" i="1"/>
  <c r="P33" i="1"/>
  <c r="M32" i="1"/>
  <c r="M29" i="1"/>
  <c r="Q24" i="1"/>
  <c r="Q20" i="1"/>
  <c r="Q15" i="1"/>
  <c r="Q11" i="1"/>
  <c r="S14" i="1"/>
  <c r="Q33" i="1"/>
  <c r="G11" i="21"/>
  <c r="L25" i="1"/>
  <c r="T30" i="1"/>
  <c r="T28" i="1"/>
  <c r="T27" i="1"/>
  <c r="T26" i="1"/>
  <c r="T24" i="1"/>
  <c r="T21" i="1"/>
  <c r="T23" i="1"/>
  <c r="T22" i="1"/>
  <c r="T14" i="1"/>
  <c r="T20" i="1"/>
  <c r="T19" i="1"/>
  <c r="T18" i="1"/>
  <c r="T17" i="1"/>
  <c r="T25" i="1"/>
  <c r="T15" i="1"/>
  <c r="T13" i="1"/>
  <c r="T11" i="1"/>
  <c r="T12" i="1"/>
  <c r="L28" i="1"/>
  <c r="T29" i="1"/>
  <c r="M28" i="1"/>
  <c r="T35" i="1"/>
  <c r="T34" i="1"/>
  <c r="T33" i="1"/>
  <c r="T32" i="1"/>
  <c r="T31" i="1"/>
  <c r="M25" i="1"/>
  <c r="L29" i="1"/>
  <c r="P24" i="1"/>
  <c r="P20" i="1"/>
  <c r="P15" i="1"/>
  <c r="P11" i="1"/>
  <c r="S13" i="1"/>
  <c r="R33" i="1"/>
  <c r="G65" i="21"/>
  <c r="G63" i="21"/>
  <c r="G62" i="21"/>
  <c r="M7" i="21"/>
  <c r="G31" i="21"/>
  <c r="G27" i="21"/>
  <c r="G24" i="21"/>
  <c r="G13" i="21"/>
  <c r="D4" i="20"/>
  <c r="N7" i="21"/>
  <c r="T7" i="21"/>
  <c r="W7" i="21"/>
  <c r="Q7" i="21"/>
  <c r="R7" i="21"/>
  <c r="X7" i="21"/>
  <c r="Y7" i="21"/>
  <c r="S7" i="21"/>
  <c r="V7" i="21"/>
  <c r="O7" i="21"/>
  <c r="Z7" i="21"/>
  <c r="U7" i="21"/>
  <c r="P7" i="21"/>
  <c r="AA38" i="28" l="1"/>
  <c r="AA40" i="2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Mikkel Bosack</author>
  </authors>
  <commentList>
    <comment ref="B26" authorId="0" shapeId="0" xr:uid="{3652AD70-3929-4516-A70F-51E5FAFBA321}">
      <text>
        <r>
          <rPr>
            <b/>
            <sz val="9"/>
            <color indexed="81"/>
            <rFont val="Tahoma"/>
            <family val="2"/>
          </rPr>
          <t>Mikkel Bosack:</t>
        </r>
        <r>
          <rPr>
            <sz val="9"/>
            <color indexed="81"/>
            <rFont val="Tahoma"/>
            <family val="2"/>
          </rPr>
          <t xml:space="preserve">
could very well be energy consumption for the oil refineries</t>
        </r>
      </text>
    </comment>
  </commentList>
</comments>
</file>

<file path=xl/sharedStrings.xml><?xml version="1.0" encoding="utf-8"?>
<sst xmlns="http://schemas.openxmlformats.org/spreadsheetml/2006/main" count="5741" uniqueCount="738">
  <si>
    <t>Technologies</t>
  </si>
  <si>
    <t>~FI_T</t>
  </si>
  <si>
    <t>TechName</t>
  </si>
  <si>
    <t>*TechDesc</t>
  </si>
  <si>
    <t>Region</t>
  </si>
  <si>
    <t>Comm-IN</t>
  </si>
  <si>
    <t>Comm-OUT</t>
  </si>
  <si>
    <t>EFF</t>
  </si>
  <si>
    <t>CHPR~UP</t>
  </si>
  <si>
    <t>CHPR</t>
  </si>
  <si>
    <t>CEH</t>
  </si>
  <si>
    <t>STOCK~2015</t>
  </si>
  <si>
    <t>STOCK~2020</t>
  </si>
  <si>
    <t>STOCK~2025</t>
  </si>
  <si>
    <t>STOCK~2030</t>
  </si>
  <si>
    <t>STOCK~2040</t>
  </si>
  <si>
    <t>STOCK~2050</t>
  </si>
  <si>
    <t>FIXOM</t>
  </si>
  <si>
    <t>VAROM</t>
  </si>
  <si>
    <t>CAP2ACT</t>
  </si>
  <si>
    <t>AFA</t>
  </si>
  <si>
    <t>Peak</t>
  </si>
  <si>
    <t>*PlantName</t>
  </si>
  <si>
    <t>Power Region Name</t>
  </si>
  <si>
    <t>Installed Capacity</t>
  </si>
  <si>
    <t>*Unit</t>
  </si>
  <si>
    <t>MW</t>
  </si>
  <si>
    <t>Factor</t>
  </si>
  <si>
    <t>ELCC</t>
  </si>
  <si>
    <t>ELCHFO</t>
  </si>
  <si>
    <t/>
  </si>
  <si>
    <t>ELCCOA</t>
  </si>
  <si>
    <t>HETC</t>
  </si>
  <si>
    <t>ELCWPE</t>
  </si>
  <si>
    <t>HETD</t>
  </si>
  <si>
    <t>ELCWST</t>
  </si>
  <si>
    <t>ELCBGA</t>
  </si>
  <si>
    <t>ELCDSL</t>
  </si>
  <si>
    <t>ELCWCH</t>
  </si>
  <si>
    <t>LIFE</t>
  </si>
  <si>
    <t>Years</t>
  </si>
  <si>
    <t>ANNUAL</t>
  </si>
  <si>
    <t>* Define the Processes used in this workbook</t>
  </si>
  <si>
    <t>Processes</t>
  </si>
  <si>
    <t>DAYNITE</t>
  </si>
  <si>
    <t>~FI_Process</t>
  </si>
  <si>
    <t>Sets</t>
  </si>
  <si>
    <t>TechDesc</t>
  </si>
  <si>
    <t>Tact</t>
  </si>
  <si>
    <t>Tcap</t>
  </si>
  <si>
    <t>Tslvl</t>
  </si>
  <si>
    <t>PrimaryCG</t>
  </si>
  <si>
    <t>Vintage</t>
  </si>
  <si>
    <t>*Process Set Membership</t>
  </si>
  <si>
    <t>Region Name</t>
  </si>
  <si>
    <t>Technology Name</t>
  </si>
  <si>
    <t>Technology Description</t>
  </si>
  <si>
    <t>Activity Unit</t>
  </si>
  <si>
    <t>Capacity Unit</t>
  </si>
  <si>
    <t>TimeSlice level of Process Activity</t>
  </si>
  <si>
    <t>Primary Commodity Group</t>
  </si>
  <si>
    <t>Vintage Tracking</t>
  </si>
  <si>
    <t>PJ</t>
  </si>
  <si>
    <t>ELE</t>
  </si>
  <si>
    <t>CHP</t>
  </si>
  <si>
    <t>PRE</t>
  </si>
  <si>
    <t>PJa</t>
  </si>
  <si>
    <t>FT-ELCCOA</t>
  </si>
  <si>
    <t>Fuel Technology Coal ELC</t>
  </si>
  <si>
    <t>FT-ELCHFO</t>
  </si>
  <si>
    <t>Fuel Technology Heavy Fuel Oil ELC</t>
  </si>
  <si>
    <t>FT-ELCDSL</t>
  </si>
  <si>
    <t>Fuel Technology Diesel ELC</t>
  </si>
  <si>
    <t>FT-ELCBGA</t>
  </si>
  <si>
    <t>Fuel Technology Biogas ELC</t>
  </si>
  <si>
    <t>FT-ELCWPE</t>
  </si>
  <si>
    <t>Fuel Technology Wood Pellets ELC</t>
  </si>
  <si>
    <t>FT-ELCWCH</t>
  </si>
  <si>
    <t>Fuel Technology Wood Chips and Waste ELC</t>
  </si>
  <si>
    <t>FT-ELCWST</t>
  </si>
  <si>
    <t>Fuel Technology Waste ELC</t>
  </si>
  <si>
    <t>FT-ELCWIN</t>
  </si>
  <si>
    <t>Fuel Technology Wind ELC</t>
  </si>
  <si>
    <t>FT-ELCHYD</t>
  </si>
  <si>
    <t>Fuel Technology Hydro ELC</t>
  </si>
  <si>
    <t>* Define the commodities used in this workbook</t>
  </si>
  <si>
    <t>Commodities</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</si>
  <si>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</si>
  <si>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</si>
  <si>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</si>
  <si>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</si>
  <si>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</si>
  <si>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</si>
  <si>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</si>
  <si>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</si>
  <si>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</si>
  <si>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</si>
  <si>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</si>
  <si>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</si>
  <si>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</si>
  <si>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</si>
  <si>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</si>
  <si>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</si>
  <si>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ENV</t>
  </si>
  <si>
    <t>ELCCO2</t>
  </si>
  <si>
    <t>CO2 Power Sector</t>
  </si>
  <si>
    <t>kt</t>
  </si>
  <si>
    <t>NRG</t>
  </si>
  <si>
    <t>Electricity (Central)</t>
  </si>
  <si>
    <t>ELC</t>
  </si>
  <si>
    <t>Heat (Central)</t>
  </si>
  <si>
    <t>Heat (Decentral)</t>
  </si>
  <si>
    <t>Coal ELC</t>
  </si>
  <si>
    <t>Heavy Fuel Oil ELC</t>
  </si>
  <si>
    <t>Biogas ELC</t>
  </si>
  <si>
    <t>Wood Pellets ELC</t>
  </si>
  <si>
    <t>Wood Chips and Waste ELC</t>
  </si>
  <si>
    <t>Waste ELC</t>
  </si>
  <si>
    <t>FX</t>
  </si>
  <si>
    <t>ELCWIN</t>
  </si>
  <si>
    <t>Wind ELC</t>
  </si>
  <si>
    <t>ELCHYD</t>
  </si>
  <si>
    <t>Hydro ELC</t>
  </si>
  <si>
    <t>Commodity Emissions</t>
  </si>
  <si>
    <t>Basic fuels</t>
  </si>
  <si>
    <t>kg/GJ = kt/PJ</t>
  </si>
  <si>
    <t>~COMEMI</t>
  </si>
  <si>
    <t>*Units</t>
  </si>
  <si>
    <t>kg/GJ</t>
  </si>
  <si>
    <t>Coal</t>
  </si>
  <si>
    <t>Heavy Fuel Oil</t>
  </si>
  <si>
    <t>Waste</t>
  </si>
  <si>
    <t>Diesel</t>
  </si>
  <si>
    <t>*Fuel Tech</t>
  </si>
  <si>
    <t>COA</t>
  </si>
  <si>
    <t>HFO</t>
  </si>
  <si>
    <t>DSL</t>
  </si>
  <si>
    <t>NGA</t>
  </si>
  <si>
    <t>BGA</t>
  </si>
  <si>
    <t>WPE</t>
  </si>
  <si>
    <t>WCH</t>
  </si>
  <si>
    <t>WST</t>
  </si>
  <si>
    <t>WIN</t>
  </si>
  <si>
    <t>HYD</t>
  </si>
  <si>
    <t>* Values associate with commodities and processes</t>
  </si>
  <si>
    <t>Diesel ELC</t>
  </si>
  <si>
    <t>FT-ELCNGA</t>
  </si>
  <si>
    <t>ELCNGA</t>
  </si>
  <si>
    <t>Hydro</t>
  </si>
  <si>
    <t>Wind</t>
  </si>
  <si>
    <t>STOCK~2035</t>
  </si>
  <si>
    <t>Fuel Technology Nat. Gas ELC</t>
  </si>
  <si>
    <t>Biogas</t>
  </si>
  <si>
    <t>Wood Pellets</t>
  </si>
  <si>
    <t>Nat. Gas</t>
  </si>
  <si>
    <t xml:space="preserve">Fuel Technology Hydro ELC </t>
  </si>
  <si>
    <t>Nat. Gas ELC</t>
  </si>
  <si>
    <t>Wood Chips</t>
  </si>
  <si>
    <t>ELCCO2W</t>
  </si>
  <si>
    <t>CO2 Power Sector waste</t>
  </si>
  <si>
    <t>Boiler</t>
  </si>
  <si>
    <t>Geothermal</t>
  </si>
  <si>
    <t>PV</t>
  </si>
  <si>
    <t>Electricity</t>
  </si>
  <si>
    <t>Share-I~UP~2010</t>
  </si>
  <si>
    <t>Share-I~UP~2012</t>
  </si>
  <si>
    <t>Share-I~UP~2015</t>
  </si>
  <si>
    <t>Share-I~UP~2020</t>
  </si>
  <si>
    <t>Share-I~UP~2025</t>
  </si>
  <si>
    <t>Share-I~UP~2050</t>
  </si>
  <si>
    <t>Share-I~UP~0</t>
  </si>
  <si>
    <t>CURR</t>
  </si>
  <si>
    <t>MKr15</t>
  </si>
  <si>
    <t>Date</t>
  </si>
  <si>
    <t>Name</t>
  </si>
  <si>
    <t>Sheet Name</t>
  </si>
  <si>
    <t>Cells</t>
  </si>
  <si>
    <t>Comments</t>
  </si>
  <si>
    <t>Olexandr Balyk</t>
  </si>
  <si>
    <t>Tech</t>
  </si>
  <si>
    <t>CAP2ACT had a value of 0.032 instead of 0.031536</t>
  </si>
  <si>
    <t>ELCGAS</t>
  </si>
  <si>
    <t>ELCGEO</t>
  </si>
  <si>
    <t>ELCSNG</t>
  </si>
  <si>
    <t>ELCSOL</t>
  </si>
  <si>
    <t>ELCSTR</t>
  </si>
  <si>
    <t>ELCWAV</t>
  </si>
  <si>
    <t>Synt.Nat.Gas ELC</t>
  </si>
  <si>
    <t>Gas ELC</t>
  </si>
  <si>
    <t>Straw ELC</t>
  </si>
  <si>
    <t>Solar ELC</t>
  </si>
  <si>
    <t>Geothermal ELC</t>
  </si>
  <si>
    <t>Wave ELC</t>
  </si>
  <si>
    <t>FT-ELCSOL</t>
  </si>
  <si>
    <t>Fuel Technology Solar ELC</t>
  </si>
  <si>
    <t>SOL</t>
  </si>
  <si>
    <t>FT-ELCGEO</t>
  </si>
  <si>
    <t>Fuel Technology Geothermal ELC</t>
  </si>
  <si>
    <t>GEO</t>
  </si>
  <si>
    <t>FT-ELCWAV</t>
  </si>
  <si>
    <t>Fuel Technology Wave ELC</t>
  </si>
  <si>
    <t>WAV</t>
  </si>
  <si>
    <t>FT-ELCSTR</t>
  </si>
  <si>
    <t>Fuel Technology Straw ELC</t>
  </si>
  <si>
    <t>STR</t>
  </si>
  <si>
    <t>FT-ELCSNG</t>
  </si>
  <si>
    <t>Fuel Technology Synt.Nat.Gas ELC</t>
  </si>
  <si>
    <t>SNG1</t>
  </si>
  <si>
    <t>SNG2</t>
  </si>
  <si>
    <t>FT-ELCGAS</t>
  </si>
  <si>
    <t>Fuel Technology Gas ELC</t>
  </si>
  <si>
    <t>Pja</t>
  </si>
  <si>
    <t>FT-ELCDSB</t>
  </si>
  <si>
    <t>Fuel Technology BioDiesel ELC</t>
  </si>
  <si>
    <t>DSB1</t>
  </si>
  <si>
    <t>ELCDSB</t>
  </si>
  <si>
    <t>DSB2</t>
  </si>
  <si>
    <t>BioDiesel ELC</t>
  </si>
  <si>
    <t>ELCSTM</t>
  </si>
  <si>
    <t xml:space="preserve">Dummy Steam </t>
  </si>
  <si>
    <t>AZ1</t>
  </si>
  <si>
    <t>AZ 1</t>
  </si>
  <si>
    <t>Sheki Small HPP</t>
  </si>
  <si>
    <t>including:</t>
  </si>
  <si>
    <t xml:space="preserve">Hydro Power Plants </t>
  </si>
  <si>
    <t>inluding:</t>
  </si>
  <si>
    <t xml:space="preserve">Bioenergy - total </t>
  </si>
  <si>
    <t>Gobustan Wind PP</t>
  </si>
  <si>
    <t xml:space="preserve">Wind Power Plants -total </t>
  </si>
  <si>
    <t>Pirallahi Solar PP</t>
  </si>
  <si>
    <t>Surakhani Solar PP</t>
  </si>
  <si>
    <t>Sahil Solar PP</t>
  </si>
  <si>
    <t>Sumgait Solar PP</t>
  </si>
  <si>
    <t>Samukh Solar PP</t>
  </si>
  <si>
    <t>Gobustan Solar PP</t>
  </si>
  <si>
    <t xml:space="preserve">Solar Power Plants -total </t>
  </si>
  <si>
    <t xml:space="preserve">including: </t>
  </si>
  <si>
    <t xml:space="preserve">Azalternativenergy LLC </t>
  </si>
  <si>
    <t xml:space="preserve">Location Area </t>
  </si>
  <si>
    <t>Capacity, MW</t>
  </si>
  <si>
    <t xml:space="preserve">Date  putting into operations </t>
  </si>
  <si>
    <t xml:space="preserve">Power Plant Name </t>
  </si>
  <si>
    <t>Nugedi  Small HPP</t>
  </si>
  <si>
    <t>3.0</t>
  </si>
  <si>
    <t>Chichekli Small HPP</t>
  </si>
  <si>
    <t>Mugan Small HPP</t>
  </si>
  <si>
    <t xml:space="preserve">including </t>
  </si>
  <si>
    <t>Hydro Power Plants</t>
  </si>
  <si>
    <t xml:space="preserve">Balakhani Power Plant (Minicipal waste incineration) </t>
  </si>
  <si>
    <t xml:space="preserve">Bioenergy </t>
  </si>
  <si>
    <t>AZ 2</t>
  </si>
  <si>
    <t>implementation Agrrement  between BP and Ministry of Energy 3 June 2021</t>
  </si>
  <si>
    <t>Solar Power Plant - BP (Zangelan-Jabrail region of Karabakh)</t>
  </si>
  <si>
    <t>under construction</t>
  </si>
  <si>
    <t xml:space="preserve">Solar Power Plants </t>
  </si>
  <si>
    <t>Wind Power Plant - ACWA Power</t>
  </si>
  <si>
    <t xml:space="preserve">including  </t>
  </si>
  <si>
    <t xml:space="preserve">Wind Power Plants - total </t>
  </si>
  <si>
    <t>Azersun Holding (Sugar Production Plant)</t>
  </si>
  <si>
    <t>SOCAR</t>
  </si>
  <si>
    <t xml:space="preserve">BP Azerbaijan </t>
  </si>
  <si>
    <t xml:space="preserve">Thermal Power Plants -total </t>
  </si>
  <si>
    <t xml:space="preserve">Inpendent Power Producers </t>
  </si>
  <si>
    <t>AZ 3</t>
  </si>
  <si>
    <t>Solar PV Power Plants -total</t>
  </si>
  <si>
    <t>Ordubad HPP</t>
  </si>
  <si>
    <t>Arpaçay-1 HPP</t>
  </si>
  <si>
    <t>Biləv HPP</t>
  </si>
  <si>
    <t>Vaykhir Small  HPP</t>
  </si>
  <si>
    <t xml:space="preserve"> Araz  HPP</t>
  </si>
  <si>
    <t>1993/2006</t>
  </si>
  <si>
    <t>Nakhcivan TPP</t>
  </si>
  <si>
    <t>Nakhcivan Autonomus Republic,  Nakhcivan State Energy Service</t>
  </si>
  <si>
    <t xml:space="preserve">including : </t>
  </si>
  <si>
    <t xml:space="preserve">Wind Power Plants - Total </t>
  </si>
  <si>
    <t>№</t>
  </si>
  <si>
    <t xml:space="preserve">Azerishiq OJSC </t>
  </si>
  <si>
    <t>under rehalibitation</t>
  </si>
  <si>
    <t>after rehabilitaion 2021</t>
  </si>
  <si>
    <t>Balakan-1 Small HPP</t>
  </si>
  <si>
    <t>Gusar-1 Small HPP</t>
  </si>
  <si>
    <t>İsmayıllı-2 KSES</t>
  </si>
  <si>
    <t>İsmayıllı-1Small HPP</t>
  </si>
  <si>
    <t>Goychay-1 Small HPP</t>
  </si>
  <si>
    <t>Shamkir-chay HPP</t>
  </si>
  <si>
    <t>Taxtakorpu HPP</t>
  </si>
  <si>
    <t>Fizuli HPP</t>
  </si>
  <si>
    <t>Yenikend HPP</t>
  </si>
  <si>
    <t xml:space="preserve">Shamkir  HPP </t>
  </si>
  <si>
    <t xml:space="preserve">Mingachevir HPP  </t>
  </si>
  <si>
    <t>Lerik PP</t>
  </si>
  <si>
    <t>Shahdaq PP</t>
  </si>
  <si>
    <t>Khachmaz PP</t>
  </si>
  <si>
    <t>Sheki PP</t>
  </si>
  <si>
    <t>Astara PP</t>
  </si>
  <si>
    <t>Sangachal PP</t>
  </si>
  <si>
    <t>Baku PP</t>
  </si>
  <si>
    <t>Baku CHP</t>
  </si>
  <si>
    <t>Shimal 2  CCPP</t>
  </si>
  <si>
    <t>Shimal 1 CCPP</t>
  </si>
  <si>
    <t>Sumgait CCPP</t>
  </si>
  <si>
    <t>Janub CCPP</t>
  </si>
  <si>
    <t>1981 -1990</t>
  </si>
  <si>
    <t>Azerbaycan TPP</t>
  </si>
  <si>
    <t xml:space="preserve">Total installed capacity </t>
  </si>
  <si>
    <t>1</t>
  </si>
  <si>
    <t>Azerenerji JSC</t>
  </si>
  <si>
    <r>
      <t>1990-</t>
    </r>
    <r>
      <rPr>
        <b/>
        <sz val="10"/>
        <rFont val="Arial"/>
        <family val="2"/>
      </rPr>
      <t>2002-2011-ci illər üzrə  texniki-iqtisadi göstəricilər</t>
    </r>
  </si>
  <si>
    <t>-</t>
  </si>
  <si>
    <t xml:space="preserve">Biogas electric   plants </t>
  </si>
  <si>
    <t>Solid domestic waste plant</t>
  </si>
  <si>
    <t>Solar plants</t>
  </si>
  <si>
    <t>Wind  plants</t>
  </si>
  <si>
    <t xml:space="preserve">Hydroelectric   plants </t>
  </si>
  <si>
    <t xml:space="preserve">Electric and  CHP plants working with fuel  - total  </t>
  </si>
  <si>
    <t xml:space="preserve"> including:</t>
  </si>
  <si>
    <t>Plant capacity for the end of the year</t>
  </si>
  <si>
    <t>5.3  Plant capacity, MW</t>
  </si>
  <si>
    <t xml:space="preserve">data provided from https://minenergy.gov.az/az/elektroenergetika/azerbaycan-energetika-sisteminde-ve-musteqil-fealiyyet-gosteren-elektrik-stansiyalarinin-siyahisi </t>
  </si>
  <si>
    <t>Data agregration messures</t>
  </si>
  <si>
    <t>TTP</t>
  </si>
  <si>
    <t>NW</t>
  </si>
  <si>
    <t>Baku</t>
  </si>
  <si>
    <t>Other PP</t>
  </si>
  <si>
    <t>N</t>
  </si>
  <si>
    <t>SE</t>
  </si>
  <si>
    <t>NE</t>
  </si>
  <si>
    <t>Midt</t>
  </si>
  <si>
    <t>Midt/north</t>
  </si>
  <si>
    <t>Other HPP</t>
  </si>
  <si>
    <t>SubRES?</t>
  </si>
  <si>
    <t>Year Agregrated</t>
  </si>
  <si>
    <t>STOCK~2010</t>
  </si>
  <si>
    <t>*Start</t>
  </si>
  <si>
    <t>SubRES</t>
  </si>
  <si>
    <t>TPP</t>
  </si>
  <si>
    <t>Solar PP</t>
  </si>
  <si>
    <t>Wind PP</t>
  </si>
  <si>
    <t>Bio PP</t>
  </si>
  <si>
    <t>Life time estimated</t>
  </si>
  <si>
    <t>STOCK~2080</t>
  </si>
  <si>
    <t>AZ2</t>
  </si>
  <si>
    <t>AZ3</t>
  </si>
  <si>
    <t>INVCOST</t>
  </si>
  <si>
    <t>* Source</t>
  </si>
  <si>
    <t>ONTIMES</t>
  </si>
  <si>
    <t>DEA technology catalogue</t>
  </si>
  <si>
    <t>START</t>
  </si>
  <si>
    <t>Share-I~FX~ELCC</t>
  </si>
  <si>
    <t>Share-I~FX~ELCSTM</t>
  </si>
  <si>
    <t>ILED</t>
  </si>
  <si>
    <t>ELCNGA,ELCSNG</t>
  </si>
  <si>
    <t>ELCAMB</t>
  </si>
  <si>
    <t>*Peak</t>
  </si>
  <si>
    <t>YEAR</t>
  </si>
  <si>
    <t>EMISSIONS~ELCNOX</t>
  </si>
  <si>
    <t>EMISSIONS~ELCCH4</t>
  </si>
  <si>
    <t>EMISSIONS~ELCN2O</t>
  </si>
  <si>
    <t>EMISSIONS~ELCSO2</t>
  </si>
  <si>
    <t>EMISSIONS~ELCPM</t>
  </si>
  <si>
    <t>*sheetNumber</t>
  </si>
  <si>
    <t>*sheetName</t>
  </si>
  <si>
    <t>*planttype</t>
  </si>
  <si>
    <t>*plantCategory</t>
  </si>
  <si>
    <t>*fuel_name</t>
  </si>
  <si>
    <t>*fuel_TIMES</t>
  </si>
  <si>
    <t>*dh_area</t>
  </si>
  <si>
    <t>*output</t>
  </si>
  <si>
    <t>*AFAforTrans</t>
  </si>
  <si>
    <t>*planttype_short</t>
  </si>
  <si>
    <t>*availability.pct</t>
  </si>
  <si>
    <t>*category</t>
  </si>
  <si>
    <t>*techNumber</t>
  </si>
  <si>
    <t>ETCDWCHELCN1</t>
  </si>
  <si>
    <t>10 Stirling - Turbine - Wood Chips</t>
  </si>
  <si>
    <t>2015</t>
  </si>
  <si>
    <t>10 Stirling</t>
  </si>
  <si>
    <t>Turbine</t>
  </si>
  <si>
    <t>ET</t>
  </si>
  <si>
    <t>None</t>
  </si>
  <si>
    <t>Electricity only</t>
  </si>
  <si>
    <t>CD</t>
  </si>
  <si>
    <t>Electricity Only</t>
  </si>
  <si>
    <t>2020</t>
  </si>
  <si>
    <t>2030</t>
  </si>
  <si>
    <t>2050</t>
  </si>
  <si>
    <t>ERWLWINELCN1</t>
  </si>
  <si>
    <t>20 Domestic turbines - Wind - Wind</t>
  </si>
  <si>
    <t>20 Domestic turbines</t>
  </si>
  <si>
    <t>ER</t>
  </si>
  <si>
    <t>WL</t>
  </si>
  <si>
    <t>ERWLWINELCN2</t>
  </si>
  <si>
    <t>20 Onshore turbines - Wind - Wind</t>
  </si>
  <si>
    <t>20 Onshore turbines</t>
  </si>
  <si>
    <t>2040</t>
  </si>
  <si>
    <t>ERWSWINELCN1</t>
  </si>
  <si>
    <t>21 Near shore turbines - Wind - Wind</t>
  </si>
  <si>
    <t>21 Near shore turbines</t>
  </si>
  <si>
    <t>WS</t>
  </si>
  <si>
    <t>ERWSWINELCN2</t>
  </si>
  <si>
    <t>21 Offshore turbines - Wind - Wind</t>
  </si>
  <si>
    <t>21 Offshore turbines</t>
  </si>
  <si>
    <t>ERPVSOLELCN1</t>
  </si>
  <si>
    <t>22 Photovoltaics  LARGE new - Solar - Solar</t>
  </si>
  <si>
    <t>22 Photovoltaics  LARGE new</t>
  </si>
  <si>
    <t>Solar</t>
  </si>
  <si>
    <t>ERPVSOLELCN2</t>
  </si>
  <si>
    <t>22 Photovoltaics Medium - Solar - Solar</t>
  </si>
  <si>
    <t>22 Photovoltaics Medium</t>
  </si>
  <si>
    <t>ERPVSOLELCN3</t>
  </si>
  <si>
    <t>22 Photovoltaics Small - Solar - Solar</t>
  </si>
  <si>
    <t>22 Photovoltaics Small</t>
  </si>
  <si>
    <t>ERWAWAVELCN1</t>
  </si>
  <si>
    <t>23 Wave Energy - Wave - Wave</t>
  </si>
  <si>
    <t>23 Wave Energy</t>
  </si>
  <si>
    <t>Wave</t>
  </si>
  <si>
    <t>WA</t>
  </si>
  <si>
    <t>ETCDDSLELCN1</t>
  </si>
  <si>
    <t>50 Diesel engine farm - Turbine - Diesel</t>
  </si>
  <si>
    <t>50 Diesel engine farm</t>
  </si>
  <si>
    <t>ETCDNGAELCN1</t>
  </si>
  <si>
    <t>51 Natural gas engine plant - Turbine - Natural gas</t>
  </si>
  <si>
    <t>51 Natural gas engine plant</t>
  </si>
  <si>
    <t>Natural gas</t>
  </si>
  <si>
    <t>ETCDDSLELCN2</t>
  </si>
  <si>
    <t>52 OCGT - Light fuel oil - Turbine - Diesel</t>
  </si>
  <si>
    <t>52 OCGT - Light fuel oil</t>
  </si>
  <si>
    <t>ETCDNGAELCN2</t>
  </si>
  <si>
    <t>52 OCGT - Natural gas - Turbine - Natural gas</t>
  </si>
  <si>
    <t>52 OCGT - Natural gas</t>
  </si>
  <si>
    <t>ECEXCOADHCN1</t>
  </si>
  <si>
    <t>01 Coal CHP - CHP - Coal</t>
  </si>
  <si>
    <t>01 Coal CHP</t>
  </si>
  <si>
    <t>EC</t>
  </si>
  <si>
    <t>Central</t>
  </si>
  <si>
    <t>Electricity and heat</t>
  </si>
  <si>
    <t>EX</t>
  </si>
  <si>
    <t>Central heat</t>
  </si>
  <si>
    <t>ECBPNGADHCN1</t>
  </si>
  <si>
    <t>04 Gas turb. simple cycle Micro - CHP - Natural gas</t>
  </si>
  <si>
    <t>04 Gas turb. simple cycle Micro</t>
  </si>
  <si>
    <t>Decentral</t>
  </si>
  <si>
    <t>BP</t>
  </si>
  <si>
    <t>ECBPNGADHCN2</t>
  </si>
  <si>
    <t>04 Gas turb. simple cycle Sm-Me - CHP - Natural gas</t>
  </si>
  <si>
    <t>04 Gas turb. simple cycle Sm-Me</t>
  </si>
  <si>
    <t>ECBPNGADHCN3</t>
  </si>
  <si>
    <t>04 Gas turb. simple cycle, L - CHP - Natural gas</t>
  </si>
  <si>
    <t>04 Gas turb. simple cycle, L</t>
  </si>
  <si>
    <t>ECBPNGADHCN4</t>
  </si>
  <si>
    <t>05 Gas turb. CC, Back-pressure - CHP - Natural gas</t>
  </si>
  <si>
    <t>05 Gas turb. CC, Back-pressure</t>
  </si>
  <si>
    <t>ECEXNGADHCN1</t>
  </si>
  <si>
    <t>05 Gas turb. CC, steam extract. - CHP - Natural gas</t>
  </si>
  <si>
    <t>05 Gas turb. CC, steam extract.</t>
  </si>
  <si>
    <t>ECBPBGADHCN1</t>
  </si>
  <si>
    <t>06 Gas engines, biogas - CHP - Biogas</t>
  </si>
  <si>
    <t>06 Gas engines, biogas</t>
  </si>
  <si>
    <t>ECBPNGADHCN5</t>
  </si>
  <si>
    <t>06 Gas engines, natural gas - CHP - Natural gas</t>
  </si>
  <si>
    <t>06 Gas engines, natural gas</t>
  </si>
  <si>
    <t>ECEXWSTDHCN1</t>
  </si>
  <si>
    <t>08 WtE CHP, Large - CHP - Waste</t>
  </si>
  <si>
    <t>08 WtE CHP, Large</t>
  </si>
  <si>
    <t>ECEXWSTDHCN2</t>
  </si>
  <si>
    <t>08 WtE CHP, Medium - CHP - Waste</t>
  </si>
  <si>
    <t>08 WtE CHP, Medium</t>
  </si>
  <si>
    <t>ECEXWSTDHCN3</t>
  </si>
  <si>
    <t>08 WtE CHP, Small - CHP - Waste</t>
  </si>
  <si>
    <t>08 WtE CHP, Small</t>
  </si>
  <si>
    <t>EHBHWSTDHCN1</t>
  </si>
  <si>
    <t>08 WtE HOP - Boiler - Waste</t>
  </si>
  <si>
    <t>08 WtE HOP</t>
  </si>
  <si>
    <t>EH</t>
  </si>
  <si>
    <t>Heat only</t>
  </si>
  <si>
    <t>BH</t>
  </si>
  <si>
    <t>EHBHSTRDHCN1</t>
  </si>
  <si>
    <t>09 Straw HOP - Boiler - Straw</t>
  </si>
  <si>
    <t>09 Straw HOP</t>
  </si>
  <si>
    <t>Straw</t>
  </si>
  <si>
    <t>ECEXSTRDHCN1</t>
  </si>
  <si>
    <t>09 Straw, Large - CHP - Straw</t>
  </si>
  <si>
    <t>09 Straw, Large</t>
  </si>
  <si>
    <t>ECEXSTRDHCN2</t>
  </si>
  <si>
    <t>09 Straw, Medium - CHP - Straw</t>
  </si>
  <si>
    <t>09 Straw, Medium</t>
  </si>
  <si>
    <t>ECEXSTRDHCN3</t>
  </si>
  <si>
    <t>09 Straw, Small - CHP - Straw</t>
  </si>
  <si>
    <t>09 Straw, Small</t>
  </si>
  <si>
    <t>EHBHWCHDHCN1</t>
  </si>
  <si>
    <t>09 Wood Chips HOP - Boiler - Wood Chips</t>
  </si>
  <si>
    <t>09 Wood Chips HOP</t>
  </si>
  <si>
    <t>ECEXWCHDHCN1</t>
  </si>
  <si>
    <t>09 Wood Chips, Large - CHP - Wood Chips</t>
  </si>
  <si>
    <t>09 Wood Chips, Large</t>
  </si>
  <si>
    <t>ECEXWCHDHCN2</t>
  </si>
  <si>
    <t>09 Wood Chips, Medium - CHP - Wood Chips</t>
  </si>
  <si>
    <t>09 Wood Chips, Medium</t>
  </si>
  <si>
    <t>ECEXWCHDHCN3</t>
  </si>
  <si>
    <t>09 Wood Chips, Small - CHP - Wood Chips</t>
  </si>
  <si>
    <t>09 Wood Chips, Small</t>
  </si>
  <si>
    <t>EHBHWPEDHCN1</t>
  </si>
  <si>
    <t>09 Wood Pellets HOP - Boiler - Wood Pellets</t>
  </si>
  <si>
    <t>09 Wood Pellets HOP</t>
  </si>
  <si>
    <t>ECEXWPEDHCN1</t>
  </si>
  <si>
    <t>09 Wood Pellets, Large - CHP - Wood Pellets</t>
  </si>
  <si>
    <t>09 Wood Pellets, Large</t>
  </si>
  <si>
    <t>ECEXWPEDHCN2</t>
  </si>
  <si>
    <t>09 Wood Pellets, Medium - CHP - Wood Pellets</t>
  </si>
  <si>
    <t>09 Wood Pellets, Medium</t>
  </si>
  <si>
    <t>ECEXWPEDHCN3</t>
  </si>
  <si>
    <t>09 Wood Pellets, Small - CHP - Wood Pellets</t>
  </si>
  <si>
    <t>09 Wood Pellets, Small</t>
  </si>
  <si>
    <t>ECBPNGADHCN6</t>
  </si>
  <si>
    <t>11 SOFC-CHP - CHP - Natural gas</t>
  </si>
  <si>
    <t>11 SOFC-CHP</t>
  </si>
  <si>
    <t>ECBPH2GDHCN1</t>
  </si>
  <si>
    <t>12 LT-PEMFC CHP - CHP - Hydrogen</t>
  </si>
  <si>
    <t>ELCH2G</t>
  </si>
  <si>
    <t>12 LT-PEMFC CHP</t>
  </si>
  <si>
    <t>Hydrogen</t>
  </si>
  <si>
    <t>H2G</t>
  </si>
  <si>
    <t>EHEHAMBDHCN1</t>
  </si>
  <si>
    <t>40 Absorption heat pump, DH - Heat pump - Excess heat</t>
  </si>
  <si>
    <t>40 Absorption heat pump, DH</t>
  </si>
  <si>
    <t>Heat pump</t>
  </si>
  <si>
    <t>Excess heat</t>
  </si>
  <si>
    <t>AMB</t>
  </si>
  <si>
    <t>EHEHAMBDHCN2</t>
  </si>
  <si>
    <t>40 Comp. heat pump, DH - Heat pump - Electricity</t>
  </si>
  <si>
    <t>40 Comp. heat pump, DH</t>
  </si>
  <si>
    <t>EHBHELCDHCN1</t>
  </si>
  <si>
    <t>41 Electric Boilers - Boiler - Electricity</t>
  </si>
  <si>
    <t>41 Electric Boilers</t>
  </si>
  <si>
    <t>EHBHNGADHCN1</t>
  </si>
  <si>
    <t>44 Natural Gas DH Only - Boiler - Natural gas</t>
  </si>
  <si>
    <t>44 Natural Gas DH Only</t>
  </si>
  <si>
    <t>EHEHGEODHCN1</t>
  </si>
  <si>
    <t>45 Geothermal - Abs.HP 50 dgs - Geothermal - Excess heat</t>
  </si>
  <si>
    <t>45 Geothermal - Abs.HP 50 dgs</t>
  </si>
  <si>
    <t>EHEHGEODHCN2</t>
  </si>
  <si>
    <t>45 Geothermal - Abs.HP 70 dgs - Geothermal - Excess heat</t>
  </si>
  <si>
    <t>45 Geothermal - Abs.HP 70 dgs</t>
  </si>
  <si>
    <t>EHEHGEODHCN3</t>
  </si>
  <si>
    <t>45 Geothermal - Electric HP - Geothermal - Electricity</t>
  </si>
  <si>
    <t>45 Geothermal - Electric HP</t>
  </si>
  <si>
    <t>EHSHSOLDHCN1</t>
  </si>
  <si>
    <t>46 Solar District Heating - Solar - Solar</t>
  </si>
  <si>
    <t>46 Solar District Heating</t>
  </si>
  <si>
    <t>SH</t>
  </si>
  <si>
    <t>ECBPNGADHDN1</t>
  </si>
  <si>
    <t>Decentral heat</t>
  </si>
  <si>
    <t>ECBPNGADHDN2</t>
  </si>
  <si>
    <t>ECBPNGADHDN3</t>
  </si>
  <si>
    <t>ECEXNGADHDN1</t>
  </si>
  <si>
    <t>ECBPBGADHDN1</t>
  </si>
  <si>
    <t>ECBPNGADHDN4</t>
  </si>
  <si>
    <t>ECEXWSTDHDN1</t>
  </si>
  <si>
    <t>ECEXWSTDHDN2</t>
  </si>
  <si>
    <t>EHBHWSTDHDN1</t>
  </si>
  <si>
    <t>EHBHSTRDHDN1</t>
  </si>
  <si>
    <t>ECEXSTRDHDN1</t>
  </si>
  <si>
    <t>ECEXSTRDHDN2</t>
  </si>
  <si>
    <t>EHBHWCHDHDN1</t>
  </si>
  <si>
    <t>ECEXWCHDHDN1</t>
  </si>
  <si>
    <t>ECEXWCHDHDN2</t>
  </si>
  <si>
    <t>EHBHWPEDHDN1</t>
  </si>
  <si>
    <t>ECEXWPEDHDN1</t>
  </si>
  <si>
    <t>ECEXWPEDHDN2</t>
  </si>
  <si>
    <t>ECBPNGADHDN5</t>
  </si>
  <si>
    <t>ECBPH2GDHDN1</t>
  </si>
  <si>
    <t>EHEHAMBDHDN1</t>
  </si>
  <si>
    <t>EHEHAMBDHDN2</t>
  </si>
  <si>
    <t>EHBHELCDHDN1</t>
  </si>
  <si>
    <t>EHBHNGADHDN1</t>
  </si>
  <si>
    <t>EHEHGEODHDN1</t>
  </si>
  <si>
    <t>EHEHGEODHDN2</t>
  </si>
  <si>
    <t>EHEHGEODHDN3</t>
  </si>
  <si>
    <t>EHSHSOLDHDN1</t>
  </si>
  <si>
    <t>MEUR/MW</t>
  </si>
  <si>
    <t>MEUR/PJ</t>
  </si>
  <si>
    <t>MEUR15</t>
  </si>
  <si>
    <t>ELCNOX</t>
  </si>
  <si>
    <t>ELCCH4</t>
  </si>
  <si>
    <t>ELCN2O</t>
  </si>
  <si>
    <t>ELCSO2</t>
  </si>
  <si>
    <t>ELCPM</t>
  </si>
  <si>
    <t>NOX Power sector</t>
  </si>
  <si>
    <t>CH4 Power sector</t>
  </si>
  <si>
    <t>N2O Power sector</t>
  </si>
  <si>
    <t>SO2 Power sector</t>
  </si>
  <si>
    <t>PM Power sector</t>
  </si>
  <si>
    <t>Kg</t>
  </si>
  <si>
    <t>COST</t>
  </si>
  <si>
    <t>Baku TPP</t>
  </si>
  <si>
    <t>Other TPP</t>
  </si>
  <si>
    <t>Wind WPP</t>
  </si>
  <si>
    <t>Solar SPP</t>
  </si>
  <si>
    <t>BP Azerbaijan IPP</t>
  </si>
  <si>
    <t>SOCAR IPP</t>
  </si>
  <si>
    <t>Azersun Holding (Sugar Production Plant) IPP</t>
  </si>
  <si>
    <t>Biogas TPP</t>
  </si>
  <si>
    <t>Mingachevir HPP</t>
  </si>
  <si>
    <t>Shamkir  HPP</t>
  </si>
  <si>
    <t>Varvara HPP</t>
  </si>
  <si>
    <t>Masally Small HPP</t>
  </si>
  <si>
    <t>Gulabird Small HPP</t>
  </si>
  <si>
    <t>Sugovushan  Small HPP</t>
  </si>
  <si>
    <t>Khudaferin HPP</t>
  </si>
  <si>
    <t>Giz-Galasi HPP</t>
  </si>
  <si>
    <t>Yashma Baglary Wind  Power Plant</t>
  </si>
  <si>
    <t>Yeni Yashma Wind Power Park</t>
  </si>
  <si>
    <t>Shurabad Wind Power Park</t>
  </si>
  <si>
    <t>Total installed capaity</t>
  </si>
  <si>
    <t>including</t>
  </si>
  <si>
    <t>Thermal Power Plants</t>
  </si>
  <si>
    <t>Nakhcivan PP</t>
  </si>
  <si>
    <t>Arpaçay-2 Small HPP</t>
  </si>
  <si>
    <t>Kengerli  Solar PV Power Plant</t>
  </si>
  <si>
    <t>Babek Solar PV Power Plant</t>
  </si>
  <si>
    <t>BP Azerbaijan</t>
  </si>
  <si>
    <t>Hokmeli Wind Power Plant</t>
  </si>
  <si>
    <t>Ecology Park (SOCAR)</t>
  </si>
  <si>
    <t>Solar Power Plant - Masdar</t>
  </si>
  <si>
    <t>Balakhani Power Plant (Minicipal waste incineration)</t>
  </si>
  <si>
    <t>Roof-top Solar PV installations</t>
  </si>
  <si>
    <t>Gobustan Biogas PP</t>
  </si>
  <si>
    <t>NGAT</t>
  </si>
  <si>
    <t>Hydrogen ELC</t>
  </si>
  <si>
    <t>FT-ELCH2G</t>
  </si>
  <si>
    <t>Fuel Technology Hydrogen ELC</t>
  </si>
  <si>
    <t>terajoule</t>
  </si>
  <si>
    <t xml:space="preserve">Total all products </t>
  </si>
  <si>
    <t>Crude oil  (including gas condensate)</t>
  </si>
  <si>
    <t>Refinery feedstocks</t>
  </si>
  <si>
    <t>Petroleum products, total</t>
  </si>
  <si>
    <t xml:space="preserve">Natural gas </t>
  </si>
  <si>
    <t xml:space="preserve">Renewables and wastes
</t>
  </si>
  <si>
    <t>Heat</t>
  </si>
  <si>
    <t xml:space="preserve"> Electricity</t>
  </si>
  <si>
    <t>Other fuel products</t>
  </si>
  <si>
    <t xml:space="preserve"> Refinery gas</t>
  </si>
  <si>
    <t>Liquefied gases</t>
  </si>
  <si>
    <t>Motor gasoline</t>
  </si>
  <si>
    <t>Kerosene - type jet fuel</t>
  </si>
  <si>
    <t>Other kero-   sene</t>
  </si>
  <si>
    <t>Diesel fuel</t>
  </si>
  <si>
    <t xml:space="preserve">Fuel oil </t>
  </si>
  <si>
    <t xml:space="preserve">Bitumen </t>
  </si>
  <si>
    <t>Other petroleum products</t>
  </si>
  <si>
    <t>Primary production</t>
  </si>
  <si>
    <t>Import</t>
  </si>
  <si>
    <t>Export</t>
  </si>
  <si>
    <t xml:space="preserve">International bunkers </t>
  </si>
  <si>
    <t>International marine bunkers</t>
  </si>
  <si>
    <t>International aviation bunkers</t>
  </si>
  <si>
    <t xml:space="preserve"> Stock changes</t>
  </si>
  <si>
    <t>Total energy supply</t>
  </si>
  <si>
    <t>Statistical difference</t>
  </si>
  <si>
    <t>Transfers</t>
  </si>
  <si>
    <t>Transformation processes</t>
  </si>
  <si>
    <t>Electricity plants</t>
  </si>
  <si>
    <t>CHP plants</t>
  </si>
  <si>
    <t>Heat plants</t>
  </si>
  <si>
    <t>Gas works</t>
  </si>
  <si>
    <t>Blast furnaces</t>
  </si>
  <si>
    <t>Oil refineries</t>
  </si>
  <si>
    <t>Petrochemical plants</t>
  </si>
  <si>
    <t>Other transformation processes</t>
  </si>
  <si>
    <t xml:space="preserve">Energy industries own use </t>
  </si>
  <si>
    <t>Losses</t>
  </si>
  <si>
    <t>Final consumption</t>
  </si>
  <si>
    <t xml:space="preserve">Final energy consumption </t>
  </si>
  <si>
    <t>Mt CO2 from natural gas to power&amp;heat</t>
  </si>
  <si>
    <t xml:space="preserve">Industry and construction </t>
  </si>
  <si>
    <t>Mt CO2 from natural gas to end use</t>
  </si>
  <si>
    <t>Iron and steel</t>
  </si>
  <si>
    <t>Mt CO2 from oil products</t>
  </si>
  <si>
    <t>Chemical and petrochemical</t>
  </si>
  <si>
    <t>Non-ferrous metal</t>
  </si>
  <si>
    <t>Mt CO2e</t>
  </si>
  <si>
    <t>Non-metallic minerals</t>
  </si>
  <si>
    <t>Upstream natural gas consumption, ELC</t>
  </si>
  <si>
    <t>Transport equipment</t>
  </si>
  <si>
    <t>Upstream Oil consumption in refineries, SUP</t>
  </si>
  <si>
    <t>Machinery</t>
  </si>
  <si>
    <t>End use natural gas</t>
  </si>
  <si>
    <t>Mining and quarrying</t>
  </si>
  <si>
    <t>End use Oil products</t>
  </si>
  <si>
    <t>Food and tobacco</t>
  </si>
  <si>
    <t>Total from energy sector</t>
  </si>
  <si>
    <t>Paper, pulp and printing</t>
  </si>
  <si>
    <t>methane leakage</t>
  </si>
  <si>
    <t>Wood and wood products</t>
  </si>
  <si>
    <t>Total from energy sector incl leakage</t>
  </si>
  <si>
    <t>Textile and leather</t>
  </si>
  <si>
    <t>Construction</t>
  </si>
  <si>
    <t>Non-specified</t>
  </si>
  <si>
    <t>https://ourworldindata.org/co2/country/azerbaijan</t>
  </si>
  <si>
    <t>Transport</t>
  </si>
  <si>
    <t xml:space="preserve">Road </t>
  </si>
  <si>
    <t>AGR</t>
  </si>
  <si>
    <t>Rail</t>
  </si>
  <si>
    <t>Buildings</t>
  </si>
  <si>
    <t>Domestic aviation</t>
  </si>
  <si>
    <t>Domestic navigation</t>
  </si>
  <si>
    <t>Pipeline transport</t>
  </si>
  <si>
    <t>Manufacturing</t>
  </si>
  <si>
    <t>Transport not elsewhere specified</t>
  </si>
  <si>
    <t>Industry</t>
  </si>
  <si>
    <t>Other fields of economy</t>
  </si>
  <si>
    <t>Other fuel combustion</t>
  </si>
  <si>
    <t xml:space="preserve">Agriculture, forestry and fishing </t>
  </si>
  <si>
    <t>Avi/Shipping</t>
  </si>
  <si>
    <t>Commerce and public services</t>
  </si>
  <si>
    <t>LULUCF</t>
  </si>
  <si>
    <t>Households</t>
  </si>
  <si>
    <t>Total GHG emissions</t>
  </si>
  <si>
    <t>Not elsewhere-specified</t>
  </si>
  <si>
    <t>CO2 emissions´ish</t>
  </si>
  <si>
    <t>Non-energy use</t>
  </si>
  <si>
    <t>AFA~LO</t>
  </si>
  <si>
    <t>Total Installed capacity for power plants</t>
  </si>
  <si>
    <t>Technologies operating from 2010 to 2020.</t>
  </si>
  <si>
    <t>Natural gas heating plant</t>
  </si>
  <si>
    <t>HPL</t>
  </si>
  <si>
    <t>5.4  Production of electricity, million kWt hour</t>
  </si>
  <si>
    <t xml:space="preserve">Production of electricity </t>
  </si>
  <si>
    <t xml:space="preserve">electricity and  CHP plants working with fuel  </t>
  </si>
  <si>
    <t xml:space="preserve">hydroelectric power plants  </t>
  </si>
  <si>
    <t xml:space="preserve">avtoproducers (working with  fuel)  </t>
  </si>
  <si>
    <t>by generator</t>
  </si>
  <si>
    <t xml:space="preserve">wind power  station </t>
  </si>
  <si>
    <t>solar (photovoltaic)  station</t>
  </si>
  <si>
    <t xml:space="preserve">electricity generated from wastes incineration </t>
  </si>
  <si>
    <t>electricity generated from biomass  incineration</t>
  </si>
  <si>
    <t>...</t>
  </si>
  <si>
    <t>2.10  Energy balance by products in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</si>
</sst>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 #,##0_-;_-* &quot;-&quot;_-;_-@_-"/>
    <numFmt numFmtId="43" formatCode="_-* #,##0.00_-;\-* #,##0.00_-;_-* &quot;-&quot;??_-;_-@_-"/>
    <numFmt numFmtId="164" formatCode="#,##0.0;\-#,##0.0;0\ \ \ "/>
    <numFmt numFmtId="165" formatCode="0.000"/>
    <numFmt numFmtId="166" formatCode="_-&quot;€&quot;\ * #,##0.00_-;\-&quot;€&quot;\ * #,##0.00_-;_-&quot;€&quot;\ * &quot;-&quot;??_-;_-@_-"/>
    <numFmt numFmtId="167" formatCode="#,##0;\-\ #,##0;_-\ &quot;- &quot;"/>
    <numFmt numFmtId="168" formatCode="0.0;\-0.0;0"/>
    <numFmt numFmtId="169" formatCode="\Te\x\t"/>
    <numFmt numFmtId="170" formatCode="0.0"/>
    <numFmt numFmtId="171" formatCode="0.0000"/>
    <numFmt numFmtId="172" formatCode="#,##0.0"/>
    <numFmt numFmtId="173" formatCode="_ * #,##0.00_ ;_ * \-#,##0.00_ ;_ * &quot;-&quot;??_ ;_ @_ "/>
    <numFmt numFmtId="174" formatCode="#,##0.000"/>
  </numFmts>
  <fonts count="69" x14ac:knownFonts="1">
    <font>
      <sz val="10"/>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font>
    <font>
      <sz val="10"/>
      <color rgb="FF9C0006"/>
      <name val="Calibri"/>
      <family val="2"/>
    </font>
    <font>
      <sz val="10"/>
      <color indexed="9"/>
      <name val="Calibri"/>
      <family val="2"/>
    </font>
    <font>
      <sz val="10"/>
      <name val="Calibri"/>
      <family val="2"/>
    </font>
    <font>
      <sz val="11"/>
      <color indexed="8"/>
      <name val="Calibri"/>
      <family val="2"/>
    </font>
    <font>
      <sz val="11"/>
      <color indexed="9"/>
      <name val="Calibri"/>
      <family val="2"/>
    </font>
    <font>
      <b/>
      <sz val="11"/>
      <color indexed="52"/>
      <name val="Calibri"/>
      <family val="2"/>
    </font>
    <font>
      <b/>
      <sz val="11"/>
      <color rgb="FFFA7D00"/>
      <name val="Calibri"/>
      <family val="2"/>
      <scheme val="minor"/>
    </font>
    <font>
      <sz val="11"/>
      <color indexed="52"/>
      <name val="Calibri"/>
      <family val="2"/>
    </font>
    <font>
      <b/>
      <sz val="11"/>
      <color indexed="9"/>
      <name val="Calibri"/>
      <family val="2"/>
    </font>
    <font>
      <sz val="10"/>
      <name val="Helv"/>
    </font>
    <font>
      <sz val="10"/>
      <name val="Arial"/>
      <family val="2"/>
    </font>
    <font>
      <sz val="11"/>
      <color indexed="62"/>
      <name val="Calibri"/>
      <family val="2"/>
    </font>
    <font>
      <sz val="10"/>
      <name val="MS Sans Serif"/>
      <family val="2"/>
    </font>
    <font>
      <sz val="11"/>
      <color indexed="60"/>
      <name val="Calibri"/>
      <family val="2"/>
    </font>
    <font>
      <sz val="11"/>
      <color theme="1"/>
      <name val="Calibri"/>
      <family val="2"/>
      <scheme val="minor"/>
    </font>
    <font>
      <sz val="11"/>
      <color theme="1"/>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b/>
      <sz val="10"/>
      <name val="Calibri"/>
      <family val="2"/>
    </font>
    <font>
      <b/>
      <sz val="10"/>
      <color indexed="12"/>
      <name val="Calibri"/>
      <family val="2"/>
    </font>
    <font>
      <sz val="10"/>
      <color theme="3"/>
      <name val="Calibri"/>
      <family val="2"/>
    </font>
    <font>
      <b/>
      <sz val="10"/>
      <color theme="9" tint="-0.249977111117893"/>
      <name val="Calibri"/>
      <family val="2"/>
    </font>
    <font>
      <sz val="9"/>
      <name val="Calibri"/>
      <family val="2"/>
    </font>
    <font>
      <b/>
      <sz val="10"/>
      <color indexed="12"/>
      <name val="Arial"/>
      <family val="2"/>
    </font>
    <font>
      <sz val="10"/>
      <name val="Calibri"/>
      <family val="2"/>
      <scheme val="minor"/>
    </font>
    <font>
      <sz val="10"/>
      <color rgb="FFFF0000"/>
      <name val="Calibri"/>
      <family val="2"/>
    </font>
    <font>
      <sz val="15"/>
      <color rgb="FFFF0000"/>
      <name val="Calibri"/>
      <family val="2"/>
    </font>
    <font>
      <b/>
      <sz val="10"/>
      <color theme="1"/>
      <name val="Calibri"/>
      <family val="2"/>
    </font>
    <font>
      <sz val="11"/>
      <color rgb="FF000000"/>
      <name val="Calibri"/>
      <family val="2"/>
    </font>
    <font>
      <b/>
      <sz val="10"/>
      <name val="Arial"/>
      <family val="2"/>
    </font>
    <font>
      <b/>
      <sz val="15"/>
      <name val="Calibri"/>
      <family val="2"/>
    </font>
    <font>
      <b/>
      <sz val="10"/>
      <name val="Arial"/>
      <family val="2"/>
      <charset val="204"/>
    </font>
    <font>
      <sz val="10"/>
      <name val="Arial"/>
      <family val="2"/>
      <charset val="204"/>
    </font>
    <font>
      <b/>
      <sz val="12"/>
      <color rgb="FF0070C0"/>
      <name val="Arial"/>
      <family val="2"/>
    </font>
    <font>
      <sz val="10"/>
      <color indexed="10"/>
      <name val="Arial"/>
      <family val="2"/>
    </font>
    <font>
      <b/>
      <sz val="10"/>
      <color indexed="10"/>
      <name val="Arial"/>
      <family val="2"/>
      <charset val="204"/>
    </font>
    <font>
      <sz val="10"/>
      <color theme="1"/>
      <name val="Arial"/>
      <family val="2"/>
      <charset val="204"/>
    </font>
    <font>
      <sz val="10"/>
      <color theme="1"/>
      <name val="Arial"/>
      <family val="2"/>
    </font>
    <font>
      <b/>
      <sz val="10"/>
      <color theme="1"/>
      <name val="Arial"/>
      <family val="2"/>
      <charset val="204"/>
    </font>
    <font>
      <b/>
      <sz val="10"/>
      <color theme="1"/>
      <name val="Arial"/>
      <family val="2"/>
    </font>
    <font>
      <b/>
      <sz val="10"/>
      <color indexed="9"/>
      <name val="Arial"/>
      <family val="2"/>
    </font>
    <font>
      <sz val="11"/>
      <color theme="1"/>
      <name val="Calibri"/>
      <family val="2"/>
      <charset val="204"/>
      <scheme val="minor"/>
    </font>
    <font>
      <sz val="11"/>
      <color theme="1"/>
      <name val="Times New Roman"/>
      <family val="1"/>
      <charset val="204"/>
    </font>
    <font>
      <sz val="11"/>
      <name val="Times New Roman"/>
      <family val="1"/>
      <charset val="204"/>
    </font>
    <font>
      <b/>
      <sz val="11"/>
      <name val="Times New Roman"/>
      <family val="1"/>
      <charset val="204"/>
    </font>
    <font>
      <sz val="11"/>
      <color rgb="FF9C0006"/>
      <name val="Calibri"/>
      <family val="2"/>
      <scheme val="minor"/>
    </font>
    <font>
      <sz val="11"/>
      <color rgb="FF000000"/>
      <name val="Calibri"/>
      <family val="2"/>
      <scheme val="minor"/>
    </font>
    <font>
      <sz val="11"/>
      <color theme="1"/>
      <name val="Calibri"/>
      <family val="2"/>
      <charset val="186"/>
      <scheme val="minor"/>
    </font>
    <font>
      <sz val="11"/>
      <name val="Times New Roman"/>
      <family val="1"/>
    </font>
    <font>
      <b/>
      <sz val="11"/>
      <name val="Times New Roman"/>
      <family val="1"/>
    </font>
    <font>
      <sz val="11"/>
      <color indexed="8"/>
      <name val="Times New Roman"/>
      <family val="1"/>
    </font>
    <font>
      <b/>
      <sz val="11"/>
      <color indexed="8"/>
      <name val="Times New Roman"/>
      <family val="1"/>
    </font>
    <font>
      <b/>
      <sz val="9"/>
      <color indexed="81"/>
      <name val="Tahoma"/>
      <family val="2"/>
    </font>
    <font>
      <sz val="9"/>
      <color indexed="81"/>
      <name val="Tahoma"/>
      <family val="2"/>
    </font>
    <font>
      <b/>
      <sz val="11"/>
      <color theme="1"/>
      <name val="Times New Roman"/>
      <family val="1"/>
      <charset val="204"/>
    </font>
    <font>
      <b/>
      <sz val="11"/>
      <color indexed="8"/>
      <name val="Times New Roman"/>
      <family val="1"/>
      <charset val="204"/>
    </font>
  </fonts>
  <fills count="48">
    <fill>
      <patternFill patternType="none"/>
    </fill>
    <fill>
      <patternFill patternType="gray125"/>
    </fill>
    <fill>
      <patternFill patternType="solid">
        <fgColor rgb="FFFFC7CE"/>
      </patternFill>
    </fill>
    <fill>
      <patternFill patternType="solid">
        <fgColor rgb="FFF2F2F2"/>
      </patternFill>
    </fill>
    <fill>
      <patternFill patternType="solid">
        <fgColor indexed="12"/>
        <bgColor indexed="64"/>
      </patternFill>
    </fill>
    <fill>
      <patternFill patternType="solid">
        <fgColor rgb="FFA7A7FF"/>
        <bgColor indexed="64"/>
      </patternFill>
    </fill>
    <fill>
      <patternFill patternType="solid">
        <fgColor indexed="29"/>
        <bgColor indexed="64"/>
      </patternFill>
    </fill>
    <fill>
      <patternFill patternType="solid">
        <fgColor indexed="43"/>
        <bgColor indexed="64"/>
      </patternFill>
    </fill>
    <fill>
      <patternFill patternType="solid">
        <fgColor theme="9" tint="0.59999389629810485"/>
        <bgColor indexed="64"/>
      </patternFill>
    </fill>
    <fill>
      <patternFill patternType="solid">
        <fgColor indexed="3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6" tint="0.79998168889431442"/>
        <bgColor indexed="64"/>
      </patternFill>
    </fill>
    <fill>
      <patternFill patternType="solid">
        <fgColor theme="7"/>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0"/>
        <bgColor indexed="64"/>
      </patternFill>
    </fill>
    <fill>
      <patternFill patternType="solid">
        <fgColor indexed="9"/>
        <bgColor indexed="64"/>
      </patternFill>
    </fill>
    <fill>
      <patternFill patternType="solid">
        <fgColor rgb="FFFFC000"/>
        <bgColor indexed="64"/>
      </patternFill>
    </fill>
  </fills>
  <borders count="46">
    <border>
      <left/>
      <right/>
      <top/>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thin">
        <color indexed="64"/>
      </top>
      <bottom style="thin">
        <color indexed="64"/>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s>
  <cellStyleXfs count="466">
    <xf numFmtId="0" fontId="0" fillId="0" borderId="0"/>
    <xf numFmtId="0" fontId="5" fillId="2"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9" fillId="22"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5" fillId="2" borderId="0" applyNumberFormat="0" applyBorder="0" applyAlignment="0" applyProtection="0"/>
    <xf numFmtId="0" fontId="10" fillId="26" borderId="8" applyNumberFormat="0" applyAlignment="0" applyProtection="0"/>
    <xf numFmtId="0" fontId="11" fillId="3" borderId="1" applyNumberFormat="0" applyAlignment="0" applyProtection="0"/>
    <xf numFmtId="0" fontId="12" fillId="0" borderId="9" applyNumberFormat="0" applyFill="0" applyAlignment="0" applyProtection="0"/>
    <xf numFmtId="0" fontId="13" fillId="27" borderId="10" applyNumberFormat="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31" borderId="0" applyNumberFormat="0" applyBorder="0" applyAlignment="0" applyProtection="0"/>
    <xf numFmtId="0" fontId="14" fillId="0" borderId="0"/>
    <xf numFmtId="0"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0" fontId="14" fillId="0" borderId="0"/>
    <xf numFmtId="0" fontId="16" fillId="17" borderId="8" applyNumberFormat="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18" fillId="32" borderId="0" applyNumberFormat="0" applyBorder="0" applyAlignment="0" applyProtection="0"/>
    <xf numFmtId="0" fontId="14" fillId="0" borderId="0"/>
    <xf numFmtId="0" fontId="19" fillId="0" borderId="0"/>
    <xf numFmtId="0" fontId="19" fillId="0" borderId="0"/>
    <xf numFmtId="0" fontId="19" fillId="0" borderId="0"/>
    <xf numFmtId="0" fontId="20" fillId="0" borderId="0"/>
    <xf numFmtId="0" fontId="15" fillId="0" borderId="0"/>
    <xf numFmtId="0" fontId="4" fillId="0" borderId="0"/>
    <xf numFmtId="0" fontId="4" fillId="0" borderId="0"/>
    <xf numFmtId="0" fontId="4" fillId="0" borderId="0"/>
    <xf numFmtId="0" fontId="4" fillId="0" borderId="0"/>
    <xf numFmtId="0" fontId="19" fillId="0" borderId="0"/>
    <xf numFmtId="0" fontId="4" fillId="0" borderId="0"/>
    <xf numFmtId="0" fontId="4" fillId="0" borderId="0"/>
    <xf numFmtId="0" fontId="15" fillId="0" borderId="0"/>
    <xf numFmtId="0" fontId="4"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8" fillId="0" borderId="0"/>
    <xf numFmtId="0" fontId="8"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33" borderId="11" applyNumberFormat="0" applyFont="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0" fontId="21" fillId="26" borderId="12" applyNumberFormat="0" applyAlignment="0" applyProtection="0"/>
    <xf numFmtId="0" fontId="14"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13" applyNumberFormat="0" applyFill="0" applyAlignment="0" applyProtection="0"/>
    <xf numFmtId="0" fontId="26" fillId="0" borderId="14" applyNumberFormat="0" applyFill="0" applyAlignment="0" applyProtection="0"/>
    <xf numFmtId="0" fontId="27" fillId="0" borderId="15" applyNumberFormat="0" applyFill="0" applyAlignment="0" applyProtection="0"/>
    <xf numFmtId="0" fontId="27" fillId="0" borderId="0" applyNumberFormat="0" applyFill="0" applyBorder="0" applyAlignment="0" applyProtection="0"/>
    <xf numFmtId="0" fontId="28" fillId="0" borderId="16" applyNumberFormat="0" applyFill="0" applyAlignment="0" applyProtection="0"/>
    <xf numFmtId="0" fontId="29" fillId="13" borderId="0" applyNumberFormat="0" applyBorder="0" applyAlignment="0" applyProtection="0"/>
    <xf numFmtId="0" fontId="30" fillId="14" borderId="0" applyNumberFormat="0" applyBorder="0" applyAlignment="0" applyProtection="0"/>
    <xf numFmtId="0" fontId="3" fillId="0" borderId="0"/>
    <xf numFmtId="0" fontId="3" fillId="0" borderId="0"/>
    <xf numFmtId="0" fontId="3" fillId="0" borderId="0"/>
    <xf numFmtId="0" fontId="3" fillId="0" borderId="0"/>
    <xf numFmtId="0" fontId="2" fillId="0" borderId="0"/>
    <xf numFmtId="0" fontId="15" fillId="0" borderId="0"/>
    <xf numFmtId="0" fontId="15" fillId="0" borderId="0"/>
    <xf numFmtId="0" fontId="45" fillId="0" borderId="0"/>
    <xf numFmtId="0" fontId="54" fillId="0" borderId="0"/>
    <xf numFmtId="0" fontId="45" fillId="0" borderId="0"/>
    <xf numFmtId="0" fontId="45" fillId="0" borderId="0"/>
    <xf numFmtId="0" fontId="1" fillId="0" borderId="0"/>
    <xf numFmtId="9" fontId="1" fillId="0" borderId="0" applyFont="0" applyFill="0" applyBorder="0" applyAlignment="0" applyProtection="0"/>
    <xf numFmtId="0" fontId="15" fillId="0" borderId="0"/>
    <xf numFmtId="0" fontId="58" fillId="2" borderId="0" applyNumberFormat="0" applyBorder="0" applyAlignment="0" applyProtection="0"/>
    <xf numFmtId="0" fontId="15" fillId="0" borderId="0"/>
    <xf numFmtId="173" fontId="1" fillId="0" borderId="0" applyFont="0" applyFill="0" applyBorder="0" applyAlignment="0" applyProtection="0"/>
    <xf numFmtId="0" fontId="15" fillId="0" borderId="0"/>
    <xf numFmtId="0" fontId="59" fillId="0" borderId="0"/>
    <xf numFmtId="0" fontId="60" fillId="0" borderId="0"/>
  </cellStyleXfs>
  <cellXfs count="326">
    <xf numFmtId="0" fontId="0" fillId="0" borderId="0" xfId="0"/>
    <xf numFmtId="0" fontId="0" fillId="0" borderId="0" xfId="0" applyFont="1" applyAlignment="1"/>
    <xf numFmtId="0" fontId="0" fillId="0" borderId="0" xfId="0" applyFont="1" applyAlignment="1">
      <alignment vertical="center"/>
    </xf>
    <xf numFmtId="0" fontId="0" fillId="0" borderId="0" xfId="0" applyFont="1"/>
    <xf numFmtId="0" fontId="6" fillId="4" borderId="0" xfId="0" applyFont="1" applyFill="1"/>
    <xf numFmtId="0" fontId="0" fillId="5" borderId="0" xfId="0" applyFont="1" applyFill="1" applyAlignment="1">
      <alignment horizontal="left" indent="1"/>
    </xf>
    <xf numFmtId="0" fontId="7" fillId="0" borderId="0" xfId="0" applyFont="1"/>
    <xf numFmtId="0" fontId="0" fillId="6" borderId="0" xfId="0" applyFill="1"/>
    <xf numFmtId="0" fontId="7" fillId="7" borderId="2" xfId="0" applyFont="1" applyFill="1" applyBorder="1" applyAlignment="1">
      <alignment horizontal="left" vertical="center" wrapText="1"/>
    </xf>
    <xf numFmtId="0" fontId="7" fillId="7" borderId="3" xfId="0" applyFont="1" applyFill="1" applyBorder="1" applyAlignment="1">
      <alignment horizontal="left" vertical="center" wrapText="1"/>
    </xf>
    <xf numFmtId="0" fontId="7" fillId="7" borderId="2" xfId="0" applyFont="1" applyFill="1" applyBorder="1" applyAlignment="1">
      <alignment horizontal="center" vertical="center" wrapText="1"/>
    </xf>
    <xf numFmtId="0" fontId="7" fillId="7" borderId="2" xfId="0" applyFont="1" applyFill="1" applyBorder="1" applyAlignment="1">
      <alignment horizontal="center" vertical="center"/>
    </xf>
    <xf numFmtId="0" fontId="7" fillId="7" borderId="2" xfId="0" applyFont="1" applyFill="1" applyBorder="1" applyAlignment="1">
      <alignment horizontal="right" vertical="center" wrapText="1"/>
    </xf>
    <xf numFmtId="0" fontId="0" fillId="0" borderId="0" xfId="0" applyFont="1" applyAlignment="1">
      <alignment wrapText="1"/>
    </xf>
    <xf numFmtId="0" fontId="7" fillId="8" borderId="4" xfId="0" applyFont="1" applyFill="1" applyBorder="1" applyAlignment="1">
      <alignment horizontal="left" vertical="center" wrapText="1"/>
    </xf>
    <xf numFmtId="0" fontId="7" fillId="8" borderId="4" xfId="0" applyFont="1" applyFill="1" applyBorder="1" applyAlignment="1">
      <alignment horizontal="right" vertical="center" wrapText="1"/>
    </xf>
    <xf numFmtId="0" fontId="7" fillId="8" borderId="5" xfId="0" applyFont="1" applyFill="1" applyBorder="1" applyAlignment="1">
      <alignment horizontal="right" vertical="center" wrapText="1"/>
    </xf>
    <xf numFmtId="0" fontId="7" fillId="8" borderId="4" xfId="0" applyFont="1" applyFill="1" applyBorder="1" applyAlignment="1">
      <alignment horizontal="center" vertical="center" wrapText="1"/>
    </xf>
    <xf numFmtId="0" fontId="7" fillId="8" borderId="4" xfId="0" applyFont="1" applyFill="1" applyBorder="1" applyAlignment="1">
      <alignment horizontal="center" vertical="center"/>
    </xf>
    <xf numFmtId="0" fontId="7" fillId="8" borderId="5" xfId="0" applyFont="1" applyFill="1" applyBorder="1" applyAlignment="1">
      <alignment horizontal="center" vertical="center" wrapText="1"/>
    </xf>
    <xf numFmtId="0" fontId="7" fillId="9" borderId="4" xfId="0" applyFont="1" applyFill="1" applyBorder="1" applyAlignment="1">
      <alignment horizontal="right"/>
    </xf>
    <xf numFmtId="0" fontId="7" fillId="9" borderId="5" xfId="0" applyFont="1" applyFill="1" applyBorder="1" applyAlignment="1">
      <alignment horizontal="right"/>
    </xf>
    <xf numFmtId="0" fontId="7" fillId="9" borderId="4" xfId="0" applyFont="1" applyFill="1" applyBorder="1" applyAlignment="1">
      <alignment horizontal="center"/>
    </xf>
    <xf numFmtId="0" fontId="7" fillId="9" borderId="6" xfId="0" applyFont="1" applyFill="1" applyBorder="1" applyAlignment="1">
      <alignment horizontal="right"/>
    </xf>
    <xf numFmtId="0" fontId="0" fillId="0" borderId="0" xfId="0" applyFont="1" applyFill="1"/>
    <xf numFmtId="0" fontId="7" fillId="0" borderId="0" xfId="0" applyFont="1" applyFill="1"/>
    <xf numFmtId="0" fontId="31" fillId="0" borderId="0" xfId="0" applyFont="1" applyFill="1"/>
    <xf numFmtId="0" fontId="7" fillId="0" borderId="0" xfId="0" applyFont="1" applyFill="1" applyAlignment="1">
      <alignment vertical="top" wrapText="1"/>
    </xf>
    <xf numFmtId="0" fontId="7" fillId="0" borderId="0" xfId="0" applyFont="1" applyFill="1" applyAlignment="1">
      <alignment horizontal="center" vertical="top" wrapText="1"/>
    </xf>
    <xf numFmtId="0" fontId="7" fillId="0" borderId="0" xfId="0" applyFont="1" applyFill="1" applyAlignment="1">
      <alignment vertical="center"/>
    </xf>
    <xf numFmtId="164" fontId="7" fillId="0" borderId="0" xfId="0" applyNumberFormat="1" applyFont="1" applyFill="1"/>
    <xf numFmtId="0" fontId="7" fillId="0" borderId="0" xfId="1" applyFont="1" applyFill="1" applyAlignment="1"/>
    <xf numFmtId="0" fontId="7" fillId="0" borderId="0" xfId="1" applyFont="1" applyFill="1" applyAlignment="1">
      <alignment horizontal="center"/>
    </xf>
    <xf numFmtId="0" fontId="7" fillId="0" borderId="0" xfId="1" applyFont="1" applyFill="1"/>
    <xf numFmtId="0" fontId="33" fillId="0" borderId="0" xfId="0" applyFont="1"/>
    <xf numFmtId="0" fontId="0" fillId="8" borderId="0" xfId="0" applyFont="1" applyFill="1"/>
    <xf numFmtId="0" fontId="34" fillId="8" borderId="0" xfId="0" applyFont="1" applyFill="1"/>
    <xf numFmtId="0" fontId="35" fillId="8" borderId="4" xfId="0" applyFont="1" applyFill="1" applyBorder="1" applyAlignment="1">
      <alignment horizontal="left" vertical="center" wrapText="1"/>
    </xf>
    <xf numFmtId="0" fontId="35" fillId="8" borderId="4" xfId="0" applyFont="1" applyFill="1" applyBorder="1" applyAlignment="1">
      <alignment horizontal="right" vertical="center" wrapText="1"/>
    </xf>
    <xf numFmtId="0" fontId="35" fillId="8" borderId="5" xfId="0" applyFont="1" applyFill="1" applyBorder="1" applyAlignment="1">
      <alignment horizontal="right" vertical="center" wrapText="1"/>
    </xf>
    <xf numFmtId="0" fontId="35" fillId="8" borderId="4" xfId="0" applyFont="1" applyFill="1" applyBorder="1" applyAlignment="1">
      <alignment horizontal="center" vertical="center" wrapText="1"/>
    </xf>
    <xf numFmtId="0" fontId="35" fillId="9" borderId="4" xfId="0" applyFont="1" applyFill="1" applyBorder="1" applyAlignment="1">
      <alignment horizontal="left"/>
    </xf>
    <xf numFmtId="0" fontId="35" fillId="9" borderId="4" xfId="0" applyFont="1" applyFill="1" applyBorder="1" applyAlignment="1">
      <alignment horizontal="right"/>
    </xf>
    <xf numFmtId="0" fontId="35" fillId="9" borderId="22" xfId="0" applyFont="1" applyFill="1" applyBorder="1" applyAlignment="1">
      <alignment horizontal="right"/>
    </xf>
    <xf numFmtId="169" fontId="0" fillId="6" borderId="0" xfId="0" applyNumberFormat="1" applyFill="1"/>
    <xf numFmtId="169" fontId="32" fillId="0" borderId="0" xfId="0" applyNumberFormat="1" applyFont="1"/>
    <xf numFmtId="169" fontId="0" fillId="0" borderId="0" xfId="0" applyNumberFormat="1" applyFont="1"/>
    <xf numFmtId="169" fontId="31" fillId="7" borderId="17" xfId="0" applyNumberFormat="1" applyFont="1" applyFill="1" applyBorder="1"/>
    <xf numFmtId="169" fontId="7" fillId="34" borderId="18" xfId="0" applyNumberFormat="1" applyFont="1" applyFill="1" applyBorder="1" applyAlignment="1">
      <alignment horizontal="left" vertical="top" wrapText="1"/>
    </xf>
    <xf numFmtId="169" fontId="0" fillId="0" borderId="0" xfId="0" applyNumberFormat="1" applyFill="1"/>
    <xf numFmtId="169" fontId="7" fillId="0" borderId="0" xfId="0" applyNumberFormat="1" applyFont="1"/>
    <xf numFmtId="169" fontId="31" fillId="7" borderId="2" xfId="0" applyNumberFormat="1" applyFont="1" applyFill="1" applyBorder="1"/>
    <xf numFmtId="169" fontId="31" fillId="7" borderId="2" xfId="0" applyNumberFormat="1" applyFont="1" applyFill="1" applyBorder="1" applyAlignment="1">
      <alignment horizontal="left"/>
    </xf>
    <xf numFmtId="169" fontId="7" fillId="34" borderId="4" xfId="0" applyNumberFormat="1" applyFont="1" applyFill="1" applyBorder="1" applyAlignment="1">
      <alignment horizontal="left" vertical="top" wrapText="1"/>
    </xf>
    <xf numFmtId="169" fontId="0" fillId="10" borderId="20" xfId="0" applyNumberFormat="1" applyFont="1" applyFill="1" applyBorder="1"/>
    <xf numFmtId="169" fontId="0" fillId="11" borderId="2" xfId="0" applyNumberFormat="1" applyFont="1" applyFill="1" applyBorder="1"/>
    <xf numFmtId="169" fontId="0" fillId="11" borderId="0" xfId="0" applyNumberFormat="1" applyFont="1" applyFill="1" applyBorder="1"/>
    <xf numFmtId="169" fontId="0" fillId="11" borderId="19" xfId="0" applyNumberFormat="1" applyFont="1" applyFill="1" applyBorder="1"/>
    <xf numFmtId="169" fontId="0" fillId="10" borderId="0" xfId="0" applyNumberFormat="1" applyFont="1" applyFill="1" applyBorder="1"/>
    <xf numFmtId="0" fontId="0" fillId="0" borderId="0" xfId="0" applyBorder="1"/>
    <xf numFmtId="0" fontId="0" fillId="0" borderId="19" xfId="0" applyBorder="1"/>
    <xf numFmtId="0" fontId="0" fillId="0" borderId="0" xfId="0" applyFill="1" applyBorder="1"/>
    <xf numFmtId="0" fontId="36" fillId="0" borderId="0" xfId="0" applyFont="1" applyFill="1" applyBorder="1"/>
    <xf numFmtId="0" fontId="0" fillId="0" borderId="0" xfId="0" applyFont="1"/>
    <xf numFmtId="0" fontId="0" fillId="0" borderId="0" xfId="0" applyFont="1"/>
    <xf numFmtId="0" fontId="0" fillId="0" borderId="0" xfId="0" applyFont="1" applyFill="1"/>
    <xf numFmtId="0" fontId="0" fillId="0" borderId="0" xfId="0" applyFont="1"/>
    <xf numFmtId="0" fontId="0" fillId="0" borderId="0" xfId="0"/>
    <xf numFmtId="0" fontId="0" fillId="0" borderId="0" xfId="0" applyFont="1"/>
    <xf numFmtId="0" fontId="7" fillId="7" borderId="17" xfId="0" applyFont="1" applyFill="1" applyBorder="1" applyAlignment="1">
      <alignment horizontal="left" vertical="center" wrapText="1"/>
    </xf>
    <xf numFmtId="1" fontId="7" fillId="35" borderId="21" xfId="0" applyNumberFormat="1" applyFont="1" applyFill="1" applyBorder="1" applyAlignment="1">
      <alignment horizontal="right"/>
    </xf>
    <xf numFmtId="1" fontId="7" fillId="35" borderId="17" xfId="0" applyNumberFormat="1" applyFont="1" applyFill="1" applyBorder="1" applyAlignment="1">
      <alignment horizontal="right"/>
    </xf>
    <xf numFmtId="0" fontId="7" fillId="34" borderId="18" xfId="0" applyFont="1" applyFill="1" applyBorder="1" applyAlignment="1">
      <alignment horizontal="left" wrapText="1"/>
    </xf>
    <xf numFmtId="0" fontId="7" fillId="34" borderId="18" xfId="0" applyFont="1" applyFill="1" applyBorder="1" applyAlignment="1">
      <alignment horizontal="right" wrapText="1"/>
    </xf>
    <xf numFmtId="0" fontId="7" fillId="36" borderId="0" xfId="0" applyFont="1" applyFill="1"/>
    <xf numFmtId="168" fontId="7" fillId="36" borderId="0" xfId="0" applyNumberFormat="1" applyFont="1" applyFill="1"/>
    <xf numFmtId="0" fontId="37" fillId="7" borderId="24" xfId="0" applyFont="1" applyFill="1" applyBorder="1" applyAlignment="1">
      <alignment horizontal="right" vertical="center" wrapText="1"/>
    </xf>
    <xf numFmtId="1" fontId="0" fillId="0" borderId="0" xfId="0" applyNumberFormat="1"/>
    <xf numFmtId="2" fontId="0" fillId="0" borderId="0" xfId="0" applyNumberFormat="1"/>
    <xf numFmtId="169" fontId="0" fillId="0" borderId="0" xfId="0" applyNumberFormat="1" applyFont="1" applyFill="1" applyBorder="1"/>
    <xf numFmtId="0" fontId="38" fillId="0" borderId="0" xfId="0" applyFont="1"/>
    <xf numFmtId="0" fontId="38" fillId="0" borderId="0" xfId="0" applyFont="1" applyAlignment="1">
      <alignment vertical="top"/>
    </xf>
    <xf numFmtId="0" fontId="0" fillId="0" borderId="0" xfId="0" applyAlignment="1">
      <alignment horizontal="right" wrapText="1"/>
    </xf>
    <xf numFmtId="0" fontId="0" fillId="0" borderId="0" xfId="0" applyAlignment="1">
      <alignment horizontal="right" vertical="center"/>
    </xf>
    <xf numFmtId="0" fontId="0" fillId="0" borderId="0" xfId="0" applyAlignment="1">
      <alignment wrapText="1"/>
    </xf>
    <xf numFmtId="0" fontId="0" fillId="0" borderId="0" xfId="0" applyAlignment="1">
      <alignment vertical="center"/>
    </xf>
    <xf numFmtId="0" fontId="0" fillId="0" borderId="0" xfId="0" applyFont="1" applyAlignment="1">
      <alignment horizontal="right" wrapText="1"/>
    </xf>
    <xf numFmtId="0" fontId="41" fillId="0" borderId="0" xfId="0" applyFont="1"/>
    <xf numFmtId="169" fontId="39" fillId="0" borderId="0" xfId="0" applyNumberFormat="1" applyFont="1" applyAlignment="1">
      <alignment vertical="center"/>
    </xf>
    <xf numFmtId="169" fontId="0" fillId="0" borderId="2" xfId="0" applyNumberFormat="1" applyFont="1" applyFill="1" applyBorder="1"/>
    <xf numFmtId="0" fontId="0" fillId="0" borderId="2" xfId="0" applyFont="1" applyBorder="1"/>
    <xf numFmtId="169" fontId="0" fillId="0" borderId="2" xfId="0" applyNumberFormat="1" applyFont="1" applyBorder="1"/>
    <xf numFmtId="0" fontId="40" fillId="0" borderId="0" xfId="0" applyFont="1"/>
    <xf numFmtId="0" fontId="0" fillId="0" borderId="0" xfId="0" applyFont="1" applyFill="1" applyBorder="1"/>
    <xf numFmtId="0" fontId="0" fillId="11" borderId="0" xfId="0" applyFont="1" applyFill="1" applyBorder="1"/>
    <xf numFmtId="0" fontId="0" fillId="11" borderId="0" xfId="0" applyFont="1" applyFill="1" applyBorder="1" applyAlignment="1">
      <alignment horizontal="left"/>
    </xf>
    <xf numFmtId="2" fontId="0" fillId="11" borderId="0" xfId="0" applyNumberFormat="1" applyFont="1" applyFill="1" applyBorder="1" applyAlignment="1"/>
    <xf numFmtId="2" fontId="0" fillId="11" borderId="0" xfId="0" applyNumberFormat="1" applyFont="1" applyFill="1" applyBorder="1"/>
    <xf numFmtId="170" fontId="0" fillId="11" borderId="0" xfId="0" applyNumberFormat="1" applyFont="1" applyFill="1" applyBorder="1"/>
    <xf numFmtId="165" fontId="0" fillId="11" borderId="0" xfId="0" applyNumberFormat="1" applyFont="1" applyFill="1" applyBorder="1"/>
    <xf numFmtId="0" fontId="0" fillId="11" borderId="19" xfId="0" applyFont="1" applyFill="1" applyBorder="1"/>
    <xf numFmtId="0" fontId="7" fillId="0" borderId="0" xfId="0" quotePrefix="1" applyFont="1" applyFill="1"/>
    <xf numFmtId="0" fontId="0" fillId="0" borderId="0" xfId="0" applyFont="1" applyAlignment="1">
      <alignment horizontal="left"/>
    </xf>
    <xf numFmtId="14" fontId="0" fillId="0" borderId="0" xfId="0" applyNumberFormat="1" applyFont="1" applyAlignment="1">
      <alignment horizontal="left"/>
    </xf>
    <xf numFmtId="0" fontId="7" fillId="7" borderId="17" xfId="0" applyFont="1" applyFill="1" applyBorder="1" applyAlignment="1">
      <alignment horizontal="center" vertical="center" wrapText="1"/>
    </xf>
    <xf numFmtId="0" fontId="0" fillId="38" borderId="0" xfId="0" applyFill="1"/>
    <xf numFmtId="0" fontId="0" fillId="38" borderId="0" xfId="0" applyFont="1" applyFill="1"/>
    <xf numFmtId="0" fontId="0" fillId="38" borderId="23" xfId="0" applyFill="1" applyBorder="1" applyAlignment="1">
      <alignment horizontal="center"/>
    </xf>
    <xf numFmtId="0" fontId="0" fillId="38" borderId="0" xfId="0" applyFill="1" applyBorder="1"/>
    <xf numFmtId="0" fontId="0" fillId="38" borderId="0" xfId="0" applyFont="1" applyFill="1" applyBorder="1"/>
    <xf numFmtId="0" fontId="0" fillId="38" borderId="7" xfId="0" applyFill="1" applyBorder="1"/>
    <xf numFmtId="0" fontId="0" fillId="38" borderId="0" xfId="0" applyNumberFormat="1" applyFill="1" applyBorder="1" applyAlignment="1">
      <alignment horizontal="center"/>
    </xf>
    <xf numFmtId="0" fontId="0" fillId="38" borderId="0" xfId="0" applyNumberFormat="1" applyFill="1" applyBorder="1"/>
    <xf numFmtId="0" fontId="0" fillId="38" borderId="0" xfId="0" applyFill="1" applyBorder="1" applyAlignment="1">
      <alignment horizontal="center"/>
    </xf>
    <xf numFmtId="0" fontId="43" fillId="0" borderId="0" xfId="0" applyFont="1" applyFill="1" applyAlignment="1">
      <alignment vertical="top"/>
    </xf>
    <xf numFmtId="2" fontId="38" fillId="11" borderId="0" xfId="0" applyNumberFormat="1" applyFont="1" applyFill="1" applyBorder="1" applyAlignment="1"/>
    <xf numFmtId="0" fontId="0" fillId="38" borderId="2" xfId="0" applyFill="1" applyBorder="1"/>
    <xf numFmtId="0" fontId="0" fillId="38" borderId="3" xfId="0" applyFill="1" applyBorder="1"/>
    <xf numFmtId="0" fontId="0" fillId="38" borderId="2" xfId="0" applyNumberFormat="1" applyFill="1" applyBorder="1" applyAlignment="1">
      <alignment horizontal="center"/>
    </xf>
    <xf numFmtId="0" fontId="0" fillId="38" borderId="2" xfId="0" applyNumberFormat="1" applyFill="1" applyBorder="1"/>
    <xf numFmtId="169" fontId="0" fillId="10" borderId="2" xfId="0" applyNumberFormat="1" applyFont="1" applyFill="1" applyBorder="1"/>
    <xf numFmtId="169" fontId="0" fillId="41" borderId="0" xfId="0" applyNumberFormat="1" applyFill="1"/>
    <xf numFmtId="0" fontId="15" fillId="0" borderId="0" xfId="452"/>
    <xf numFmtId="0" fontId="44" fillId="0" borderId="0" xfId="452" applyFont="1" applyAlignment="1">
      <alignment horizontal="center"/>
    </xf>
    <xf numFmtId="172" fontId="15" fillId="0" borderId="0" xfId="452" applyNumberFormat="1" applyAlignment="1">
      <alignment horizontal="center" vertical="center"/>
    </xf>
    <xf numFmtId="0" fontId="15" fillId="0" borderId="0" xfId="452" applyAlignment="1">
      <alignment horizontal="center" vertical="center"/>
    </xf>
    <xf numFmtId="0" fontId="15" fillId="0" borderId="0" xfId="452" applyAlignment="1">
      <alignment horizontal="left" vertical="center" wrapText="1"/>
    </xf>
    <xf numFmtId="0" fontId="44" fillId="0" borderId="26" xfId="452" applyFont="1" applyBorder="1" applyAlignment="1">
      <alignment horizontal="center"/>
    </xf>
    <xf numFmtId="172" fontId="15" fillId="0" borderId="27" xfId="452" applyNumberFormat="1" applyBorder="1" applyAlignment="1">
      <alignment horizontal="center" vertical="center"/>
    </xf>
    <xf numFmtId="0" fontId="15" fillId="0" borderId="27" xfId="452" applyBorder="1" applyAlignment="1">
      <alignment horizontal="center" vertical="center"/>
    </xf>
    <xf numFmtId="0" fontId="15" fillId="0" borderId="28" xfId="452" applyBorder="1" applyAlignment="1">
      <alignment horizontal="left" vertical="center" wrapText="1"/>
    </xf>
    <xf numFmtId="0" fontId="44" fillId="0" borderId="29" xfId="452" applyFont="1" applyBorder="1" applyAlignment="1">
      <alignment horizontal="center"/>
    </xf>
    <xf numFmtId="172" fontId="15" fillId="0" borderId="25" xfId="452" applyNumberFormat="1" applyBorder="1" applyAlignment="1">
      <alignment horizontal="center" vertical="center"/>
    </xf>
    <xf numFmtId="0" fontId="15" fillId="0" borderId="25" xfId="452" applyBorder="1" applyAlignment="1">
      <alignment horizontal="center" vertical="center"/>
    </xf>
    <xf numFmtId="0" fontId="15" fillId="0" borderId="30" xfId="452" applyBorder="1" applyAlignment="1">
      <alignment horizontal="left" vertical="center" wrapText="1"/>
    </xf>
    <xf numFmtId="0" fontId="44" fillId="40" borderId="30" xfId="452" applyFont="1" applyFill="1" applyBorder="1" applyAlignment="1">
      <alignment horizontal="left" vertical="center" wrapText="1"/>
    </xf>
    <xf numFmtId="0" fontId="44" fillId="42" borderId="30" xfId="452" applyFont="1" applyFill="1" applyBorder="1" applyAlignment="1">
      <alignment horizontal="left" vertical="center" wrapText="1"/>
    </xf>
    <xf numFmtId="0" fontId="44" fillId="39" borderId="30" xfId="452" applyFont="1" applyFill="1" applyBorder="1" applyAlignment="1">
      <alignment horizontal="left" vertical="center" wrapText="1"/>
    </xf>
    <xf numFmtId="0" fontId="15" fillId="37" borderId="30" xfId="452" applyFill="1" applyBorder="1" applyAlignment="1">
      <alignment horizontal="left" vertical="center" wrapText="1"/>
    </xf>
    <xf numFmtId="0" fontId="44" fillId="0" borderId="31" xfId="452" applyFont="1" applyBorder="1" applyAlignment="1">
      <alignment horizontal="center"/>
    </xf>
    <xf numFmtId="172" fontId="15" fillId="0" borderId="32" xfId="452" applyNumberFormat="1" applyBorder="1" applyAlignment="1">
      <alignment horizontal="center" vertical="center"/>
    </xf>
    <xf numFmtId="0" fontId="15" fillId="0" borderId="32" xfId="452" applyBorder="1" applyAlignment="1">
      <alignment horizontal="center" vertical="center"/>
    </xf>
    <xf numFmtId="0" fontId="44" fillId="0" borderId="33" xfId="452" applyFont="1" applyBorder="1" applyAlignment="1">
      <alignment horizontal="left" vertical="center" wrapText="1"/>
    </xf>
    <xf numFmtId="0" fontId="44" fillId="0" borderId="31" xfId="452" applyFont="1" applyBorder="1" applyAlignment="1">
      <alignment horizontal="center" vertical="center" wrapText="1"/>
    </xf>
    <xf numFmtId="172" fontId="42" fillId="0" borderId="32" xfId="453" applyNumberFormat="1" applyFont="1" applyBorder="1" applyAlignment="1">
      <alignment horizontal="center" vertical="center"/>
    </xf>
    <xf numFmtId="0" fontId="42" fillId="0" borderId="32" xfId="453" applyFont="1" applyBorder="1" applyAlignment="1">
      <alignment horizontal="center" vertical="center" wrapText="1"/>
    </xf>
    <xf numFmtId="0" fontId="42" fillId="0" borderId="33" xfId="453" applyFont="1" applyBorder="1" applyAlignment="1">
      <alignment horizontal="left" vertical="center" wrapText="1"/>
    </xf>
    <xf numFmtId="0" fontId="46" fillId="0" borderId="33" xfId="453" applyFont="1" applyBorder="1" applyAlignment="1">
      <alignment horizontal="left" vertical="center" wrapText="1"/>
    </xf>
    <xf numFmtId="4" fontId="15" fillId="0" borderId="25" xfId="452" applyNumberFormat="1" applyBorder="1" applyAlignment="1">
      <alignment horizontal="center" vertical="center"/>
    </xf>
    <xf numFmtId="0" fontId="44" fillId="43" borderId="26" xfId="452" applyFont="1" applyFill="1" applyBorder="1" applyAlignment="1">
      <alignment horizontal="center" vertical="center"/>
    </xf>
    <xf numFmtId="0" fontId="15" fillId="0" borderId="25" xfId="453" applyFont="1" applyBorder="1" applyAlignment="1">
      <alignment horizontal="center" vertical="center" wrapText="1"/>
    </xf>
    <xf numFmtId="0" fontId="47" fillId="0" borderId="0" xfId="452" applyFont="1"/>
    <xf numFmtId="0" fontId="48" fillId="0" borderId="29" xfId="452" applyFont="1" applyBorder="1" applyAlignment="1">
      <alignment horizontal="center"/>
    </xf>
    <xf numFmtId="172" fontId="47" fillId="0" borderId="25" xfId="453" applyNumberFormat="1" applyFont="1" applyBorder="1" applyAlignment="1">
      <alignment horizontal="center" vertical="center"/>
    </xf>
    <xf numFmtId="0" fontId="47" fillId="0" borderId="25" xfId="453" applyFont="1" applyBorder="1" applyAlignment="1">
      <alignment horizontal="center" vertical="center"/>
    </xf>
    <xf numFmtId="0" fontId="49" fillId="0" borderId="30" xfId="453" applyFont="1" applyBorder="1" applyAlignment="1">
      <alignment horizontal="left" vertical="center" wrapText="1"/>
    </xf>
    <xf numFmtId="49" fontId="47" fillId="0" borderId="0" xfId="453" applyNumberFormat="1" applyFont="1" applyAlignment="1">
      <alignment horizontal="center" vertical="center"/>
    </xf>
    <xf numFmtId="172" fontId="50" fillId="0" borderId="25" xfId="453" applyNumberFormat="1" applyFont="1" applyBorder="1" applyAlignment="1">
      <alignment horizontal="center" vertical="center"/>
    </xf>
    <xf numFmtId="0" fontId="51" fillId="44" borderId="30" xfId="453" applyFont="1" applyFill="1" applyBorder="1" applyAlignment="1">
      <alignment horizontal="left" vertical="center" wrapText="1"/>
    </xf>
    <xf numFmtId="49" fontId="15" fillId="0" borderId="23" xfId="453" applyNumberFormat="1" applyFont="1" applyBorder="1" applyAlignment="1">
      <alignment horizontal="center" vertical="center"/>
    </xf>
    <xf numFmtId="0" fontId="44" fillId="45" borderId="0" xfId="452" applyFont="1" applyFill="1" applyAlignment="1">
      <alignment horizontal="center"/>
    </xf>
    <xf numFmtId="172" fontId="15" fillId="0" borderId="0" xfId="453" applyNumberFormat="1" applyFont="1" applyAlignment="1">
      <alignment horizontal="center" vertical="center"/>
    </xf>
    <xf numFmtId="0" fontId="15" fillId="0" borderId="0" xfId="453" applyFont="1" applyAlignment="1">
      <alignment horizontal="center" vertical="center"/>
    </xf>
    <xf numFmtId="0" fontId="15" fillId="0" borderId="0" xfId="453" applyFont="1" applyAlignment="1">
      <alignment horizontal="left" vertical="center" wrapText="1"/>
    </xf>
    <xf numFmtId="0" fontId="44" fillId="37" borderId="26" xfId="452" applyFont="1" applyFill="1" applyBorder="1" applyAlignment="1">
      <alignment horizontal="center"/>
    </xf>
    <xf numFmtId="172" fontId="15" fillId="0" borderId="27" xfId="453" applyNumberFormat="1" applyFont="1" applyBorder="1" applyAlignment="1">
      <alignment horizontal="center" vertical="center"/>
    </xf>
    <xf numFmtId="0" fontId="15" fillId="0" borderId="27" xfId="453" applyFont="1" applyBorder="1" applyAlignment="1">
      <alignment horizontal="center" vertical="center"/>
    </xf>
    <xf numFmtId="0" fontId="15" fillId="0" borderId="28" xfId="453" applyFont="1" applyBorder="1" applyAlignment="1">
      <alignment horizontal="left" vertical="center" wrapText="1"/>
    </xf>
    <xf numFmtId="0" fontId="44" fillId="37" borderId="29" xfId="452" applyFont="1" applyFill="1" applyBorder="1" applyAlignment="1">
      <alignment horizontal="center"/>
    </xf>
    <xf numFmtId="172" fontId="15" fillId="0" borderId="25" xfId="453" applyNumberFormat="1" applyFont="1" applyBorder="1" applyAlignment="1">
      <alignment horizontal="center" vertical="center"/>
    </xf>
    <xf numFmtId="0" fontId="15" fillId="0" borderId="25" xfId="453" applyFont="1" applyBorder="1" applyAlignment="1">
      <alignment horizontal="center" vertical="center"/>
    </xf>
    <xf numFmtId="0" fontId="15" fillId="0" borderId="30" xfId="453" applyFont="1" applyBorder="1" applyAlignment="1">
      <alignment horizontal="left" vertical="center" wrapText="1"/>
    </xf>
    <xf numFmtId="0" fontId="15" fillId="37" borderId="30" xfId="453" applyFont="1" applyFill="1" applyBorder="1" applyAlignment="1">
      <alignment horizontal="left" vertical="center" wrapText="1"/>
    </xf>
    <xf numFmtId="0" fontId="44" fillId="40" borderId="30" xfId="453" applyFont="1" applyFill="1" applyBorder="1" applyAlignment="1">
      <alignment horizontal="left" vertical="center" wrapText="1"/>
    </xf>
    <xf numFmtId="172" fontId="15" fillId="46" borderId="25" xfId="453" applyNumberFormat="1" applyFont="1" applyFill="1" applyBorder="1" applyAlignment="1">
      <alignment horizontal="center" vertical="center"/>
    </xf>
    <xf numFmtId="0" fontId="15" fillId="46" borderId="25" xfId="453" applyFont="1" applyFill="1" applyBorder="1" applyAlignment="1">
      <alignment horizontal="center" vertical="center"/>
    </xf>
    <xf numFmtId="0" fontId="15" fillId="46" borderId="30" xfId="453" applyFont="1" applyFill="1" applyBorder="1" applyAlignment="1">
      <alignment horizontal="left" vertical="center" wrapText="1"/>
    </xf>
    <xf numFmtId="0" fontId="45" fillId="0" borderId="30" xfId="453" applyBorder="1" applyAlignment="1">
      <alignment horizontal="left" vertical="center" wrapText="1"/>
    </xf>
    <xf numFmtId="49" fontId="15" fillId="0" borderId="21" xfId="453" applyNumberFormat="1" applyFont="1" applyBorder="1" applyAlignment="1">
      <alignment horizontal="center" vertical="center"/>
    </xf>
    <xf numFmtId="0" fontId="15" fillId="0" borderId="0" xfId="453" applyFont="1" applyAlignment="1">
      <alignment horizontal="center" vertical="center" wrapText="1"/>
    </xf>
    <xf numFmtId="0" fontId="44" fillId="43" borderId="26" xfId="452" applyFont="1" applyFill="1" applyBorder="1" applyAlignment="1">
      <alignment horizontal="center"/>
    </xf>
    <xf numFmtId="0" fontId="15" fillId="0" borderId="27" xfId="453" applyFont="1" applyBorder="1" applyAlignment="1">
      <alignment horizontal="center" vertical="center" wrapText="1"/>
    </xf>
    <xf numFmtId="0" fontId="44" fillId="43" borderId="29" xfId="452" applyFont="1" applyFill="1" applyBorder="1" applyAlignment="1">
      <alignment horizontal="center"/>
    </xf>
    <xf numFmtId="0" fontId="44" fillId="43" borderId="29" xfId="452" applyFont="1" applyFill="1" applyBorder="1" applyAlignment="1">
      <alignment horizontal="center" vertical="center"/>
    </xf>
    <xf numFmtId="0" fontId="42" fillId="0" borderId="25" xfId="453" applyFont="1" applyBorder="1" applyAlignment="1">
      <alignment horizontal="center" vertical="center"/>
    </xf>
    <xf numFmtId="0" fontId="52" fillId="40" borderId="30" xfId="453" applyFont="1" applyFill="1" applyBorder="1" applyAlignment="1">
      <alignment horizontal="left" vertical="center" wrapText="1"/>
    </xf>
    <xf numFmtId="0" fontId="50" fillId="0" borderId="30" xfId="453" applyFont="1" applyBorder="1" applyAlignment="1">
      <alignment horizontal="left" vertical="center" wrapText="1"/>
    </xf>
    <xf numFmtId="49" fontId="15" fillId="0" borderId="24" xfId="453" applyNumberFormat="1" applyFont="1" applyBorder="1" applyAlignment="1">
      <alignment horizontal="center" vertical="center"/>
    </xf>
    <xf numFmtId="0" fontId="42" fillId="0" borderId="30" xfId="453" applyFont="1" applyBorder="1" applyAlignment="1">
      <alignment horizontal="left" vertical="center" wrapText="1"/>
    </xf>
    <xf numFmtId="49" fontId="42" fillId="0" borderId="21" xfId="453" applyNumberFormat="1" applyFont="1" applyBorder="1" applyAlignment="1">
      <alignment horizontal="center" vertical="center"/>
    </xf>
    <xf numFmtId="172" fontId="42" fillId="0" borderId="0" xfId="453" applyNumberFormat="1" applyFont="1" applyAlignment="1">
      <alignment horizontal="center" vertical="center"/>
    </xf>
    <xf numFmtId="0" fontId="42" fillId="0" borderId="0" xfId="453" applyFont="1" applyAlignment="1">
      <alignment horizontal="center" vertical="center" wrapText="1"/>
    </xf>
    <xf numFmtId="0" fontId="53" fillId="0" borderId="19" xfId="453" applyFont="1" applyBorder="1" applyAlignment="1">
      <alignment wrapText="1"/>
    </xf>
    <xf numFmtId="0" fontId="15" fillId="46" borderId="0" xfId="452" applyFill="1"/>
    <xf numFmtId="0" fontId="44" fillId="46" borderId="0" xfId="452" applyFont="1" applyFill="1" applyAlignment="1">
      <alignment horizontal="center"/>
    </xf>
    <xf numFmtId="172" fontId="42" fillId="46" borderId="0" xfId="453" applyNumberFormat="1" applyFont="1" applyFill="1" applyAlignment="1">
      <alignment horizontal="center" vertical="center"/>
    </xf>
    <xf numFmtId="0" fontId="42" fillId="46" borderId="0" xfId="453" applyFont="1" applyFill="1" applyAlignment="1">
      <alignment horizontal="center" vertical="center"/>
    </xf>
    <xf numFmtId="0" fontId="42" fillId="46" borderId="0" xfId="453" applyFont="1" applyFill="1" applyAlignment="1">
      <alignment horizontal="left" vertical="center" wrapText="1"/>
    </xf>
    <xf numFmtId="0" fontId="42" fillId="46" borderId="0" xfId="453" applyFont="1" applyFill="1" applyAlignment="1">
      <alignment horizontal="center"/>
    </xf>
    <xf numFmtId="172" fontId="15" fillId="0" borderId="0" xfId="452" applyNumberFormat="1"/>
    <xf numFmtId="0" fontId="55" fillId="0" borderId="0" xfId="454" applyFont="1"/>
    <xf numFmtId="0" fontId="56" fillId="0" borderId="0" xfId="455" applyFont="1"/>
    <xf numFmtId="170" fontId="56" fillId="0" borderId="34" xfId="455" applyNumberFormat="1" applyFont="1" applyBorder="1" applyAlignment="1">
      <alignment horizontal="right"/>
    </xf>
    <xf numFmtId="170" fontId="56" fillId="0" borderId="35" xfId="455" applyNumberFormat="1" applyFont="1" applyBorder="1" applyAlignment="1">
      <alignment horizontal="right"/>
    </xf>
    <xf numFmtId="172" fontId="56" fillId="0" borderId="35" xfId="454" applyNumberFormat="1" applyFont="1" applyBorder="1" applyAlignment="1">
      <alignment horizontal="right"/>
    </xf>
    <xf numFmtId="0" fontId="57" fillId="0" borderId="36" xfId="454" applyFont="1" applyBorder="1" applyAlignment="1">
      <alignment horizontal="center"/>
    </xf>
    <xf numFmtId="170" fontId="56" fillId="0" borderId="29" xfId="455" applyNumberFormat="1" applyFont="1" applyBorder="1" applyAlignment="1">
      <alignment horizontal="right"/>
    </xf>
    <xf numFmtId="170" fontId="56" fillId="0" borderId="25" xfId="455" applyNumberFormat="1" applyFont="1" applyBorder="1" applyAlignment="1">
      <alignment horizontal="right"/>
    </xf>
    <xf numFmtId="172" fontId="56" fillId="0" borderId="25" xfId="454" applyNumberFormat="1" applyFont="1" applyBorder="1" applyAlignment="1">
      <alignment horizontal="right"/>
    </xf>
    <xf numFmtId="0" fontId="57" fillId="0" borderId="30" xfId="454" applyFont="1" applyBorder="1" applyAlignment="1">
      <alignment horizontal="center"/>
    </xf>
    <xf numFmtId="49" fontId="56" fillId="0" borderId="29" xfId="454" applyNumberFormat="1" applyFont="1" applyBorder="1" applyAlignment="1">
      <alignment horizontal="right"/>
    </xf>
    <xf numFmtId="49" fontId="56" fillId="0" borderId="25" xfId="454" applyNumberFormat="1" applyFont="1" applyBorder="1" applyAlignment="1">
      <alignment horizontal="right"/>
    </xf>
    <xf numFmtId="3" fontId="56" fillId="0" borderId="25" xfId="454" applyNumberFormat="1" applyFont="1" applyBorder="1" applyAlignment="1">
      <alignment horizontal="right"/>
    </xf>
    <xf numFmtId="1" fontId="56" fillId="0" borderId="25" xfId="454" applyNumberFormat="1" applyFont="1" applyBorder="1" applyAlignment="1">
      <alignment horizontal="right"/>
    </xf>
    <xf numFmtId="0" fontId="56" fillId="0" borderId="25" xfId="454" applyFont="1" applyBorder="1" applyAlignment="1">
      <alignment horizontal="right"/>
    </xf>
    <xf numFmtId="170" fontId="56" fillId="0" borderId="25" xfId="454" applyNumberFormat="1" applyFont="1" applyBorder="1" applyAlignment="1">
      <alignment horizontal="right"/>
    </xf>
    <xf numFmtId="49" fontId="56" fillId="0" borderId="37" xfId="454" applyNumberFormat="1" applyFont="1" applyBorder="1" applyAlignment="1">
      <alignment horizontal="right"/>
    </xf>
    <xf numFmtId="49" fontId="56" fillId="0" borderId="38" xfId="454" applyNumberFormat="1" applyFont="1" applyBorder="1" applyAlignment="1">
      <alignment horizontal="right"/>
    </xf>
    <xf numFmtId="0" fontId="57" fillId="0" borderId="39" xfId="454" applyFont="1" applyBorder="1" applyAlignment="1">
      <alignment horizontal="center"/>
    </xf>
    <xf numFmtId="0" fontId="57" fillId="0" borderId="34" xfId="454" applyFont="1" applyBorder="1" applyAlignment="1">
      <alignment horizontal="center" vertical="center" wrapText="1"/>
    </xf>
    <xf numFmtId="0" fontId="57" fillId="0" borderId="35" xfId="454" applyFont="1" applyBorder="1" applyAlignment="1">
      <alignment horizontal="center" vertical="center" wrapText="1"/>
    </xf>
    <xf numFmtId="0" fontId="57" fillId="0" borderId="35" xfId="454" applyFont="1" applyBorder="1" applyAlignment="1">
      <alignment horizontal="center" vertical="top" wrapText="1"/>
    </xf>
    <xf numFmtId="0" fontId="57" fillId="0" borderId="18" xfId="454" applyFont="1" applyBorder="1" applyAlignment="1">
      <alignment horizontal="center" vertical="top" wrapText="1"/>
    </xf>
    <xf numFmtId="0" fontId="56" fillId="0" borderId="0" xfId="456" applyFont="1" applyAlignment="1">
      <alignment horizontal="center"/>
    </xf>
    <xf numFmtId="0" fontId="7" fillId="9" borderId="0" xfId="0" applyFont="1" applyFill="1" applyBorder="1" applyAlignment="1">
      <alignment horizontal="right"/>
    </xf>
    <xf numFmtId="0" fontId="7" fillId="9" borderId="18" xfId="0" applyFont="1" applyFill="1" applyBorder="1" applyAlignment="1">
      <alignment horizontal="right"/>
    </xf>
    <xf numFmtId="0" fontId="15" fillId="0" borderId="0" xfId="452" applyAlignment="1">
      <alignment horizontal="left" vertical="center"/>
    </xf>
    <xf numFmtId="0" fontId="42" fillId="46" borderId="0" xfId="452" applyFont="1" applyFill="1"/>
    <xf numFmtId="0" fontId="0" fillId="11" borderId="19" xfId="0" applyFont="1" applyFill="1" applyBorder="1" applyAlignment="1">
      <alignment horizontal="left"/>
    </xf>
    <xf numFmtId="2" fontId="0" fillId="11" borderId="19" xfId="0" applyNumberFormat="1" applyFont="1" applyFill="1" applyBorder="1" applyAlignment="1"/>
    <xf numFmtId="2" fontId="38" fillId="11" borderId="19" xfId="0" applyNumberFormat="1" applyFont="1" applyFill="1" applyBorder="1" applyAlignment="1"/>
    <xf numFmtId="170" fontId="0" fillId="11" borderId="19" xfId="0" applyNumberFormat="1" applyFont="1" applyFill="1" applyBorder="1"/>
    <xf numFmtId="1" fontId="0" fillId="11" borderId="0" xfId="0" applyNumberFormat="1" applyFont="1" applyFill="1" applyBorder="1"/>
    <xf numFmtId="1" fontId="0" fillId="11" borderId="19" xfId="0" applyNumberFormat="1" applyFont="1" applyFill="1" applyBorder="1"/>
    <xf numFmtId="0" fontId="59" fillId="0" borderId="0" xfId="464"/>
    <xf numFmtId="171" fontId="0" fillId="11" borderId="19" xfId="0" applyNumberFormat="1" applyFont="1" applyFill="1" applyBorder="1"/>
    <xf numFmtId="0" fontId="7" fillId="7" borderId="0" xfId="0" applyFont="1" applyFill="1" applyBorder="1" applyAlignment="1">
      <alignment horizontal="right" vertical="center" wrapText="1"/>
    </xf>
    <xf numFmtId="0" fontId="7" fillId="8" borderId="0" xfId="0" applyFont="1" applyFill="1" applyBorder="1" applyAlignment="1">
      <alignment horizontal="right" vertical="center" wrapText="1"/>
    </xf>
    <xf numFmtId="0" fontId="0" fillId="47" borderId="0" xfId="0" applyFont="1" applyFill="1"/>
    <xf numFmtId="0" fontId="0" fillId="37" borderId="0" xfId="0" applyFont="1" applyFill="1"/>
    <xf numFmtId="0" fontId="7" fillId="7" borderId="0" xfId="0" applyFont="1" applyFill="1" applyBorder="1" applyAlignment="1">
      <alignment horizontal="center" vertical="center" wrapText="1"/>
    </xf>
    <xf numFmtId="0" fontId="35" fillId="9" borderId="18" xfId="0" applyFont="1" applyFill="1" applyBorder="1" applyAlignment="1">
      <alignment horizontal="right"/>
    </xf>
    <xf numFmtId="2" fontId="7" fillId="0" borderId="0" xfId="0" applyNumberFormat="1" applyFont="1" applyFill="1"/>
    <xf numFmtId="169" fontId="0" fillId="0" borderId="19" xfId="0" applyNumberFormat="1" applyFont="1" applyBorder="1"/>
    <xf numFmtId="0" fontId="61" fillId="0" borderId="0" xfId="465" applyFont="1"/>
    <xf numFmtId="172" fontId="61" fillId="0" borderId="0" xfId="465" applyNumberFormat="1" applyFont="1"/>
    <xf numFmtId="0" fontId="63" fillId="0" borderId="0" xfId="465" applyFont="1" applyAlignment="1">
      <alignment horizontal="center" vertical="center"/>
    </xf>
    <xf numFmtId="0" fontId="57" fillId="0" borderId="27" xfId="456" applyFont="1" applyBorder="1" applyAlignment="1">
      <alignment horizontal="center" vertical="center" wrapText="1"/>
    </xf>
    <xf numFmtId="0" fontId="57" fillId="0" borderId="27" xfId="452" applyFont="1" applyBorder="1" applyAlignment="1">
      <alignment horizontal="center" vertical="center" wrapText="1"/>
    </xf>
    <xf numFmtId="0" fontId="64" fillId="0" borderId="0" xfId="465" applyFont="1" applyAlignment="1">
      <alignment horizontal="center" vertical="center"/>
    </xf>
    <xf numFmtId="0" fontId="61" fillId="0" borderId="39" xfId="452" applyFont="1" applyBorder="1" applyAlignment="1">
      <alignment horizontal="left" wrapText="1"/>
    </xf>
    <xf numFmtId="0" fontId="61" fillId="0" borderId="30" xfId="452" applyFont="1" applyBorder="1" applyAlignment="1">
      <alignment horizontal="left"/>
    </xf>
    <xf numFmtId="0" fontId="61" fillId="0" borderId="30" xfId="452" applyFont="1" applyBorder="1" applyAlignment="1">
      <alignment wrapText="1"/>
    </xf>
    <xf numFmtId="0" fontId="61" fillId="0" borderId="30" xfId="452" applyFont="1" applyBorder="1" applyAlignment="1">
      <alignment horizontal="left" indent="1"/>
    </xf>
    <xf numFmtId="0" fontId="61" fillId="0" borderId="30" xfId="452" applyFont="1" applyBorder="1"/>
    <xf numFmtId="0" fontId="62" fillId="0" borderId="30" xfId="452" applyFont="1" applyBorder="1" applyAlignment="1">
      <alignment horizontal="left"/>
    </xf>
    <xf numFmtId="0" fontId="62" fillId="0" borderId="30" xfId="452" applyFont="1" applyBorder="1"/>
    <xf numFmtId="165" fontId="61" fillId="0" borderId="0" xfId="465" applyNumberFormat="1" applyFont="1"/>
    <xf numFmtId="174" fontId="61" fillId="0" borderId="0" xfId="465" applyNumberFormat="1" applyFont="1"/>
    <xf numFmtId="0" fontId="61" fillId="0" borderId="30" xfId="452" applyFont="1" applyBorder="1" applyAlignment="1">
      <alignment horizontal="left" wrapText="1" indent="1"/>
    </xf>
    <xf numFmtId="0" fontId="62" fillId="0" borderId="30" xfId="452" applyFont="1" applyBorder="1" applyAlignment="1">
      <alignment wrapText="1"/>
    </xf>
    <xf numFmtId="0" fontId="62" fillId="0" borderId="30" xfId="452" applyFont="1" applyBorder="1" applyAlignment="1">
      <alignment horizontal="left" indent="1"/>
    </xf>
    <xf numFmtId="0" fontId="61" fillId="0" borderId="30" xfId="452" applyFont="1" applyBorder="1" applyAlignment="1">
      <alignment horizontal="left" wrapText="1" indent="2"/>
    </xf>
    <xf numFmtId="0" fontId="61" fillId="0" borderId="30" xfId="452" applyFont="1" applyBorder="1" applyAlignment="1">
      <alignment horizontal="left" indent="2"/>
    </xf>
    <xf numFmtId="0" fontId="62" fillId="0" borderId="0" xfId="465" applyFont="1"/>
    <xf numFmtId="172" fontId="62" fillId="0" borderId="0" xfId="465" applyNumberFormat="1" applyFont="1"/>
    <xf numFmtId="0" fontId="62" fillId="0" borderId="30" xfId="452" applyFont="1" applyBorder="1" applyAlignment="1">
      <alignment horizontal="left" wrapText="1" indent="1"/>
    </xf>
    <xf numFmtId="0" fontId="61" fillId="0" borderId="30" xfId="456" applyFont="1" applyBorder="1" applyAlignment="1">
      <alignment horizontal="left" wrapText="1" indent="2"/>
    </xf>
    <xf numFmtId="0" fontId="62" fillId="0" borderId="28" xfId="452" applyFont="1" applyBorder="1" applyAlignment="1">
      <alignment wrapText="1"/>
    </xf>
    <xf numFmtId="170" fontId="38" fillId="11" borderId="0" xfId="0" applyNumberFormat="1" applyFont="1" applyFill="1" applyBorder="1"/>
    <xf numFmtId="165" fontId="0" fillId="11" borderId="19" xfId="0" applyNumberFormat="1" applyFont="1" applyFill="1" applyBorder="1"/>
    <xf numFmtId="172" fontId="56" fillId="0" borderId="0" xfId="0" applyNumberFormat="1" applyFont="1" applyBorder="1" applyAlignment="1">
      <alignment horizontal="right"/>
    </xf>
    <xf numFmtId="0" fontId="57" fillId="0" borderId="0" xfId="456" applyFont="1"/>
    <xf numFmtId="0" fontId="67" fillId="0" borderId="0" xfId="454" applyFont="1"/>
    <xf numFmtId="0" fontId="57" fillId="0" borderId="0" xfId="456" applyFont="1" applyAlignment="1">
      <alignment horizontal="center"/>
    </xf>
    <xf numFmtId="0" fontId="57" fillId="0" borderId="0" xfId="456" applyFont="1" applyAlignment="1">
      <alignment horizontal="center" vertical="center" wrapText="1"/>
    </xf>
    <xf numFmtId="0" fontId="67" fillId="0" borderId="0" xfId="454" applyFont="1" applyAlignment="1">
      <alignment horizontal="center" vertical="center" wrapText="1"/>
    </xf>
    <xf numFmtId="0" fontId="56" fillId="0" borderId="38" xfId="454" applyFont="1" applyBorder="1" applyAlignment="1">
      <alignment horizontal="right"/>
    </xf>
    <xf numFmtId="0" fontId="56" fillId="0" borderId="37" xfId="454" applyFont="1" applyBorder="1" applyAlignment="1">
      <alignment horizontal="right"/>
    </xf>
    <xf numFmtId="0" fontId="56" fillId="0" borderId="29" xfId="454" applyFont="1" applyBorder="1" applyAlignment="1">
      <alignment horizontal="right"/>
    </xf>
    <xf numFmtId="0" fontId="57" fillId="0" borderId="0" xfId="454" applyFont="1" applyAlignment="1">
      <alignment horizontal="center"/>
    </xf>
    <xf numFmtId="0" fontId="57" fillId="0" borderId="0" xfId="454" applyFont="1"/>
    <xf numFmtId="0" fontId="68" fillId="0" borderId="0" xfId="454" applyFont="1"/>
    <xf numFmtId="0" fontId="57" fillId="0" borderId="28" xfId="454" applyFont="1" applyBorder="1" applyAlignment="1">
      <alignment horizontal="center"/>
    </xf>
    <xf numFmtId="172" fontId="56" fillId="0" borderId="27" xfId="454" applyNumberFormat="1" applyFont="1" applyBorder="1" applyAlignment="1">
      <alignment horizontal="right"/>
    </xf>
    <xf numFmtId="0" fontId="56" fillId="0" borderId="27" xfId="454" applyFont="1" applyBorder="1" applyAlignment="1">
      <alignment horizontal="right"/>
    </xf>
    <xf numFmtId="170" fontId="56" fillId="0" borderId="26" xfId="455" applyNumberFormat="1" applyFont="1" applyBorder="1" applyAlignment="1">
      <alignment horizontal="right"/>
    </xf>
    <xf numFmtId="0" fontId="57" fillId="0" borderId="0" xfId="455" applyFont="1"/>
    <xf numFmtId="172" fontId="55" fillId="0" borderId="38" xfId="0" applyNumberFormat="1" applyFont="1" applyBorder="1" applyAlignment="1">
      <alignment horizontal="right"/>
    </xf>
    <xf numFmtId="172" fontId="55" fillId="0" borderId="37" xfId="0" applyNumberFormat="1" applyFont="1" applyBorder="1" applyAlignment="1">
      <alignment horizontal="right"/>
    </xf>
    <xf numFmtId="172" fontId="55" fillId="0" borderId="25" xfId="0" applyNumberFormat="1" applyFont="1" applyBorder="1" applyAlignment="1">
      <alignment horizontal="right"/>
    </xf>
    <xf numFmtId="172" fontId="55" fillId="0" borderId="29" xfId="0" applyNumberFormat="1" applyFont="1" applyBorder="1" applyAlignment="1">
      <alignment horizontal="right"/>
    </xf>
    <xf numFmtId="172" fontId="67" fillId="0" borderId="25" xfId="0" applyNumberFormat="1" applyFont="1" applyBorder="1" applyAlignment="1">
      <alignment horizontal="right"/>
    </xf>
    <xf numFmtId="172" fontId="67" fillId="0" borderId="29" xfId="0" applyNumberFormat="1" applyFont="1" applyBorder="1" applyAlignment="1">
      <alignment horizontal="right"/>
    </xf>
    <xf numFmtId="172" fontId="67" fillId="0" borderId="27" xfId="0" applyNumberFormat="1" applyFont="1" applyBorder="1" applyAlignment="1">
      <alignment horizontal="right"/>
    </xf>
    <xf numFmtId="172" fontId="55" fillId="0" borderId="27" xfId="0" applyNumberFormat="1" applyFont="1" applyBorder="1" applyAlignment="1">
      <alignment horizontal="right"/>
    </xf>
    <xf numFmtId="172" fontId="67" fillId="0" borderId="26" xfId="0" applyNumberFormat="1" applyFont="1" applyBorder="1" applyAlignment="1">
      <alignment horizontal="right"/>
    </xf>
    <xf numFmtId="0" fontId="57" fillId="0" borderId="33" xfId="454" applyFont="1" applyBorder="1" applyAlignment="1">
      <alignment horizontal="center" vertical="center" wrapText="1"/>
    </xf>
    <xf numFmtId="0" fontId="57" fillId="0" borderId="28" xfId="454" applyFont="1" applyBorder="1" applyAlignment="1">
      <alignment horizontal="center" vertical="center" wrapText="1"/>
    </xf>
    <xf numFmtId="0" fontId="57" fillId="0" borderId="32" xfId="454" applyFont="1" applyBorder="1" applyAlignment="1">
      <alignment horizontal="center" vertical="center" wrapText="1"/>
    </xf>
    <xf numFmtId="0" fontId="57" fillId="0" borderId="27" xfId="454" applyFont="1" applyBorder="1" applyAlignment="1">
      <alignment horizontal="center" vertical="center" wrapText="1"/>
    </xf>
    <xf numFmtId="0" fontId="57" fillId="0" borderId="31" xfId="454" applyFont="1" applyBorder="1" applyAlignment="1">
      <alignment horizontal="center" vertical="center" wrapText="1"/>
    </xf>
    <xf numFmtId="0" fontId="57" fillId="0" borderId="0" xfId="456" applyFont="1" applyAlignment="1">
      <alignment horizontal="center" vertical="center"/>
    </xf>
    <xf numFmtId="0" fontId="57" fillId="0" borderId="25" xfId="456" applyFont="1" applyBorder="1" applyAlignment="1">
      <alignment horizontal="center" vertical="center" wrapText="1"/>
    </xf>
    <xf numFmtId="0" fontId="57" fillId="0" borderId="27" xfId="456" applyFont="1" applyBorder="1" applyAlignment="1">
      <alignment horizontal="center" vertical="center" wrapText="1"/>
    </xf>
    <xf numFmtId="0" fontId="57" fillId="0" borderId="29" xfId="456" applyFont="1" applyBorder="1" applyAlignment="1">
      <alignment horizontal="center" vertical="center" wrapText="1"/>
    </xf>
    <xf numFmtId="0" fontId="57" fillId="0" borderId="26" xfId="456" applyFont="1" applyBorder="1" applyAlignment="1">
      <alignment horizontal="center" vertical="center" wrapText="1"/>
    </xf>
    <xf numFmtId="0" fontId="57" fillId="0" borderId="0" xfId="456" applyFont="1" applyAlignment="1">
      <alignment horizontal="center" vertical="center" wrapText="1"/>
    </xf>
    <xf numFmtId="0" fontId="57" fillId="0" borderId="33" xfId="456" applyFont="1" applyBorder="1" applyAlignment="1">
      <alignment horizontal="center" vertical="center" wrapText="1"/>
    </xf>
    <xf numFmtId="0" fontId="57" fillId="0" borderId="30" xfId="456" applyFont="1" applyBorder="1" applyAlignment="1">
      <alignment horizontal="center" vertical="center" wrapText="1"/>
    </xf>
    <xf numFmtId="0" fontId="57" fillId="0" borderId="28" xfId="456" applyFont="1" applyBorder="1" applyAlignment="1">
      <alignment horizontal="center" vertical="center" wrapText="1"/>
    </xf>
    <xf numFmtId="0" fontId="57" fillId="0" borderId="32" xfId="456" applyFont="1" applyBorder="1" applyAlignment="1">
      <alignment horizontal="center" vertical="center" wrapText="1"/>
    </xf>
    <xf numFmtId="0" fontId="67" fillId="0" borderId="25" xfId="454" applyFont="1" applyBorder="1" applyAlignment="1">
      <alignment horizontal="center" vertical="center" wrapText="1"/>
    </xf>
    <xf numFmtId="0" fontId="67" fillId="0" borderId="27" xfId="454" applyFont="1" applyBorder="1" applyAlignment="1">
      <alignment horizontal="center" vertical="center" wrapText="1"/>
    </xf>
    <xf numFmtId="0" fontId="57" fillId="0" borderId="31" xfId="456" applyFont="1" applyBorder="1" applyAlignment="1">
      <alignment horizontal="center" vertical="center" wrapText="1"/>
    </xf>
    <xf numFmtId="0" fontId="57" fillId="0" borderId="41" xfId="456" applyFont="1" applyBorder="1" applyAlignment="1">
      <alignment horizontal="center" vertical="center" wrapText="1"/>
    </xf>
    <xf numFmtId="0" fontId="57" fillId="0" borderId="35" xfId="456" applyFont="1" applyBorder="1" applyAlignment="1">
      <alignment horizontal="center" vertical="center" wrapText="1"/>
    </xf>
    <xf numFmtId="0" fontId="57" fillId="0" borderId="45" xfId="456" applyFont="1" applyBorder="1" applyAlignment="1">
      <alignment horizontal="center" vertical="center" wrapText="1"/>
    </xf>
    <xf numFmtId="0" fontId="57" fillId="0" borderId="34" xfId="456" applyFont="1" applyBorder="1" applyAlignment="1">
      <alignment horizontal="center" vertical="center" wrapText="1"/>
    </xf>
    <xf numFmtId="0" fontId="62" fillId="0" borderId="0" xfId="452" applyFont="1" applyAlignment="1">
      <alignment horizontal="left"/>
    </xf>
    <xf numFmtId="0" fontId="61" fillId="0" borderId="18" xfId="452" applyFont="1" applyBorder="1" applyAlignment="1">
      <alignment horizontal="left"/>
    </xf>
    <xf numFmtId="0" fontId="57" fillId="0" borderId="40" xfId="456" applyFont="1" applyBorder="1" applyAlignment="1">
      <alignment horizontal="center" vertical="center"/>
    </xf>
    <xf numFmtId="0" fontId="57" fillId="0" borderId="36" xfId="456" applyFont="1" applyBorder="1" applyAlignment="1">
      <alignment horizontal="center" vertical="center"/>
    </xf>
    <xf numFmtId="0" fontId="57" fillId="0" borderId="42" xfId="456" applyFont="1" applyBorder="1" applyAlignment="1">
      <alignment horizontal="center" vertical="center"/>
    </xf>
    <xf numFmtId="0" fontId="57" fillId="0" borderId="43" xfId="456" applyFont="1" applyBorder="1" applyAlignment="1">
      <alignment horizontal="center" vertical="center"/>
    </xf>
    <xf numFmtId="0" fontId="57" fillId="0" borderId="44" xfId="456" applyFont="1" applyBorder="1" applyAlignment="1">
      <alignment horizontal="center" vertical="center"/>
    </xf>
  </cellXfs>
  <cellStyles count="466">
    <cellStyle name="20% - Colore 1" xfId="2" xr:uid="{00000000-0005-0000-0000-000000000000}"/>
    <cellStyle name="20% - Colore 2" xfId="3" xr:uid="{00000000-0005-0000-0000-000001000000}"/>
    <cellStyle name="20% - Colore 3" xfId="4" xr:uid="{00000000-0005-0000-0000-000002000000}"/>
    <cellStyle name="20% - Colore 4" xfId="5" xr:uid="{00000000-0005-0000-0000-000003000000}"/>
    <cellStyle name="20% - Colore 5" xfId="6" xr:uid="{00000000-0005-0000-0000-000004000000}"/>
    <cellStyle name="20% - Colore 6" xfId="7" xr:uid="{00000000-0005-0000-0000-000005000000}"/>
    <cellStyle name="40% - Colore 1" xfId="8" xr:uid="{00000000-0005-0000-0000-000006000000}"/>
    <cellStyle name="40% - Colore 2" xfId="9" xr:uid="{00000000-0005-0000-0000-000007000000}"/>
    <cellStyle name="40% - Colore 3" xfId="10" xr:uid="{00000000-0005-0000-0000-000008000000}"/>
    <cellStyle name="40% - Colore 4" xfId="11" xr:uid="{00000000-0005-0000-0000-000009000000}"/>
    <cellStyle name="40% - Colore 5" xfId="12" xr:uid="{00000000-0005-0000-0000-00000A000000}"/>
    <cellStyle name="40% - Colore 6" xfId="13" xr:uid="{00000000-0005-0000-0000-00000B000000}"/>
    <cellStyle name="60% - Colore 1" xfId="14" xr:uid="{00000000-0005-0000-0000-00000C000000}"/>
    <cellStyle name="60% - Colore 2" xfId="15" xr:uid="{00000000-0005-0000-0000-00000D000000}"/>
    <cellStyle name="60% - Colore 3" xfId="16" xr:uid="{00000000-0005-0000-0000-00000E000000}"/>
    <cellStyle name="60% - Colore 4" xfId="17" xr:uid="{00000000-0005-0000-0000-00000F000000}"/>
    <cellStyle name="60% - Colore 5" xfId="18" xr:uid="{00000000-0005-0000-0000-000010000000}"/>
    <cellStyle name="60% - Colore 6" xfId="19" xr:uid="{00000000-0005-0000-0000-000011000000}"/>
    <cellStyle name="Bad" xfId="1" builtinId="27"/>
    <cellStyle name="Bad 2" xfId="20" xr:uid="{00000000-0005-0000-0000-000013000000}"/>
    <cellStyle name="Bad 3" xfId="460" xr:uid="{3A7B9676-13E2-44BF-AEF4-380568865C30}"/>
    <cellStyle name="Calcolo" xfId="21" xr:uid="{00000000-0005-0000-0000-000014000000}"/>
    <cellStyle name="Calculation 2" xfId="22" xr:uid="{00000000-0005-0000-0000-000015000000}"/>
    <cellStyle name="Cella collegata" xfId="23" xr:uid="{00000000-0005-0000-0000-000016000000}"/>
    <cellStyle name="Cella da controllare" xfId="24" xr:uid="{00000000-0005-0000-0000-000017000000}"/>
    <cellStyle name="Colore 1" xfId="25" xr:uid="{00000000-0005-0000-0000-000018000000}"/>
    <cellStyle name="Colore 2" xfId="26" xr:uid="{00000000-0005-0000-0000-000019000000}"/>
    <cellStyle name="Colore 3" xfId="27" xr:uid="{00000000-0005-0000-0000-00001A000000}"/>
    <cellStyle name="Colore 4" xfId="28" xr:uid="{00000000-0005-0000-0000-00001B000000}"/>
    <cellStyle name="Colore 5" xfId="29" xr:uid="{00000000-0005-0000-0000-00001C000000}"/>
    <cellStyle name="Colore 6" xfId="30" xr:uid="{00000000-0005-0000-0000-00001D000000}"/>
    <cellStyle name="Comma 3" xfId="462" xr:uid="{39C48387-9226-4648-AEE2-6C4402BCC1FB}"/>
    <cellStyle name="Comma0 - Type3" xfId="31" xr:uid="{00000000-0005-0000-0000-00001F000000}"/>
    <cellStyle name="Euro" xfId="32" xr:uid="{00000000-0005-0000-0000-000020000000}"/>
    <cellStyle name="Euro 10" xfId="33" xr:uid="{00000000-0005-0000-0000-000021000000}"/>
    <cellStyle name="Euro 11" xfId="34" xr:uid="{00000000-0005-0000-0000-000022000000}"/>
    <cellStyle name="Euro 12" xfId="35" xr:uid="{00000000-0005-0000-0000-000023000000}"/>
    <cellStyle name="Euro 13" xfId="36" xr:uid="{00000000-0005-0000-0000-000024000000}"/>
    <cellStyle name="Euro 14" xfId="37" xr:uid="{00000000-0005-0000-0000-000025000000}"/>
    <cellStyle name="Euro 15" xfId="38" xr:uid="{00000000-0005-0000-0000-000026000000}"/>
    <cellStyle name="Euro 16" xfId="39" xr:uid="{00000000-0005-0000-0000-000027000000}"/>
    <cellStyle name="Euro 17" xfId="40" xr:uid="{00000000-0005-0000-0000-000028000000}"/>
    <cellStyle name="Euro 18" xfId="41" xr:uid="{00000000-0005-0000-0000-000029000000}"/>
    <cellStyle name="Euro 19" xfId="42" xr:uid="{00000000-0005-0000-0000-00002A000000}"/>
    <cellStyle name="Euro 2" xfId="43" xr:uid="{00000000-0005-0000-0000-00002B000000}"/>
    <cellStyle name="Euro 20" xfId="44" xr:uid="{00000000-0005-0000-0000-00002C000000}"/>
    <cellStyle name="Euro 21" xfId="45" xr:uid="{00000000-0005-0000-0000-00002D000000}"/>
    <cellStyle name="Euro 22" xfId="46" xr:uid="{00000000-0005-0000-0000-00002E000000}"/>
    <cellStyle name="Euro 23" xfId="47" xr:uid="{00000000-0005-0000-0000-00002F000000}"/>
    <cellStyle name="Euro 24" xfId="48" xr:uid="{00000000-0005-0000-0000-000030000000}"/>
    <cellStyle name="Euro 25" xfId="49" xr:uid="{00000000-0005-0000-0000-000031000000}"/>
    <cellStyle name="Euro 26" xfId="50" xr:uid="{00000000-0005-0000-0000-000032000000}"/>
    <cellStyle name="Euro 27" xfId="51" xr:uid="{00000000-0005-0000-0000-000033000000}"/>
    <cellStyle name="Euro 28" xfId="52" xr:uid="{00000000-0005-0000-0000-000034000000}"/>
    <cellStyle name="Euro 29" xfId="53" xr:uid="{00000000-0005-0000-0000-000035000000}"/>
    <cellStyle name="Euro 3" xfId="54" xr:uid="{00000000-0005-0000-0000-000036000000}"/>
    <cellStyle name="Euro 30" xfId="55" xr:uid="{00000000-0005-0000-0000-000037000000}"/>
    <cellStyle name="Euro 31" xfId="56" xr:uid="{00000000-0005-0000-0000-000038000000}"/>
    <cellStyle name="Euro 32" xfId="57" xr:uid="{00000000-0005-0000-0000-000039000000}"/>
    <cellStyle name="Euro 33" xfId="58" xr:uid="{00000000-0005-0000-0000-00003A000000}"/>
    <cellStyle name="Euro 34" xfId="59" xr:uid="{00000000-0005-0000-0000-00003B000000}"/>
    <cellStyle name="Euro 35" xfId="60" xr:uid="{00000000-0005-0000-0000-00003C000000}"/>
    <cellStyle name="Euro 36" xfId="61" xr:uid="{00000000-0005-0000-0000-00003D000000}"/>
    <cellStyle name="Euro 37" xfId="62" xr:uid="{00000000-0005-0000-0000-00003E000000}"/>
    <cellStyle name="Euro 38" xfId="63" xr:uid="{00000000-0005-0000-0000-00003F000000}"/>
    <cellStyle name="Euro 39" xfId="64" xr:uid="{00000000-0005-0000-0000-000040000000}"/>
    <cellStyle name="Euro 4" xfId="65" xr:uid="{00000000-0005-0000-0000-000041000000}"/>
    <cellStyle name="Euro 40" xfId="66" xr:uid="{00000000-0005-0000-0000-000042000000}"/>
    <cellStyle name="Euro 41" xfId="67" xr:uid="{00000000-0005-0000-0000-000043000000}"/>
    <cellStyle name="Euro 42" xfId="68" xr:uid="{00000000-0005-0000-0000-000044000000}"/>
    <cellStyle name="Euro 43" xfId="69" xr:uid="{00000000-0005-0000-0000-000045000000}"/>
    <cellStyle name="Euro 44" xfId="70" xr:uid="{00000000-0005-0000-0000-000046000000}"/>
    <cellStyle name="Euro 5" xfId="71" xr:uid="{00000000-0005-0000-0000-000047000000}"/>
    <cellStyle name="Euro 6" xfId="72" xr:uid="{00000000-0005-0000-0000-000048000000}"/>
    <cellStyle name="Euro 7" xfId="73" xr:uid="{00000000-0005-0000-0000-000049000000}"/>
    <cellStyle name="Euro 8" xfId="74" xr:uid="{00000000-0005-0000-0000-00004A000000}"/>
    <cellStyle name="Euro 9" xfId="75" xr:uid="{00000000-0005-0000-0000-00004B000000}"/>
    <cellStyle name="Fixed2 - Type2" xfId="76" xr:uid="{00000000-0005-0000-0000-00004C000000}"/>
    <cellStyle name="Input 2" xfId="77" xr:uid="{00000000-0005-0000-0000-00004E000000}"/>
    <cellStyle name="Migliaia [0] 10" xfId="78" xr:uid="{00000000-0005-0000-0000-00004F000000}"/>
    <cellStyle name="Migliaia [0] 11" xfId="79" xr:uid="{00000000-0005-0000-0000-000050000000}"/>
    <cellStyle name="Migliaia [0] 12" xfId="80" xr:uid="{00000000-0005-0000-0000-000051000000}"/>
    <cellStyle name="Migliaia [0] 13" xfId="81" xr:uid="{00000000-0005-0000-0000-000052000000}"/>
    <cellStyle name="Migliaia [0] 14" xfId="82" xr:uid="{00000000-0005-0000-0000-000053000000}"/>
    <cellStyle name="Migliaia [0] 15" xfId="83" xr:uid="{00000000-0005-0000-0000-000054000000}"/>
    <cellStyle name="Migliaia [0] 16" xfId="84" xr:uid="{00000000-0005-0000-0000-000055000000}"/>
    <cellStyle name="Migliaia [0] 17" xfId="85" xr:uid="{00000000-0005-0000-0000-000056000000}"/>
    <cellStyle name="Migliaia [0] 18" xfId="86" xr:uid="{00000000-0005-0000-0000-000057000000}"/>
    <cellStyle name="Migliaia [0] 19" xfId="87" xr:uid="{00000000-0005-0000-0000-000058000000}"/>
    <cellStyle name="Migliaia [0] 2" xfId="88" xr:uid="{00000000-0005-0000-0000-000059000000}"/>
    <cellStyle name="Migliaia [0] 20" xfId="89" xr:uid="{00000000-0005-0000-0000-00005A000000}"/>
    <cellStyle name="Migliaia [0] 21" xfId="90" xr:uid="{00000000-0005-0000-0000-00005B000000}"/>
    <cellStyle name="Migliaia [0] 22" xfId="91" xr:uid="{00000000-0005-0000-0000-00005C000000}"/>
    <cellStyle name="Migliaia [0] 23" xfId="92" xr:uid="{00000000-0005-0000-0000-00005D000000}"/>
    <cellStyle name="Migliaia [0] 24" xfId="93" xr:uid="{00000000-0005-0000-0000-00005E000000}"/>
    <cellStyle name="Migliaia [0] 25" xfId="94" xr:uid="{00000000-0005-0000-0000-00005F000000}"/>
    <cellStyle name="Migliaia [0] 26" xfId="95" xr:uid="{00000000-0005-0000-0000-000060000000}"/>
    <cellStyle name="Migliaia [0] 27" xfId="96" xr:uid="{00000000-0005-0000-0000-000061000000}"/>
    <cellStyle name="Migliaia [0] 28" xfId="97" xr:uid="{00000000-0005-0000-0000-000062000000}"/>
    <cellStyle name="Migliaia [0] 29" xfId="98" xr:uid="{00000000-0005-0000-0000-000063000000}"/>
    <cellStyle name="Migliaia [0] 3" xfId="99" xr:uid="{00000000-0005-0000-0000-000064000000}"/>
    <cellStyle name="Migliaia [0] 30" xfId="100" xr:uid="{00000000-0005-0000-0000-000065000000}"/>
    <cellStyle name="Migliaia [0] 31" xfId="101" xr:uid="{00000000-0005-0000-0000-000066000000}"/>
    <cellStyle name="Migliaia [0] 32" xfId="102" xr:uid="{00000000-0005-0000-0000-000067000000}"/>
    <cellStyle name="Migliaia [0] 33" xfId="103" xr:uid="{00000000-0005-0000-0000-000068000000}"/>
    <cellStyle name="Migliaia [0] 34" xfId="104" xr:uid="{00000000-0005-0000-0000-000069000000}"/>
    <cellStyle name="Migliaia [0] 35" xfId="105" xr:uid="{00000000-0005-0000-0000-00006A000000}"/>
    <cellStyle name="Migliaia [0] 36" xfId="106" xr:uid="{00000000-0005-0000-0000-00006B000000}"/>
    <cellStyle name="Migliaia [0] 37" xfId="107" xr:uid="{00000000-0005-0000-0000-00006C000000}"/>
    <cellStyle name="Migliaia [0] 38" xfId="108" xr:uid="{00000000-0005-0000-0000-00006D000000}"/>
    <cellStyle name="Migliaia [0] 39" xfId="109" xr:uid="{00000000-0005-0000-0000-00006E000000}"/>
    <cellStyle name="Migliaia [0] 4" xfId="110" xr:uid="{00000000-0005-0000-0000-00006F000000}"/>
    <cellStyle name="Migliaia [0] 40" xfId="111" xr:uid="{00000000-0005-0000-0000-000070000000}"/>
    <cellStyle name="Migliaia [0] 41" xfId="112" xr:uid="{00000000-0005-0000-0000-000071000000}"/>
    <cellStyle name="Migliaia [0] 42" xfId="113" xr:uid="{00000000-0005-0000-0000-000072000000}"/>
    <cellStyle name="Migliaia [0] 43" xfId="114" xr:uid="{00000000-0005-0000-0000-000073000000}"/>
    <cellStyle name="Migliaia [0] 44" xfId="115" xr:uid="{00000000-0005-0000-0000-000074000000}"/>
    <cellStyle name="Migliaia [0] 45" xfId="116" xr:uid="{00000000-0005-0000-0000-000075000000}"/>
    <cellStyle name="Migliaia [0] 46" xfId="117" xr:uid="{00000000-0005-0000-0000-000076000000}"/>
    <cellStyle name="Migliaia [0] 47" xfId="118" xr:uid="{00000000-0005-0000-0000-000077000000}"/>
    <cellStyle name="Migliaia [0] 48" xfId="119" xr:uid="{00000000-0005-0000-0000-000078000000}"/>
    <cellStyle name="Migliaia [0] 49" xfId="120" xr:uid="{00000000-0005-0000-0000-000079000000}"/>
    <cellStyle name="Migliaia [0] 5" xfId="121" xr:uid="{00000000-0005-0000-0000-00007A000000}"/>
    <cellStyle name="Migliaia [0] 50" xfId="122" xr:uid="{00000000-0005-0000-0000-00007B000000}"/>
    <cellStyle name="Migliaia [0] 51" xfId="123" xr:uid="{00000000-0005-0000-0000-00007C000000}"/>
    <cellStyle name="Migliaia [0] 52" xfId="124" xr:uid="{00000000-0005-0000-0000-00007D000000}"/>
    <cellStyle name="Migliaia [0] 53" xfId="125" xr:uid="{00000000-0005-0000-0000-00007E000000}"/>
    <cellStyle name="Migliaia [0] 54" xfId="126" xr:uid="{00000000-0005-0000-0000-00007F000000}"/>
    <cellStyle name="Migliaia [0] 55" xfId="127" xr:uid="{00000000-0005-0000-0000-000080000000}"/>
    <cellStyle name="Migliaia [0] 56" xfId="128" xr:uid="{00000000-0005-0000-0000-000081000000}"/>
    <cellStyle name="Migliaia [0] 57" xfId="129" xr:uid="{00000000-0005-0000-0000-000082000000}"/>
    <cellStyle name="Migliaia [0] 58" xfId="130" xr:uid="{00000000-0005-0000-0000-000083000000}"/>
    <cellStyle name="Migliaia [0] 59" xfId="131" xr:uid="{00000000-0005-0000-0000-000084000000}"/>
    <cellStyle name="Migliaia [0] 6" xfId="132" xr:uid="{00000000-0005-0000-0000-000085000000}"/>
    <cellStyle name="Migliaia [0] 7" xfId="133" xr:uid="{00000000-0005-0000-0000-000086000000}"/>
    <cellStyle name="Migliaia [0] 8" xfId="134" xr:uid="{00000000-0005-0000-0000-000087000000}"/>
    <cellStyle name="Migliaia [0] 9" xfId="135" xr:uid="{00000000-0005-0000-0000-000088000000}"/>
    <cellStyle name="Migliaia 10" xfId="136" xr:uid="{00000000-0005-0000-0000-000089000000}"/>
    <cellStyle name="Migliaia 11" xfId="137" xr:uid="{00000000-0005-0000-0000-00008A000000}"/>
    <cellStyle name="Migliaia 12" xfId="138" xr:uid="{00000000-0005-0000-0000-00008B000000}"/>
    <cellStyle name="Migliaia 13" xfId="139" xr:uid="{00000000-0005-0000-0000-00008C000000}"/>
    <cellStyle name="Migliaia 14" xfId="140" xr:uid="{00000000-0005-0000-0000-00008D000000}"/>
    <cellStyle name="Migliaia 15" xfId="141" xr:uid="{00000000-0005-0000-0000-00008E000000}"/>
    <cellStyle name="Migliaia 16" xfId="142" xr:uid="{00000000-0005-0000-0000-00008F000000}"/>
    <cellStyle name="Migliaia 17" xfId="143" xr:uid="{00000000-0005-0000-0000-000090000000}"/>
    <cellStyle name="Migliaia 18" xfId="144" xr:uid="{00000000-0005-0000-0000-000091000000}"/>
    <cellStyle name="Migliaia 19" xfId="145" xr:uid="{00000000-0005-0000-0000-000092000000}"/>
    <cellStyle name="Migliaia 2" xfId="146" xr:uid="{00000000-0005-0000-0000-000093000000}"/>
    <cellStyle name="Migliaia 2 2" xfId="147" xr:uid="{00000000-0005-0000-0000-000094000000}"/>
    <cellStyle name="Migliaia 2 3" xfId="148" xr:uid="{00000000-0005-0000-0000-000095000000}"/>
    <cellStyle name="Migliaia 2_Domestico_reg&amp;naz" xfId="149" xr:uid="{00000000-0005-0000-0000-000096000000}"/>
    <cellStyle name="Migliaia 20" xfId="150" xr:uid="{00000000-0005-0000-0000-000097000000}"/>
    <cellStyle name="Migliaia 21" xfId="151" xr:uid="{00000000-0005-0000-0000-000098000000}"/>
    <cellStyle name="Migliaia 22" xfId="152" xr:uid="{00000000-0005-0000-0000-000099000000}"/>
    <cellStyle name="Migliaia 23" xfId="153" xr:uid="{00000000-0005-0000-0000-00009A000000}"/>
    <cellStyle name="Migliaia 24" xfId="154" xr:uid="{00000000-0005-0000-0000-00009B000000}"/>
    <cellStyle name="Migliaia 25" xfId="155" xr:uid="{00000000-0005-0000-0000-00009C000000}"/>
    <cellStyle name="Migliaia 26" xfId="156" xr:uid="{00000000-0005-0000-0000-00009D000000}"/>
    <cellStyle name="Migliaia 27" xfId="157" xr:uid="{00000000-0005-0000-0000-00009E000000}"/>
    <cellStyle name="Migliaia 28" xfId="158" xr:uid="{00000000-0005-0000-0000-00009F000000}"/>
    <cellStyle name="Migliaia 29" xfId="159" xr:uid="{00000000-0005-0000-0000-0000A0000000}"/>
    <cellStyle name="Migliaia 3" xfId="160" xr:uid="{00000000-0005-0000-0000-0000A1000000}"/>
    <cellStyle name="Migliaia 30" xfId="161" xr:uid="{00000000-0005-0000-0000-0000A2000000}"/>
    <cellStyle name="Migliaia 31" xfId="162" xr:uid="{00000000-0005-0000-0000-0000A3000000}"/>
    <cellStyle name="Migliaia 32" xfId="163" xr:uid="{00000000-0005-0000-0000-0000A4000000}"/>
    <cellStyle name="Migliaia 33" xfId="164" xr:uid="{00000000-0005-0000-0000-0000A5000000}"/>
    <cellStyle name="Migliaia 34" xfId="165" xr:uid="{00000000-0005-0000-0000-0000A6000000}"/>
    <cellStyle name="Migliaia 35" xfId="166" xr:uid="{00000000-0005-0000-0000-0000A7000000}"/>
    <cellStyle name="Migliaia 36" xfId="167" xr:uid="{00000000-0005-0000-0000-0000A8000000}"/>
    <cellStyle name="Migliaia 37" xfId="168" xr:uid="{00000000-0005-0000-0000-0000A9000000}"/>
    <cellStyle name="Migliaia 38" xfId="169" xr:uid="{00000000-0005-0000-0000-0000AA000000}"/>
    <cellStyle name="Migliaia 39" xfId="170" xr:uid="{00000000-0005-0000-0000-0000AB000000}"/>
    <cellStyle name="Migliaia 4" xfId="171" xr:uid="{00000000-0005-0000-0000-0000AC000000}"/>
    <cellStyle name="Migliaia 40" xfId="172" xr:uid="{00000000-0005-0000-0000-0000AD000000}"/>
    <cellStyle name="Migliaia 41" xfId="173" xr:uid="{00000000-0005-0000-0000-0000AE000000}"/>
    <cellStyle name="Migliaia 42" xfId="174" xr:uid="{00000000-0005-0000-0000-0000AF000000}"/>
    <cellStyle name="Migliaia 43" xfId="175" xr:uid="{00000000-0005-0000-0000-0000B0000000}"/>
    <cellStyle name="Migliaia 44" xfId="176" xr:uid="{00000000-0005-0000-0000-0000B1000000}"/>
    <cellStyle name="Migliaia 45" xfId="177" xr:uid="{00000000-0005-0000-0000-0000B2000000}"/>
    <cellStyle name="Migliaia 46" xfId="178" xr:uid="{00000000-0005-0000-0000-0000B3000000}"/>
    <cellStyle name="Migliaia 47" xfId="179" xr:uid="{00000000-0005-0000-0000-0000B4000000}"/>
    <cellStyle name="Migliaia 48" xfId="180" xr:uid="{00000000-0005-0000-0000-0000B5000000}"/>
    <cellStyle name="Migliaia 49" xfId="181" xr:uid="{00000000-0005-0000-0000-0000B6000000}"/>
    <cellStyle name="Migliaia 5" xfId="182" xr:uid="{00000000-0005-0000-0000-0000B7000000}"/>
    <cellStyle name="Migliaia 50" xfId="183" xr:uid="{00000000-0005-0000-0000-0000B8000000}"/>
    <cellStyle name="Migliaia 51" xfId="184" xr:uid="{00000000-0005-0000-0000-0000B9000000}"/>
    <cellStyle name="Migliaia 52" xfId="185" xr:uid="{00000000-0005-0000-0000-0000BA000000}"/>
    <cellStyle name="Migliaia 53" xfId="186" xr:uid="{00000000-0005-0000-0000-0000BB000000}"/>
    <cellStyle name="Migliaia 54" xfId="187" xr:uid="{00000000-0005-0000-0000-0000BC000000}"/>
    <cellStyle name="Migliaia 55" xfId="188" xr:uid="{00000000-0005-0000-0000-0000BD000000}"/>
    <cellStyle name="Migliaia 56" xfId="189" xr:uid="{00000000-0005-0000-0000-0000BE000000}"/>
    <cellStyle name="Migliaia 57" xfId="190" xr:uid="{00000000-0005-0000-0000-0000BF000000}"/>
    <cellStyle name="Migliaia 58" xfId="191" xr:uid="{00000000-0005-0000-0000-0000C0000000}"/>
    <cellStyle name="Migliaia 59" xfId="192" xr:uid="{00000000-0005-0000-0000-0000C1000000}"/>
    <cellStyle name="Migliaia 6" xfId="193" xr:uid="{00000000-0005-0000-0000-0000C2000000}"/>
    <cellStyle name="Migliaia 60" xfId="194" xr:uid="{00000000-0005-0000-0000-0000C3000000}"/>
    <cellStyle name="Migliaia 61" xfId="195" xr:uid="{00000000-0005-0000-0000-0000C4000000}"/>
    <cellStyle name="Migliaia 7" xfId="196" xr:uid="{00000000-0005-0000-0000-0000C5000000}"/>
    <cellStyle name="Migliaia 8" xfId="197" xr:uid="{00000000-0005-0000-0000-0000C6000000}"/>
    <cellStyle name="Migliaia 9" xfId="198" xr:uid="{00000000-0005-0000-0000-0000C7000000}"/>
    <cellStyle name="Neutrale" xfId="199" xr:uid="{00000000-0005-0000-0000-0000C8000000}"/>
    <cellStyle name="Normal" xfId="0" builtinId="0"/>
    <cellStyle name="Normal 10" xfId="450" xr:uid="{00000000-0005-0000-0000-0000CA000000}"/>
    <cellStyle name="Normal 10 2" xfId="451" xr:uid="{00000000-0005-0000-0000-0000CB000000}"/>
    <cellStyle name="Normal 11" xfId="454" xr:uid="{5AEA0AF5-3ECD-4C89-AB7F-796125AB742D}"/>
    <cellStyle name="Normal 12" xfId="457" xr:uid="{71661FAB-0724-4BF8-AD03-F01C1120F904}"/>
    <cellStyle name="Normal 13" xfId="461" xr:uid="{477356E5-3D83-4B6A-81B0-795139580A2C}"/>
    <cellStyle name="Normal 14" xfId="464" xr:uid="{B04A494A-7D0C-4531-AAE3-1217358E2B42}"/>
    <cellStyle name="Normal 15" xfId="465" xr:uid="{2128DAA0-BF1B-4DDE-91E4-DE2656038498}"/>
    <cellStyle name="Normal 2" xfId="200" xr:uid="{00000000-0005-0000-0000-0000CC000000}"/>
    <cellStyle name="Normal 2 2" xfId="201" xr:uid="{00000000-0005-0000-0000-0000CD000000}"/>
    <cellStyle name="Normal 2 2 2" xfId="446" xr:uid="{00000000-0005-0000-0000-0000CE000000}"/>
    <cellStyle name="Normal 2 3" xfId="456" xr:uid="{A73ADF02-B55E-427B-947B-148ADC5885CA}"/>
    <cellStyle name="Normal 2 4" xfId="459" xr:uid="{6E476880-274E-4418-9EA0-23FCD65CA890}"/>
    <cellStyle name="Normal 3" xfId="202" xr:uid="{00000000-0005-0000-0000-0000CF000000}"/>
    <cellStyle name="Normal 3 2" xfId="203" xr:uid="{00000000-0005-0000-0000-0000D0000000}"/>
    <cellStyle name="Normal 3 2 2" xfId="448" xr:uid="{00000000-0005-0000-0000-0000D1000000}"/>
    <cellStyle name="Normal 3 3" xfId="447" xr:uid="{00000000-0005-0000-0000-0000D2000000}"/>
    <cellStyle name="Normal 3 4" xfId="452" xr:uid="{657AA1F3-7539-4B16-8CBD-41B2EA82A291}"/>
    <cellStyle name="Normal 4" xfId="204" xr:uid="{00000000-0005-0000-0000-0000D3000000}"/>
    <cellStyle name="Normal 4 2" xfId="205" xr:uid="{00000000-0005-0000-0000-0000D4000000}"/>
    <cellStyle name="Normal 5" xfId="206" xr:uid="{00000000-0005-0000-0000-0000D5000000}"/>
    <cellStyle name="Normal 5 2" xfId="207" xr:uid="{00000000-0005-0000-0000-0000D6000000}"/>
    <cellStyle name="Normal 5 2 2" xfId="208" xr:uid="{00000000-0005-0000-0000-0000D7000000}"/>
    <cellStyle name="Normal 5 2 2 2" xfId="209" xr:uid="{00000000-0005-0000-0000-0000D8000000}"/>
    <cellStyle name="Normal 6" xfId="210" xr:uid="{00000000-0005-0000-0000-0000D9000000}"/>
    <cellStyle name="Normal 6 2" xfId="449" xr:uid="{00000000-0005-0000-0000-0000DA000000}"/>
    <cellStyle name="Normal 6 3" xfId="463" xr:uid="{4C1B04C4-B0B5-4A6D-87E4-06236ECFB5C9}"/>
    <cellStyle name="Normal 7" xfId="211" xr:uid="{00000000-0005-0000-0000-0000DB000000}"/>
    <cellStyle name="Normal 7 2" xfId="212" xr:uid="{00000000-0005-0000-0000-0000DC000000}"/>
    <cellStyle name="Normal 8" xfId="213" xr:uid="{00000000-0005-0000-0000-0000DD000000}"/>
    <cellStyle name="Normal 9" xfId="214" xr:uid="{00000000-0005-0000-0000-0000DE000000}"/>
    <cellStyle name="Normal_Book1" xfId="455" xr:uid="{FE19ECDB-D827-4683-ACAD-4D0594B7BC7C}"/>
    <cellStyle name="Normale 10" xfId="215" xr:uid="{00000000-0005-0000-0000-0000DF000000}"/>
    <cellStyle name="Normale 10 2" xfId="216" xr:uid="{00000000-0005-0000-0000-0000E0000000}"/>
    <cellStyle name="Normale 10 3" xfId="217" xr:uid="{00000000-0005-0000-0000-0000E1000000}"/>
    <cellStyle name="Normale 10_EDEN industria 2008 rev" xfId="218" xr:uid="{00000000-0005-0000-0000-0000E2000000}"/>
    <cellStyle name="Normale 11" xfId="219" xr:uid="{00000000-0005-0000-0000-0000E3000000}"/>
    <cellStyle name="Normale 11 2" xfId="220" xr:uid="{00000000-0005-0000-0000-0000E4000000}"/>
    <cellStyle name="Normale 11 3" xfId="221" xr:uid="{00000000-0005-0000-0000-0000E5000000}"/>
    <cellStyle name="Normale 11_EDEN industria 2008 rev" xfId="222" xr:uid="{00000000-0005-0000-0000-0000E6000000}"/>
    <cellStyle name="Normale 12" xfId="223" xr:uid="{00000000-0005-0000-0000-0000E7000000}"/>
    <cellStyle name="Normale 12 2" xfId="224" xr:uid="{00000000-0005-0000-0000-0000E8000000}"/>
    <cellStyle name="Normale 12 3" xfId="225" xr:uid="{00000000-0005-0000-0000-0000E9000000}"/>
    <cellStyle name="Normale 12_EDEN industria 2008 rev" xfId="226" xr:uid="{00000000-0005-0000-0000-0000EA000000}"/>
    <cellStyle name="Normale 13" xfId="227" xr:uid="{00000000-0005-0000-0000-0000EB000000}"/>
    <cellStyle name="Normale 13 2" xfId="228" xr:uid="{00000000-0005-0000-0000-0000EC000000}"/>
    <cellStyle name="Normale 13 3" xfId="229" xr:uid="{00000000-0005-0000-0000-0000ED000000}"/>
    <cellStyle name="Normale 13_EDEN industria 2008 rev" xfId="230" xr:uid="{00000000-0005-0000-0000-0000EE000000}"/>
    <cellStyle name="Normale 14" xfId="231" xr:uid="{00000000-0005-0000-0000-0000EF000000}"/>
    <cellStyle name="Normale 14 2" xfId="232" xr:uid="{00000000-0005-0000-0000-0000F0000000}"/>
    <cellStyle name="Normale 14 3" xfId="233" xr:uid="{00000000-0005-0000-0000-0000F1000000}"/>
    <cellStyle name="Normale 14_EDEN industria 2008 rev" xfId="234" xr:uid="{00000000-0005-0000-0000-0000F2000000}"/>
    <cellStyle name="Normale 15" xfId="235" xr:uid="{00000000-0005-0000-0000-0000F3000000}"/>
    <cellStyle name="Normale 15 2" xfId="236" xr:uid="{00000000-0005-0000-0000-0000F4000000}"/>
    <cellStyle name="Normale 15 3" xfId="237" xr:uid="{00000000-0005-0000-0000-0000F5000000}"/>
    <cellStyle name="Normale 15_EDEN industria 2008 rev" xfId="238" xr:uid="{00000000-0005-0000-0000-0000F6000000}"/>
    <cellStyle name="Normale 16" xfId="239" xr:uid="{00000000-0005-0000-0000-0000F7000000}"/>
    <cellStyle name="Normale 17" xfId="240" xr:uid="{00000000-0005-0000-0000-0000F8000000}"/>
    <cellStyle name="Normale 18" xfId="241" xr:uid="{00000000-0005-0000-0000-0000F9000000}"/>
    <cellStyle name="Normale 19" xfId="242" xr:uid="{00000000-0005-0000-0000-0000FA000000}"/>
    <cellStyle name="Normale 2" xfId="243" xr:uid="{00000000-0005-0000-0000-0000FB000000}"/>
    <cellStyle name="Normale 2 2" xfId="244" xr:uid="{00000000-0005-0000-0000-0000FC000000}"/>
    <cellStyle name="Normale 2_EDEN industria 2008 rev" xfId="245" xr:uid="{00000000-0005-0000-0000-0000FD000000}"/>
    <cellStyle name="Normale 20" xfId="246" xr:uid="{00000000-0005-0000-0000-0000FE000000}"/>
    <cellStyle name="Normale 21" xfId="247" xr:uid="{00000000-0005-0000-0000-0000FF000000}"/>
    <cellStyle name="Normale 22" xfId="248" xr:uid="{00000000-0005-0000-0000-000000010000}"/>
    <cellStyle name="Normale 23" xfId="249" xr:uid="{00000000-0005-0000-0000-000001010000}"/>
    <cellStyle name="Normale 24" xfId="250" xr:uid="{00000000-0005-0000-0000-000002010000}"/>
    <cellStyle name="Normale 25" xfId="251" xr:uid="{00000000-0005-0000-0000-000003010000}"/>
    <cellStyle name="Normale 26" xfId="252" xr:uid="{00000000-0005-0000-0000-000004010000}"/>
    <cellStyle name="Normale 27" xfId="253" xr:uid="{00000000-0005-0000-0000-000005010000}"/>
    <cellStyle name="Normale 28" xfId="254" xr:uid="{00000000-0005-0000-0000-000006010000}"/>
    <cellStyle name="Normale 29" xfId="255" xr:uid="{00000000-0005-0000-0000-000007010000}"/>
    <cellStyle name="Normale 3" xfId="256" xr:uid="{00000000-0005-0000-0000-000008010000}"/>
    <cellStyle name="Normale 3 2" xfId="257" xr:uid="{00000000-0005-0000-0000-000009010000}"/>
    <cellStyle name="Normale 3 3" xfId="258" xr:uid="{00000000-0005-0000-0000-00000A010000}"/>
    <cellStyle name="Normale 3_EDEN industria 2008 rev" xfId="259" xr:uid="{00000000-0005-0000-0000-00000B010000}"/>
    <cellStyle name="Normale 30" xfId="260" xr:uid="{00000000-0005-0000-0000-00000C010000}"/>
    <cellStyle name="Normale 31" xfId="261" xr:uid="{00000000-0005-0000-0000-00000D010000}"/>
    <cellStyle name="Normale 32" xfId="262" xr:uid="{00000000-0005-0000-0000-00000E010000}"/>
    <cellStyle name="Normale 33" xfId="263" xr:uid="{00000000-0005-0000-0000-00000F010000}"/>
    <cellStyle name="Normale 34" xfId="264" xr:uid="{00000000-0005-0000-0000-000010010000}"/>
    <cellStyle name="Normale 35" xfId="265" xr:uid="{00000000-0005-0000-0000-000011010000}"/>
    <cellStyle name="Normale 36" xfId="266" xr:uid="{00000000-0005-0000-0000-000012010000}"/>
    <cellStyle name="Normale 37" xfId="267" xr:uid="{00000000-0005-0000-0000-000013010000}"/>
    <cellStyle name="Normale 38" xfId="268" xr:uid="{00000000-0005-0000-0000-000014010000}"/>
    <cellStyle name="Normale 39" xfId="269" xr:uid="{00000000-0005-0000-0000-000015010000}"/>
    <cellStyle name="Normale 4" xfId="270" xr:uid="{00000000-0005-0000-0000-000016010000}"/>
    <cellStyle name="Normale 4 2" xfId="271" xr:uid="{00000000-0005-0000-0000-000017010000}"/>
    <cellStyle name="Normale 4 3" xfId="272" xr:uid="{00000000-0005-0000-0000-000018010000}"/>
    <cellStyle name="Normale 4_EDEN industria 2008 rev" xfId="273" xr:uid="{00000000-0005-0000-0000-000019010000}"/>
    <cellStyle name="Normale 40" xfId="274" xr:uid="{00000000-0005-0000-0000-00001A010000}"/>
    <cellStyle name="Normale 41" xfId="275" xr:uid="{00000000-0005-0000-0000-00001B010000}"/>
    <cellStyle name="Normale 42" xfId="276" xr:uid="{00000000-0005-0000-0000-00001C010000}"/>
    <cellStyle name="Normale 43" xfId="277" xr:uid="{00000000-0005-0000-0000-00001D010000}"/>
    <cellStyle name="Normale 44" xfId="278" xr:uid="{00000000-0005-0000-0000-00001E010000}"/>
    <cellStyle name="Normale 45" xfId="279" xr:uid="{00000000-0005-0000-0000-00001F010000}"/>
    <cellStyle name="Normale 46" xfId="280" xr:uid="{00000000-0005-0000-0000-000020010000}"/>
    <cellStyle name="Normale 47" xfId="281" xr:uid="{00000000-0005-0000-0000-000021010000}"/>
    <cellStyle name="Normale 48" xfId="282" xr:uid="{00000000-0005-0000-0000-000022010000}"/>
    <cellStyle name="Normale 49" xfId="283" xr:uid="{00000000-0005-0000-0000-000023010000}"/>
    <cellStyle name="Normale 5" xfId="284" xr:uid="{00000000-0005-0000-0000-000024010000}"/>
    <cellStyle name="Normale 5 2" xfId="285" xr:uid="{00000000-0005-0000-0000-000025010000}"/>
    <cellStyle name="Normale 5 3" xfId="286" xr:uid="{00000000-0005-0000-0000-000026010000}"/>
    <cellStyle name="Normale 5_EDEN industria 2008 rev" xfId="287" xr:uid="{00000000-0005-0000-0000-000027010000}"/>
    <cellStyle name="Normale 50" xfId="288" xr:uid="{00000000-0005-0000-0000-000028010000}"/>
    <cellStyle name="Normale 51" xfId="289" xr:uid="{00000000-0005-0000-0000-000029010000}"/>
    <cellStyle name="Normale 52" xfId="290" xr:uid="{00000000-0005-0000-0000-00002A010000}"/>
    <cellStyle name="Normale 53" xfId="291" xr:uid="{00000000-0005-0000-0000-00002B010000}"/>
    <cellStyle name="Normale 54" xfId="292" xr:uid="{00000000-0005-0000-0000-00002C010000}"/>
    <cellStyle name="Normale 55" xfId="293" xr:uid="{00000000-0005-0000-0000-00002D010000}"/>
    <cellStyle name="Normale 56" xfId="294" xr:uid="{00000000-0005-0000-0000-00002E010000}"/>
    <cellStyle name="Normale 57" xfId="295" xr:uid="{00000000-0005-0000-0000-00002F010000}"/>
    <cellStyle name="Normale 58" xfId="296" xr:uid="{00000000-0005-0000-0000-000030010000}"/>
    <cellStyle name="Normale 59" xfId="297" xr:uid="{00000000-0005-0000-0000-000031010000}"/>
    <cellStyle name="Normale 6" xfId="298" xr:uid="{00000000-0005-0000-0000-000032010000}"/>
    <cellStyle name="Normale 6 2" xfId="299" xr:uid="{00000000-0005-0000-0000-000033010000}"/>
    <cellStyle name="Normale 6 3" xfId="300" xr:uid="{00000000-0005-0000-0000-000034010000}"/>
    <cellStyle name="Normale 6_EDEN industria 2008 rev" xfId="301" xr:uid="{00000000-0005-0000-0000-000035010000}"/>
    <cellStyle name="Normale 60" xfId="302" xr:uid="{00000000-0005-0000-0000-000036010000}"/>
    <cellStyle name="Normale 61" xfId="303" xr:uid="{00000000-0005-0000-0000-000037010000}"/>
    <cellStyle name="Normale 62" xfId="304" xr:uid="{00000000-0005-0000-0000-000038010000}"/>
    <cellStyle name="Normale 63" xfId="305" xr:uid="{00000000-0005-0000-0000-000039010000}"/>
    <cellStyle name="Normale 64" xfId="306" xr:uid="{00000000-0005-0000-0000-00003A010000}"/>
    <cellStyle name="Normale 65" xfId="307" xr:uid="{00000000-0005-0000-0000-00003B010000}"/>
    <cellStyle name="Normale 7" xfId="308" xr:uid="{00000000-0005-0000-0000-00003C010000}"/>
    <cellStyle name="Normale 7 2" xfId="309" xr:uid="{00000000-0005-0000-0000-00003D010000}"/>
    <cellStyle name="Normale 7 3" xfId="310" xr:uid="{00000000-0005-0000-0000-00003E010000}"/>
    <cellStyle name="Normale 7_EDEN industria 2008 rev" xfId="311" xr:uid="{00000000-0005-0000-0000-00003F010000}"/>
    <cellStyle name="Normale 8" xfId="312" xr:uid="{00000000-0005-0000-0000-000040010000}"/>
    <cellStyle name="Normale 8 2" xfId="313" xr:uid="{00000000-0005-0000-0000-000041010000}"/>
    <cellStyle name="Normale 8 3" xfId="314" xr:uid="{00000000-0005-0000-0000-000042010000}"/>
    <cellStyle name="Normale 8_EDEN industria 2008 rev" xfId="315" xr:uid="{00000000-0005-0000-0000-000043010000}"/>
    <cellStyle name="Normale 9" xfId="316" xr:uid="{00000000-0005-0000-0000-000044010000}"/>
    <cellStyle name="Normale 9 2" xfId="317" xr:uid="{00000000-0005-0000-0000-000045010000}"/>
    <cellStyle name="Normale 9 3" xfId="318" xr:uid="{00000000-0005-0000-0000-000046010000}"/>
    <cellStyle name="Normale 9_EDEN industria 2008 rev" xfId="319" xr:uid="{00000000-0005-0000-0000-000047010000}"/>
    <cellStyle name="Nota" xfId="320" xr:uid="{00000000-0005-0000-0000-000048010000}"/>
    <cellStyle name="Nuovo" xfId="321" xr:uid="{00000000-0005-0000-0000-000049010000}"/>
    <cellStyle name="Nuovo 10" xfId="322" xr:uid="{00000000-0005-0000-0000-00004A010000}"/>
    <cellStyle name="Nuovo 11" xfId="323" xr:uid="{00000000-0005-0000-0000-00004B010000}"/>
    <cellStyle name="Nuovo 12" xfId="324" xr:uid="{00000000-0005-0000-0000-00004C010000}"/>
    <cellStyle name="Nuovo 13" xfId="325" xr:uid="{00000000-0005-0000-0000-00004D010000}"/>
    <cellStyle name="Nuovo 14" xfId="326" xr:uid="{00000000-0005-0000-0000-00004E010000}"/>
    <cellStyle name="Nuovo 15" xfId="327" xr:uid="{00000000-0005-0000-0000-00004F010000}"/>
    <cellStyle name="Nuovo 16" xfId="328" xr:uid="{00000000-0005-0000-0000-000050010000}"/>
    <cellStyle name="Nuovo 17" xfId="329" xr:uid="{00000000-0005-0000-0000-000051010000}"/>
    <cellStyle name="Nuovo 18" xfId="330" xr:uid="{00000000-0005-0000-0000-000052010000}"/>
    <cellStyle name="Nuovo 19" xfId="331" xr:uid="{00000000-0005-0000-0000-000053010000}"/>
    <cellStyle name="Nuovo 2" xfId="332" xr:uid="{00000000-0005-0000-0000-000054010000}"/>
    <cellStyle name="Nuovo 20" xfId="333" xr:uid="{00000000-0005-0000-0000-000055010000}"/>
    <cellStyle name="Nuovo 21" xfId="334" xr:uid="{00000000-0005-0000-0000-000056010000}"/>
    <cellStyle name="Nuovo 22" xfId="335" xr:uid="{00000000-0005-0000-0000-000057010000}"/>
    <cellStyle name="Nuovo 23" xfId="336" xr:uid="{00000000-0005-0000-0000-000058010000}"/>
    <cellStyle name="Nuovo 24" xfId="337" xr:uid="{00000000-0005-0000-0000-000059010000}"/>
    <cellStyle name="Nuovo 25" xfId="338" xr:uid="{00000000-0005-0000-0000-00005A010000}"/>
    <cellStyle name="Nuovo 26" xfId="339" xr:uid="{00000000-0005-0000-0000-00005B010000}"/>
    <cellStyle name="Nuovo 27" xfId="340" xr:uid="{00000000-0005-0000-0000-00005C010000}"/>
    <cellStyle name="Nuovo 28" xfId="341" xr:uid="{00000000-0005-0000-0000-00005D010000}"/>
    <cellStyle name="Nuovo 29" xfId="342" xr:uid="{00000000-0005-0000-0000-00005E010000}"/>
    <cellStyle name="Nuovo 3" xfId="343" xr:uid="{00000000-0005-0000-0000-00005F010000}"/>
    <cellStyle name="Nuovo 30" xfId="344" xr:uid="{00000000-0005-0000-0000-000060010000}"/>
    <cellStyle name="Nuovo 31" xfId="345" xr:uid="{00000000-0005-0000-0000-000061010000}"/>
    <cellStyle name="Nuovo 32" xfId="346" xr:uid="{00000000-0005-0000-0000-000062010000}"/>
    <cellStyle name="Nuovo 33" xfId="347" xr:uid="{00000000-0005-0000-0000-000063010000}"/>
    <cellStyle name="Nuovo 34" xfId="348" xr:uid="{00000000-0005-0000-0000-000064010000}"/>
    <cellStyle name="Nuovo 35" xfId="349" xr:uid="{00000000-0005-0000-0000-000065010000}"/>
    <cellStyle name="Nuovo 36" xfId="350" xr:uid="{00000000-0005-0000-0000-000066010000}"/>
    <cellStyle name="Nuovo 37" xfId="351" xr:uid="{00000000-0005-0000-0000-000067010000}"/>
    <cellStyle name="Nuovo 38" xfId="352" xr:uid="{00000000-0005-0000-0000-000068010000}"/>
    <cellStyle name="Nuovo 39" xfId="353" xr:uid="{00000000-0005-0000-0000-000069010000}"/>
    <cellStyle name="Nuovo 4" xfId="354" xr:uid="{00000000-0005-0000-0000-00006A010000}"/>
    <cellStyle name="Nuovo 40" xfId="355" xr:uid="{00000000-0005-0000-0000-00006B010000}"/>
    <cellStyle name="Nuovo 41" xfId="356" xr:uid="{00000000-0005-0000-0000-00006C010000}"/>
    <cellStyle name="Nuovo 42" xfId="357" xr:uid="{00000000-0005-0000-0000-00006D010000}"/>
    <cellStyle name="Nuovo 43" xfId="358" xr:uid="{00000000-0005-0000-0000-00006E010000}"/>
    <cellStyle name="Nuovo 44" xfId="359" xr:uid="{00000000-0005-0000-0000-00006F010000}"/>
    <cellStyle name="Nuovo 5" xfId="360" xr:uid="{00000000-0005-0000-0000-000070010000}"/>
    <cellStyle name="Nuovo 6" xfId="361" xr:uid="{00000000-0005-0000-0000-000071010000}"/>
    <cellStyle name="Nuovo 7" xfId="362" xr:uid="{00000000-0005-0000-0000-000072010000}"/>
    <cellStyle name="Nuovo 8" xfId="363" xr:uid="{00000000-0005-0000-0000-000073010000}"/>
    <cellStyle name="Nuovo 9" xfId="364" xr:uid="{00000000-0005-0000-0000-000074010000}"/>
    <cellStyle name="Output 2" xfId="365" xr:uid="{00000000-0005-0000-0000-000075010000}"/>
    <cellStyle name="Percen - Type1" xfId="366" xr:uid="{00000000-0005-0000-0000-000076010000}"/>
    <cellStyle name="Percent 2" xfId="367" xr:uid="{00000000-0005-0000-0000-000077010000}"/>
    <cellStyle name="Percent 3" xfId="458" xr:uid="{08215206-4611-4C90-95DF-84DBC1791236}"/>
    <cellStyle name="Percentuale 10" xfId="368" xr:uid="{00000000-0005-0000-0000-000078010000}"/>
    <cellStyle name="Percentuale 11" xfId="369" xr:uid="{00000000-0005-0000-0000-000079010000}"/>
    <cellStyle name="Percentuale 12" xfId="370" xr:uid="{00000000-0005-0000-0000-00007A010000}"/>
    <cellStyle name="Percentuale 13" xfId="371" xr:uid="{00000000-0005-0000-0000-00007B010000}"/>
    <cellStyle name="Percentuale 14" xfId="372" xr:uid="{00000000-0005-0000-0000-00007C010000}"/>
    <cellStyle name="Percentuale 15" xfId="373" xr:uid="{00000000-0005-0000-0000-00007D010000}"/>
    <cellStyle name="Percentuale 16" xfId="374" xr:uid="{00000000-0005-0000-0000-00007E010000}"/>
    <cellStyle name="Percentuale 17" xfId="375" xr:uid="{00000000-0005-0000-0000-00007F010000}"/>
    <cellStyle name="Percentuale 18" xfId="376" xr:uid="{00000000-0005-0000-0000-000080010000}"/>
    <cellStyle name="Percentuale 19" xfId="377" xr:uid="{00000000-0005-0000-0000-000081010000}"/>
    <cellStyle name="Percentuale 2" xfId="378" xr:uid="{00000000-0005-0000-0000-000082010000}"/>
    <cellStyle name="Percentuale 20" xfId="379" xr:uid="{00000000-0005-0000-0000-000083010000}"/>
    <cellStyle name="Percentuale 21" xfId="380" xr:uid="{00000000-0005-0000-0000-000084010000}"/>
    <cellStyle name="Percentuale 22" xfId="381" xr:uid="{00000000-0005-0000-0000-000085010000}"/>
    <cellStyle name="Percentuale 23" xfId="382" xr:uid="{00000000-0005-0000-0000-000086010000}"/>
    <cellStyle name="Percentuale 24" xfId="383" xr:uid="{00000000-0005-0000-0000-000087010000}"/>
    <cellStyle name="Percentuale 25" xfId="384" xr:uid="{00000000-0005-0000-0000-000088010000}"/>
    <cellStyle name="Percentuale 26" xfId="385" xr:uid="{00000000-0005-0000-0000-000089010000}"/>
    <cellStyle name="Percentuale 27" xfId="386" xr:uid="{00000000-0005-0000-0000-00008A010000}"/>
    <cellStyle name="Percentuale 28" xfId="387" xr:uid="{00000000-0005-0000-0000-00008B010000}"/>
    <cellStyle name="Percentuale 29" xfId="388" xr:uid="{00000000-0005-0000-0000-00008C010000}"/>
    <cellStyle name="Percentuale 3" xfId="389" xr:uid="{00000000-0005-0000-0000-00008D010000}"/>
    <cellStyle name="Percentuale 30" xfId="390" xr:uid="{00000000-0005-0000-0000-00008E010000}"/>
    <cellStyle name="Percentuale 31" xfId="391" xr:uid="{00000000-0005-0000-0000-00008F010000}"/>
    <cellStyle name="Percentuale 32" xfId="392" xr:uid="{00000000-0005-0000-0000-000090010000}"/>
    <cellStyle name="Percentuale 33" xfId="393" xr:uid="{00000000-0005-0000-0000-000091010000}"/>
    <cellStyle name="Percentuale 34" xfId="394" xr:uid="{00000000-0005-0000-0000-000092010000}"/>
    <cellStyle name="Percentuale 35" xfId="395" xr:uid="{00000000-0005-0000-0000-000093010000}"/>
    <cellStyle name="Percentuale 36" xfId="396" xr:uid="{00000000-0005-0000-0000-000094010000}"/>
    <cellStyle name="Percentuale 37" xfId="397" xr:uid="{00000000-0005-0000-0000-000095010000}"/>
    <cellStyle name="Percentuale 38" xfId="398" xr:uid="{00000000-0005-0000-0000-000096010000}"/>
    <cellStyle name="Percentuale 39" xfId="399" xr:uid="{00000000-0005-0000-0000-000097010000}"/>
    <cellStyle name="Percentuale 4" xfId="400" xr:uid="{00000000-0005-0000-0000-000098010000}"/>
    <cellStyle name="Percentuale 40" xfId="401" xr:uid="{00000000-0005-0000-0000-000099010000}"/>
    <cellStyle name="Percentuale 41" xfId="402" xr:uid="{00000000-0005-0000-0000-00009A010000}"/>
    <cellStyle name="Percentuale 42" xfId="403" xr:uid="{00000000-0005-0000-0000-00009B010000}"/>
    <cellStyle name="Percentuale 43" xfId="404" xr:uid="{00000000-0005-0000-0000-00009C010000}"/>
    <cellStyle name="Percentuale 44" xfId="405" xr:uid="{00000000-0005-0000-0000-00009D010000}"/>
    <cellStyle name="Percentuale 45" xfId="406" xr:uid="{00000000-0005-0000-0000-00009E010000}"/>
    <cellStyle name="Percentuale 46" xfId="407" xr:uid="{00000000-0005-0000-0000-00009F010000}"/>
    <cellStyle name="Percentuale 47" xfId="408" xr:uid="{00000000-0005-0000-0000-0000A0010000}"/>
    <cellStyle name="Percentuale 48" xfId="409" xr:uid="{00000000-0005-0000-0000-0000A1010000}"/>
    <cellStyle name="Percentuale 49" xfId="410" xr:uid="{00000000-0005-0000-0000-0000A2010000}"/>
    <cellStyle name="Percentuale 5" xfId="411" xr:uid="{00000000-0005-0000-0000-0000A3010000}"/>
    <cellStyle name="Percentuale 50" xfId="412" xr:uid="{00000000-0005-0000-0000-0000A4010000}"/>
    <cellStyle name="Percentuale 51" xfId="413" xr:uid="{00000000-0005-0000-0000-0000A5010000}"/>
    <cellStyle name="Percentuale 52" xfId="414" xr:uid="{00000000-0005-0000-0000-0000A6010000}"/>
    <cellStyle name="Percentuale 53" xfId="415" xr:uid="{00000000-0005-0000-0000-0000A7010000}"/>
    <cellStyle name="Percentuale 54" xfId="416" xr:uid="{00000000-0005-0000-0000-0000A8010000}"/>
    <cellStyle name="Percentuale 55" xfId="417" xr:uid="{00000000-0005-0000-0000-0000A9010000}"/>
    <cellStyle name="Percentuale 56" xfId="418" xr:uid="{00000000-0005-0000-0000-0000AA010000}"/>
    <cellStyle name="Percentuale 57" xfId="419" xr:uid="{00000000-0005-0000-0000-0000AB010000}"/>
    <cellStyle name="Percentuale 58" xfId="420" xr:uid="{00000000-0005-0000-0000-0000AC010000}"/>
    <cellStyle name="Percentuale 59" xfId="421" xr:uid="{00000000-0005-0000-0000-0000AD010000}"/>
    <cellStyle name="Percentuale 6" xfId="422" xr:uid="{00000000-0005-0000-0000-0000AE010000}"/>
    <cellStyle name="Percentuale 60" xfId="423" xr:uid="{00000000-0005-0000-0000-0000AF010000}"/>
    <cellStyle name="Percentuale 61" xfId="424" xr:uid="{00000000-0005-0000-0000-0000B0010000}"/>
    <cellStyle name="Percentuale 62" xfId="425" xr:uid="{00000000-0005-0000-0000-0000B1010000}"/>
    <cellStyle name="Percentuale 63" xfId="426" xr:uid="{00000000-0005-0000-0000-0000B2010000}"/>
    <cellStyle name="Percentuale 64" xfId="427" xr:uid="{00000000-0005-0000-0000-0000B3010000}"/>
    <cellStyle name="Percentuale 65" xfId="428" xr:uid="{00000000-0005-0000-0000-0000B4010000}"/>
    <cellStyle name="Percentuale 66" xfId="429" xr:uid="{00000000-0005-0000-0000-0000B5010000}"/>
    <cellStyle name="Percentuale 67" xfId="430" xr:uid="{00000000-0005-0000-0000-0000B6010000}"/>
    <cellStyle name="Percentuale 68" xfId="431" xr:uid="{00000000-0005-0000-0000-0000B7010000}"/>
    <cellStyle name="Percentuale 69" xfId="432" xr:uid="{00000000-0005-0000-0000-0000B8010000}"/>
    <cellStyle name="Percentuale 7" xfId="433" xr:uid="{00000000-0005-0000-0000-0000B9010000}"/>
    <cellStyle name="Percentuale 8" xfId="434" xr:uid="{00000000-0005-0000-0000-0000BA010000}"/>
    <cellStyle name="Percentuale 9" xfId="435" xr:uid="{00000000-0005-0000-0000-0000BB010000}"/>
    <cellStyle name="Testo avviso" xfId="436" xr:uid="{00000000-0005-0000-0000-0000BC010000}"/>
    <cellStyle name="Testo descrittivo" xfId="437" xr:uid="{00000000-0005-0000-0000-0000BD010000}"/>
    <cellStyle name="Titolo" xfId="438" xr:uid="{00000000-0005-0000-0000-0000BE010000}"/>
    <cellStyle name="Titolo 1" xfId="439" xr:uid="{00000000-0005-0000-0000-0000BF010000}"/>
    <cellStyle name="Titolo 2" xfId="440" xr:uid="{00000000-0005-0000-0000-0000C0010000}"/>
    <cellStyle name="Titolo 3" xfId="441" xr:uid="{00000000-0005-0000-0000-0000C1010000}"/>
    <cellStyle name="Titolo 4" xfId="442" xr:uid="{00000000-0005-0000-0000-0000C2010000}"/>
    <cellStyle name="Totale" xfId="443" xr:uid="{00000000-0005-0000-0000-0000C3010000}"/>
    <cellStyle name="Valore non valido" xfId="444" xr:uid="{00000000-0005-0000-0000-0000C4010000}"/>
    <cellStyle name="Valore valido" xfId="445" xr:uid="{00000000-0005-0000-0000-0000C5010000}"/>
    <cellStyle name="Обычный_Лист1" xfId="453" xr:uid="{C5605E4F-9792-4BE6-BC23-7AAD98000F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10</xdr:col>
      <xdr:colOff>457200</xdr:colOff>
      <xdr:row>1</xdr:row>
      <xdr:rowOff>91440</xdr:rowOff>
    </xdr:from>
    <xdr:to>
      <xdr:col>17</xdr:col>
      <xdr:colOff>535728</xdr:colOff>
      <xdr:row>9</xdr:row>
      <xdr:rowOff>70961</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9227820" y="251460"/>
          <a:ext cx="4452408" cy="1259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11th of April 2017:</a:t>
          </a:r>
        </a:p>
        <a:p>
          <a:endParaRPr lang="da-DK" sz="1100"/>
        </a:p>
        <a:p>
          <a:r>
            <a:rPr lang="da-DK" sz="1100"/>
            <a:t>I included also some commodities that are not used by any technology, but I did that in order to include the relative emissions</a:t>
          </a:r>
          <a:r>
            <a:rPr lang="da-DK" sz="1100" baseline="0"/>
            <a:t> as for example coal</a:t>
          </a:r>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ubRES_TMPL/SubRes_ELC_Tech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Mikkel/TIMES-DK/SubRES_TMPL/SubRes_ELC_Plants202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VEDA/VEDA_Models/Denmark/TIMES-DK_Updated_COMETS-XS/VT_DK_ELC.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Comm"/>
      <sheetName val="ELC_Processes_CEN"/>
      <sheetName val="ELC_Processes_DEC"/>
      <sheetName val="ELC_Industry"/>
      <sheetName val="ELC_house"/>
      <sheetName val="ELC_CEN"/>
      <sheetName val="ELC_DEC"/>
      <sheetName val="ELC_CEN-Peak"/>
      <sheetName val="ELC_DEC-Peak"/>
      <sheetName val="Naming convention"/>
      <sheetName val="Deleted Technologies"/>
      <sheetName val="FuelPriceRAMSES"/>
    </sheetNames>
    <sheetDataSet>
      <sheetData sheetId="0"/>
      <sheetData sheetId="1"/>
      <sheetData sheetId="2"/>
      <sheetData sheetId="3"/>
      <sheetData sheetId="4"/>
      <sheetData sheetId="5"/>
      <sheetData sheetId="6"/>
      <sheetData sheetId="7">
        <row r="2">
          <cell r="E2">
            <v>7.45</v>
          </cell>
        </row>
      </sheetData>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Adjusted O&amp;M waste and wind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1919D8-7841-424B-9163-B4F84EBD7AB1}" name="Table10" displayName="Table10" ref="B2:AM57" totalsRowShown="0">
  <autoFilter ref="B2:AM57" xr:uid="{00000000-0009-0000-0100-00000A000000}"/>
  <tableColumns count="38">
    <tableColumn id="1" xr3:uid="{4F1CFF8B-970E-4E28-B5BC-EE6A2707145B}" name="TechName"/>
    <tableColumn id="2" xr3:uid="{C6A79E55-CA14-43C1-8755-A4A53082AD99}" name="*TechDesc"/>
    <tableColumn id="3" xr3:uid="{88488ED1-DC3A-44E7-998A-A1CBF3DBD783}" name="Comm-IN"/>
    <tableColumn id="4" xr3:uid="{8127D00F-CB0F-44ED-93A1-8128FF267076}" name="Comm-OUT"/>
    <tableColumn id="5" xr3:uid="{B176D110-1FDA-4DEA-9E38-8E5E368737C5}" name="CURR"/>
    <tableColumn id="6" xr3:uid="{396F2F9F-2525-44C8-A489-E8741A482F9C}" name="YEAR"/>
    <tableColumn id="7" xr3:uid="{FE5CB73D-4F10-4238-819D-6A2E260A3304}" name="START"/>
    <tableColumn id="8" xr3:uid="{0786296B-A85E-4748-9721-F276254BFC04}" name="EFF"/>
    <tableColumn id="9" xr3:uid="{350C080E-87A3-4B3B-A847-0837E0315528}" name="Share-I~FX~ELCC"/>
    <tableColumn id="10" xr3:uid="{664753E6-BDCE-4B74-B342-D4250A84C0A0}" name="Share-I~FX~ELCSTM"/>
    <tableColumn id="11" xr3:uid="{259E5033-5B45-4286-8BDF-DDD862BCB756}" name="CHPR~UP"/>
    <tableColumn id="12" xr3:uid="{E791808B-1054-4CE2-986D-FF6EA69E881B}" name="CEH"/>
    <tableColumn id="13" xr3:uid="{818673DF-15C1-4DAE-9291-EDF65854DEA0}" name="INVCOST"/>
    <tableColumn id="14" xr3:uid="{E59A92BF-4BE9-47DD-BF44-4FA4FF77E4EF}" name="FIXOM"/>
    <tableColumn id="15" xr3:uid="{DB0DD01E-AE11-4B1E-8E69-662EED46DCCA}" name="VAROM"/>
    <tableColumn id="16" xr3:uid="{91F38F3E-B9D8-4A2C-8EF5-8E9959E6932E}" name="CAP2ACT"/>
    <tableColumn id="17" xr3:uid="{77F021E1-832C-4C58-BCB7-66A780766CEF}" name="AFA"/>
    <tableColumn id="18" xr3:uid="{93EFE7ED-7F56-4067-A780-0C013FAD9E42}" name="Peak"/>
    <tableColumn id="19" xr3:uid="{79931042-AE54-45D7-AAA9-DE6FE0B07A0E}" name="LIFE"/>
    <tableColumn id="20" xr3:uid="{02100A41-1E84-467F-8C66-D8AF7B1CD97C}" name="ILED"/>
    <tableColumn id="21" xr3:uid="{9C834DDA-08EA-4CC8-9C3F-5398525BA87E}" name="EMISSIONS~ELCNOX"/>
    <tableColumn id="22" xr3:uid="{039315D9-95E9-48B1-87FF-872C7C55249C}" name="EMISSIONS~ELCCH4"/>
    <tableColumn id="23" xr3:uid="{F7D6F2E3-66F8-416A-8396-8765B93FF750}" name="EMISSIONS~ELCN2O"/>
    <tableColumn id="24" xr3:uid="{38702C97-397D-44A3-81DA-0AF24210F340}" name="EMISSIONS~ELCSO2"/>
    <tableColumn id="25" xr3:uid="{CDC37FA2-BD04-4B00-B979-4872332A32CF}" name="EMISSIONS~ELCPM"/>
    <tableColumn id="26" xr3:uid="{64DF225D-773E-43E7-97C5-39F91DE6FFE6}" name="*sheetNumber"/>
    <tableColumn id="27" xr3:uid="{EF55B59C-C3EE-4D07-B788-5E654533D4D1}" name="*sheetName"/>
    <tableColumn id="28" xr3:uid="{8A1CF439-B021-40BA-9103-756A42D6B663}" name="*planttype"/>
    <tableColumn id="29" xr3:uid="{07D2D934-F14D-4D96-941D-9B1D15F2E7B4}" name="*plantCategory"/>
    <tableColumn id="30" xr3:uid="{7E21F51C-3B23-483D-881D-B405E16B1238}" name="*fuel_name"/>
    <tableColumn id="31" xr3:uid="{95186EA5-7291-4B61-A03D-8963CA89A19E}" name="*fuel_TIMES"/>
    <tableColumn id="32" xr3:uid="{CF54E33F-665A-4A11-A5D7-6B500899527D}" name="*dh_area"/>
    <tableColumn id="33" xr3:uid="{487D3F7F-C9EB-41E4-916C-B71AB5089695}" name="*output"/>
    <tableColumn id="34" xr3:uid="{F9A0883F-184A-4144-9772-E3157B17C76E}" name="*AFAforTrans"/>
    <tableColumn id="35" xr3:uid="{5C08C313-4B20-424F-8FBF-8A45A158C0D9}" name="*planttype_short"/>
    <tableColumn id="36" xr3:uid="{1E4DB02F-7018-4D9E-8A92-3AB9824E78F0}" name="*availability.pct"/>
    <tableColumn id="37" xr3:uid="{22406FFC-3B9F-4E0C-965C-E3866B8434FB}" name="*category"/>
    <tableColumn id="38" xr3:uid="{BF554673-D679-488E-929B-F73374A6EEBD}" name="*techNumber"/>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DEFF19-A362-4FFE-90EA-1DA2D3A449AE}" name="Table11" displayName="Table11" ref="B2:AM138" totalsRowShown="0">
  <autoFilter ref="B2:AM138" xr:uid="{00000000-0009-0000-0100-00000B000000}"/>
  <tableColumns count="38">
    <tableColumn id="1" xr3:uid="{456EEB40-0358-498F-89CC-1F5F92061084}" name="TechName"/>
    <tableColumn id="2" xr3:uid="{B3F1C83E-FD7C-47D1-8762-C7E2302919E9}" name="*TechDesc"/>
    <tableColumn id="3" xr3:uid="{0BDA563A-D678-4F2A-BBB3-B9AC1FBBF8CF}" name="Comm-IN"/>
    <tableColumn id="4" xr3:uid="{676CA48B-B49F-42BE-AA4C-153248FA5D1A}" name="Comm-OUT"/>
    <tableColumn id="5" xr3:uid="{6C286E1B-7659-433C-BC79-66B6DB50B5F5}" name="CURR"/>
    <tableColumn id="6" xr3:uid="{A6971E4A-FB3E-4096-A2CD-6F706409E2D7}" name="YEAR"/>
    <tableColumn id="7" xr3:uid="{49324C6E-A843-480E-A1F9-1DBF7F1FCF8B}" name="START"/>
    <tableColumn id="8" xr3:uid="{B381B8C2-E7C5-4696-81E4-369DD6906149}" name="EFF"/>
    <tableColumn id="9" xr3:uid="{6F18C4D0-7072-4560-AC38-8CB903F14A35}" name="Share-I~FX~ELCC"/>
    <tableColumn id="10" xr3:uid="{DA969EA7-4F7E-4EA5-B0E3-8295AA1AE567}" name="Share-I~FX~ELCSTM"/>
    <tableColumn id="11" xr3:uid="{8410CDCC-0479-47AF-9725-737AE89ADE5A}" name="CHPR~UP"/>
    <tableColumn id="12" xr3:uid="{5B204585-DFC6-4EC5-862F-22F7A7FA818A}" name="CEH"/>
    <tableColumn id="13" xr3:uid="{4A74776A-481A-4AD6-ADC7-37BAD06BA174}" name="INVCOST"/>
    <tableColumn id="14" xr3:uid="{EE9FE086-3046-4EC0-AC6E-D0A2B8284515}" name="FIXOM"/>
    <tableColumn id="15" xr3:uid="{5F480767-E65A-4939-BDAA-FC05974DA394}" name="VAROM"/>
    <tableColumn id="16" xr3:uid="{37BDD3C5-71A9-4EB2-9BFE-EF3C30FEB0DB}" name="CAP2ACT"/>
    <tableColumn id="17" xr3:uid="{6CFA3C70-ADC4-42DB-BC4D-2BFD038B142C}" name="AFA"/>
    <tableColumn id="18" xr3:uid="{9CD2BF9B-AD6B-44D9-8E08-6C5DB4652BD6}" name="Peak"/>
    <tableColumn id="19" xr3:uid="{6D07E4F4-30C7-49F2-8C70-A6DD73311DC1}" name="LIFE"/>
    <tableColumn id="20" xr3:uid="{F326A011-E588-4FE8-9C11-9A63E0E3F1AD}" name="ILED"/>
    <tableColumn id="21" xr3:uid="{C6FE02C4-2B67-4B39-A720-D2115DDA3FBE}" name="EMISSIONS~ELCNOX"/>
    <tableColumn id="22" xr3:uid="{A995B79A-08F6-42C7-BD14-CDD45684BD43}" name="EMISSIONS~ELCCH4"/>
    <tableColumn id="23" xr3:uid="{D9F3F122-B0BB-4D5D-991F-0D77208ED343}" name="EMISSIONS~ELCN2O"/>
    <tableColumn id="24" xr3:uid="{50FF4E8D-6EC4-4ABB-B403-7630507F77A7}" name="EMISSIONS~ELCSO2"/>
    <tableColumn id="25" xr3:uid="{07DA6E33-FE4E-4BAC-A477-3ECF512816BE}" name="EMISSIONS~ELCPM"/>
    <tableColumn id="26" xr3:uid="{12D33348-F293-496F-861A-3A1DC816C49B}" name="*sheetNumber"/>
    <tableColumn id="27" xr3:uid="{77970125-2052-414D-87D5-8AFD3AB2E45F}" name="*sheetName"/>
    <tableColumn id="28" xr3:uid="{0F2F9497-E6B4-4183-8B61-4B9DFCD73389}" name="*planttype"/>
    <tableColumn id="29" xr3:uid="{FE1F94A1-07A9-4DE4-9455-D78B2DBB4885}" name="*plantCategory"/>
    <tableColumn id="30" xr3:uid="{EED42990-1C49-456A-8F9D-0D513AB098D3}" name="*fuel_name"/>
    <tableColumn id="31" xr3:uid="{DC03D574-42E0-4C85-8F72-A542E7F046F8}" name="*fuel_TIMES"/>
    <tableColumn id="32" xr3:uid="{209DD13D-3D1C-4C02-877A-D24BA11E012D}" name="*dh_area"/>
    <tableColumn id="33" xr3:uid="{EA20B42B-7213-4E6A-8DB6-B67FE8E2D551}" name="*output"/>
    <tableColumn id="34" xr3:uid="{3AE7C315-2E2A-44BC-8439-3C32C72DAB84}" name="*AFAforTrans"/>
    <tableColumn id="35" xr3:uid="{C718CA39-54AA-489A-B12D-FEC861E9B823}" name="*planttype_short"/>
    <tableColumn id="36" xr3:uid="{427F6496-B187-44E8-98D7-F1BB04A61028}" name="*availability.pct"/>
    <tableColumn id="37" xr3:uid="{4B633CFC-1254-4BF9-AD3E-68EFDAD512E6}" name="*category"/>
    <tableColumn id="38" xr3:uid="{DE2690EF-E238-41EF-8ADA-EC15E0A0986B}" name="*techNumber"/>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9E2DA0-080D-4E94-A39D-639BDABDB9C0}" name="Table12" displayName="Table12" ref="B2:AM114" totalsRowShown="0">
  <autoFilter ref="B2:AM114" xr:uid="{00000000-0009-0000-0100-00000C000000}"/>
  <tableColumns count="38">
    <tableColumn id="1" xr3:uid="{EBF7786B-FEFB-4363-B570-B3762918BE7C}" name="TechName"/>
    <tableColumn id="2" xr3:uid="{8F7E52C6-22F8-4DE7-B4AF-260600FBB34B}" name="*TechDesc"/>
    <tableColumn id="3" xr3:uid="{A7A8FEF5-2D68-433D-9613-8DDABDF72158}" name="Comm-IN"/>
    <tableColumn id="4" xr3:uid="{8A8B2403-23C5-48FF-A265-6A1B6D415D26}" name="Comm-OUT"/>
    <tableColumn id="5" xr3:uid="{A3E72937-E50A-4DCF-AE5E-7C1E74D462DE}" name="CURR"/>
    <tableColumn id="6" xr3:uid="{9A3B0A4D-AF46-44C9-B2A8-F41EEDF10408}" name="YEAR"/>
    <tableColumn id="7" xr3:uid="{0D84D559-ECF9-46CE-9C3F-3061490B06DD}" name="START"/>
    <tableColumn id="8" xr3:uid="{29C2F128-CECA-4762-B73A-E806B54486D1}" name="EFF"/>
    <tableColumn id="9" xr3:uid="{464BEAF2-AE8B-4997-91A6-1876FC474AA4}" name="Share-I~FX~ELCC"/>
    <tableColumn id="10" xr3:uid="{FCA9E542-46C1-4BDC-8113-3909C1937837}" name="Share-I~FX~ELCSTM"/>
    <tableColumn id="11" xr3:uid="{C3E59908-1AC2-43B3-B152-4BBF2F034500}" name="CHPR~UP"/>
    <tableColumn id="12" xr3:uid="{040F8403-A791-461E-A088-561703203765}" name="CEH"/>
    <tableColumn id="13" xr3:uid="{30F21A70-317A-4F32-8930-B22C2D10861E}" name="INVCOST"/>
    <tableColumn id="14" xr3:uid="{07F123C0-950F-414C-92D3-E1A3D5A3B007}" name="FIXOM"/>
    <tableColumn id="15" xr3:uid="{E9D8E73E-E973-487C-A580-A70ECAB3905B}" name="VAROM"/>
    <tableColumn id="16" xr3:uid="{246C0D7D-E3C2-48FE-B0C6-C8828157C62A}" name="CAP2ACT"/>
    <tableColumn id="17" xr3:uid="{66EB67DB-FB75-47E8-ACB5-BC7FE11F9B20}" name="AFA"/>
    <tableColumn id="18" xr3:uid="{EB0E478D-B32C-47CE-844F-83F09EEBAC23}" name="Peak"/>
    <tableColumn id="19" xr3:uid="{656B157F-FF92-4340-84E9-EB69CC607E66}" name="LIFE"/>
    <tableColumn id="20" xr3:uid="{0E78A6F9-C64F-4DE6-ABC1-415214685CB0}" name="ILED"/>
    <tableColumn id="21" xr3:uid="{4A6DF0A5-9EEC-429D-BB21-E2A39DAAD661}" name="EMISSIONS~ELCNOX"/>
    <tableColumn id="22" xr3:uid="{A873990D-81B5-4944-A79E-99C7AFEE8424}" name="EMISSIONS~ELCCH4"/>
    <tableColumn id="23" xr3:uid="{7E0DAE36-1858-4BAD-9A9F-E7DA25428743}" name="EMISSIONS~ELCN2O"/>
    <tableColumn id="24" xr3:uid="{5A7B153F-503C-40C1-A3F4-FE9FB4F60DC8}" name="EMISSIONS~ELCSO2"/>
    <tableColumn id="25" xr3:uid="{D25CC1C6-443E-40CF-8E26-1E0333E1C5F6}" name="EMISSIONS~ELCPM"/>
    <tableColumn id="26" xr3:uid="{C1B356F3-1E43-4C15-84C5-25431B757506}" name="*sheetNumber"/>
    <tableColumn id="27" xr3:uid="{7CDFB518-12DD-49B9-A306-9EB39C471D1D}" name="*sheetName"/>
    <tableColumn id="28" xr3:uid="{C80D12C9-3259-4F91-A6C0-9F59301A48C6}" name="*planttype"/>
    <tableColumn id="29" xr3:uid="{2DCE14D3-CFBB-44F0-A7D9-2E930047C955}" name="*plantCategory"/>
    <tableColumn id="30" xr3:uid="{B0E4229D-F338-43D2-B88D-83D97E47AA24}" name="*fuel_name"/>
    <tableColumn id="31" xr3:uid="{AB97D45B-7AB8-458C-9483-073CF341CA77}" name="*fuel_TIMES"/>
    <tableColumn id="32" xr3:uid="{EFBB1939-F302-4B7A-9F64-497641B4D95B}" name="*dh_area"/>
    <tableColumn id="33" xr3:uid="{043B34B2-5F17-456A-A09F-46E40B1F5EC0}" name="*output"/>
    <tableColumn id="34" xr3:uid="{25A681F0-0B4A-4677-A849-8EE3344FB5B6}" name="*AFAforTrans"/>
    <tableColumn id="35" xr3:uid="{543B954B-A670-4A94-8A9E-FA755DDE9B72}" name="*planttype_short"/>
    <tableColumn id="36" xr3:uid="{4D84BEA4-D561-4458-8058-92FE02C683A6}" name="*availability.pct"/>
    <tableColumn id="37" xr3:uid="{61E2B6FE-9006-440F-BFD3-6C18BB757F5D}" name="*category"/>
    <tableColumn id="38" xr3:uid="{BBBA4265-04F6-4809-B405-45A8A84AFC48}" name="*techNumber"/>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4"/>
  <sheetViews>
    <sheetView workbookViewId="0">
      <selection activeCell="B29" sqref="B29"/>
    </sheetView>
  </sheetViews>
  <sheetFormatPr defaultRowHeight="13.8" x14ac:dyDescent="0.3"/>
  <cols>
    <col min="1" max="1" width="11.5546875" customWidth="1"/>
    <col min="2" max="2" width="15.6640625" customWidth="1"/>
    <col min="3" max="3" width="13.88671875" customWidth="1"/>
    <col min="4" max="4" width="19.88671875" customWidth="1"/>
    <col min="5" max="5" width="60.33203125" customWidth="1"/>
  </cols>
  <sheetData>
    <row r="3" spans="1:5" x14ac:dyDescent="0.3">
      <c r="A3" s="92" t="s">
        <v>173</v>
      </c>
      <c r="B3" s="92" t="s">
        <v>174</v>
      </c>
      <c r="C3" s="92" t="s">
        <v>175</v>
      </c>
      <c r="D3" s="92" t="s">
        <v>176</v>
      </c>
      <c r="E3" s="92" t="s">
        <v>177</v>
      </c>
    </row>
    <row r="4" spans="1:5" s="102" customFormat="1" x14ac:dyDescent="0.3">
      <c r="A4" s="103">
        <v>42866</v>
      </c>
      <c r="B4" s="102" t="s">
        <v>178</v>
      </c>
      <c r="C4" s="102" t="s">
        <v>179</v>
      </c>
      <c r="D4" s="102" t="e">
        <f>ADDRESS(ROW(Tech!#REF!),COLUMN(Tech!#REF!),4,1)&amp;","&amp;ADDRESS(ROW(Tech!#REF!),COLUMN(Tech!#REF!),4,1)&amp;","&amp;ADDRESS(ROW(Tech!#REF!),COLUMN(Tech!#REF!),4,1)&amp;","&amp;ADDRESS(ROW(Tech!#REF!),COLUMN(Tech!#REF!),4,1)</f>
        <v>#REF!</v>
      </c>
      <c r="E4" s="102" t="s">
        <v>180</v>
      </c>
    </row>
  </sheetData>
  <pageMargins left="0.7" right="0.7" top="0.75" bottom="0.75" header="0.3" footer="0.3"/>
  <pageSetup paperSize="9" orientation="portrait" horizontalDpi="1200" verticalDpi="12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BE788-A5E6-40BF-86B7-672441260D96}">
  <dimension ref="A1:AB56"/>
  <sheetViews>
    <sheetView showGridLines="0" topLeftCell="J1" zoomScaleNormal="100" workbookViewId="0">
      <selection activeCell="S19" sqref="R19:S19"/>
    </sheetView>
  </sheetViews>
  <sheetFormatPr defaultColWidth="9.109375" defaultRowHeight="13.8" x14ac:dyDescent="0.25"/>
  <cols>
    <col min="1" max="1" width="8.6640625" style="244" bestFit="1" customWidth="1"/>
    <col min="2" max="2" width="31.5546875" style="244" bestFit="1" customWidth="1"/>
    <col min="3" max="20" width="11.6640625" style="244" customWidth="1"/>
    <col min="21" max="26" width="9.109375" style="244"/>
    <col min="27" max="27" width="9.6640625" style="244" bestFit="1" customWidth="1"/>
    <col min="28" max="256" width="9.109375" style="244"/>
    <col min="257" max="257" width="8.6640625" style="244" bestFit="1" customWidth="1"/>
    <col min="258" max="258" width="31.5546875" style="244" bestFit="1" customWidth="1"/>
    <col min="259" max="276" width="11.6640625" style="244" customWidth="1"/>
    <col min="277" max="282" width="9.109375" style="244"/>
    <col min="283" max="283" width="9.6640625" style="244" bestFit="1" customWidth="1"/>
    <col min="284" max="512" width="9.109375" style="244"/>
    <col min="513" max="513" width="8.6640625" style="244" bestFit="1" customWidth="1"/>
    <col min="514" max="514" width="31.5546875" style="244" bestFit="1" customWidth="1"/>
    <col min="515" max="532" width="11.6640625" style="244" customWidth="1"/>
    <col min="533" max="538" width="9.109375" style="244"/>
    <col min="539" max="539" width="9.6640625" style="244" bestFit="1" customWidth="1"/>
    <col min="540" max="768" width="9.109375" style="244"/>
    <col min="769" max="769" width="8.6640625" style="244" bestFit="1" customWidth="1"/>
    <col min="770" max="770" width="31.5546875" style="244" bestFit="1" customWidth="1"/>
    <col min="771" max="788" width="11.6640625" style="244" customWidth="1"/>
    <col min="789" max="794" width="9.109375" style="244"/>
    <col min="795" max="795" width="9.6640625" style="244" bestFit="1" customWidth="1"/>
    <col min="796" max="1024" width="9.109375" style="244"/>
    <col min="1025" max="1025" width="8.6640625" style="244" bestFit="1" customWidth="1"/>
    <col min="1026" max="1026" width="31.5546875" style="244" bestFit="1" customWidth="1"/>
    <col min="1027" max="1044" width="11.6640625" style="244" customWidth="1"/>
    <col min="1045" max="1050" width="9.109375" style="244"/>
    <col min="1051" max="1051" width="9.6640625" style="244" bestFit="1" customWidth="1"/>
    <col min="1052" max="1280" width="9.109375" style="244"/>
    <col min="1281" max="1281" width="8.6640625" style="244" bestFit="1" customWidth="1"/>
    <col min="1282" max="1282" width="31.5546875" style="244" bestFit="1" customWidth="1"/>
    <col min="1283" max="1300" width="11.6640625" style="244" customWidth="1"/>
    <col min="1301" max="1306" width="9.109375" style="244"/>
    <col min="1307" max="1307" width="9.6640625" style="244" bestFit="1" customWidth="1"/>
    <col min="1308" max="1536" width="9.109375" style="244"/>
    <col min="1537" max="1537" width="8.6640625" style="244" bestFit="1" customWidth="1"/>
    <col min="1538" max="1538" width="31.5546875" style="244" bestFit="1" customWidth="1"/>
    <col min="1539" max="1556" width="11.6640625" style="244" customWidth="1"/>
    <col min="1557" max="1562" width="9.109375" style="244"/>
    <col min="1563" max="1563" width="9.6640625" style="244" bestFit="1" customWidth="1"/>
    <col min="1564" max="1792" width="9.109375" style="244"/>
    <col min="1793" max="1793" width="8.6640625" style="244" bestFit="1" customWidth="1"/>
    <col min="1794" max="1794" width="31.5546875" style="244" bestFit="1" customWidth="1"/>
    <col min="1795" max="1812" width="11.6640625" style="244" customWidth="1"/>
    <col min="1813" max="1818" width="9.109375" style="244"/>
    <col min="1819" max="1819" width="9.6640625" style="244" bestFit="1" customWidth="1"/>
    <col min="1820" max="2048" width="9.109375" style="244"/>
    <col min="2049" max="2049" width="8.6640625" style="244" bestFit="1" customWidth="1"/>
    <col min="2050" max="2050" width="31.5546875" style="244" bestFit="1" customWidth="1"/>
    <col min="2051" max="2068" width="11.6640625" style="244" customWidth="1"/>
    <col min="2069" max="2074" width="9.109375" style="244"/>
    <col min="2075" max="2075" width="9.6640625" style="244" bestFit="1" customWidth="1"/>
    <col min="2076" max="2304" width="9.109375" style="244"/>
    <col min="2305" max="2305" width="8.6640625" style="244" bestFit="1" customWidth="1"/>
    <col min="2306" max="2306" width="31.5546875" style="244" bestFit="1" customWidth="1"/>
    <col min="2307" max="2324" width="11.6640625" style="244" customWidth="1"/>
    <col min="2325" max="2330" width="9.109375" style="244"/>
    <col min="2331" max="2331" width="9.6640625" style="244" bestFit="1" customWidth="1"/>
    <col min="2332" max="2560" width="9.109375" style="244"/>
    <col min="2561" max="2561" width="8.6640625" style="244" bestFit="1" customWidth="1"/>
    <col min="2562" max="2562" width="31.5546875" style="244" bestFit="1" customWidth="1"/>
    <col min="2563" max="2580" width="11.6640625" style="244" customWidth="1"/>
    <col min="2581" max="2586" width="9.109375" style="244"/>
    <col min="2587" max="2587" width="9.6640625" style="244" bestFit="1" customWidth="1"/>
    <col min="2588" max="2816" width="9.109375" style="244"/>
    <col min="2817" max="2817" width="8.6640625" style="244" bestFit="1" customWidth="1"/>
    <col min="2818" max="2818" width="31.5546875" style="244" bestFit="1" customWidth="1"/>
    <col min="2819" max="2836" width="11.6640625" style="244" customWidth="1"/>
    <col min="2837" max="2842" width="9.109375" style="244"/>
    <col min="2843" max="2843" width="9.6640625" style="244" bestFit="1" customWidth="1"/>
    <col min="2844" max="3072" width="9.109375" style="244"/>
    <col min="3073" max="3073" width="8.6640625" style="244" bestFit="1" customWidth="1"/>
    <col min="3074" max="3074" width="31.5546875" style="244" bestFit="1" customWidth="1"/>
    <col min="3075" max="3092" width="11.6640625" style="244" customWidth="1"/>
    <col min="3093" max="3098" width="9.109375" style="244"/>
    <col min="3099" max="3099" width="9.6640625" style="244" bestFit="1" customWidth="1"/>
    <col min="3100" max="3328" width="9.109375" style="244"/>
    <col min="3329" max="3329" width="8.6640625" style="244" bestFit="1" customWidth="1"/>
    <col min="3330" max="3330" width="31.5546875" style="244" bestFit="1" customWidth="1"/>
    <col min="3331" max="3348" width="11.6640625" style="244" customWidth="1"/>
    <col min="3349" max="3354" width="9.109375" style="244"/>
    <col min="3355" max="3355" width="9.6640625" style="244" bestFit="1" customWidth="1"/>
    <col min="3356" max="3584" width="9.109375" style="244"/>
    <col min="3585" max="3585" width="8.6640625" style="244" bestFit="1" customWidth="1"/>
    <col min="3586" max="3586" width="31.5546875" style="244" bestFit="1" customWidth="1"/>
    <col min="3587" max="3604" width="11.6640625" style="244" customWidth="1"/>
    <col min="3605" max="3610" width="9.109375" style="244"/>
    <col min="3611" max="3611" width="9.6640625" style="244" bestFit="1" customWidth="1"/>
    <col min="3612" max="3840" width="9.109375" style="244"/>
    <col min="3841" max="3841" width="8.6640625" style="244" bestFit="1" customWidth="1"/>
    <col min="3842" max="3842" width="31.5546875" style="244" bestFit="1" customWidth="1"/>
    <col min="3843" max="3860" width="11.6640625" style="244" customWidth="1"/>
    <col min="3861" max="3866" width="9.109375" style="244"/>
    <col min="3867" max="3867" width="9.6640625" style="244" bestFit="1" customWidth="1"/>
    <col min="3868" max="4096" width="9.109375" style="244"/>
    <col min="4097" max="4097" width="8.6640625" style="244" bestFit="1" customWidth="1"/>
    <col min="4098" max="4098" width="31.5546875" style="244" bestFit="1" customWidth="1"/>
    <col min="4099" max="4116" width="11.6640625" style="244" customWidth="1"/>
    <col min="4117" max="4122" width="9.109375" style="244"/>
    <col min="4123" max="4123" width="9.6640625" style="244" bestFit="1" customWidth="1"/>
    <col min="4124" max="4352" width="9.109375" style="244"/>
    <col min="4353" max="4353" width="8.6640625" style="244" bestFit="1" customWidth="1"/>
    <col min="4354" max="4354" width="31.5546875" style="244" bestFit="1" customWidth="1"/>
    <col min="4355" max="4372" width="11.6640625" style="244" customWidth="1"/>
    <col min="4373" max="4378" width="9.109375" style="244"/>
    <col min="4379" max="4379" width="9.6640625" style="244" bestFit="1" customWidth="1"/>
    <col min="4380" max="4608" width="9.109375" style="244"/>
    <col min="4609" max="4609" width="8.6640625" style="244" bestFit="1" customWidth="1"/>
    <col min="4610" max="4610" width="31.5546875" style="244" bestFit="1" customWidth="1"/>
    <col min="4611" max="4628" width="11.6640625" style="244" customWidth="1"/>
    <col min="4629" max="4634" width="9.109375" style="244"/>
    <col min="4635" max="4635" width="9.6640625" style="244" bestFit="1" customWidth="1"/>
    <col min="4636" max="4864" width="9.109375" style="244"/>
    <col min="4865" max="4865" width="8.6640625" style="244" bestFit="1" customWidth="1"/>
    <col min="4866" max="4866" width="31.5546875" style="244" bestFit="1" customWidth="1"/>
    <col min="4867" max="4884" width="11.6640625" style="244" customWidth="1"/>
    <col min="4885" max="4890" width="9.109375" style="244"/>
    <col min="4891" max="4891" width="9.6640625" style="244" bestFit="1" customWidth="1"/>
    <col min="4892" max="5120" width="9.109375" style="244"/>
    <col min="5121" max="5121" width="8.6640625" style="244" bestFit="1" customWidth="1"/>
    <col min="5122" max="5122" width="31.5546875" style="244" bestFit="1" customWidth="1"/>
    <col min="5123" max="5140" width="11.6640625" style="244" customWidth="1"/>
    <col min="5141" max="5146" width="9.109375" style="244"/>
    <col min="5147" max="5147" width="9.6640625" style="244" bestFit="1" customWidth="1"/>
    <col min="5148" max="5376" width="9.109375" style="244"/>
    <col min="5377" max="5377" width="8.6640625" style="244" bestFit="1" customWidth="1"/>
    <col min="5378" max="5378" width="31.5546875" style="244" bestFit="1" customWidth="1"/>
    <col min="5379" max="5396" width="11.6640625" style="244" customWidth="1"/>
    <col min="5397" max="5402" width="9.109375" style="244"/>
    <col min="5403" max="5403" width="9.6640625" style="244" bestFit="1" customWidth="1"/>
    <col min="5404" max="5632" width="9.109375" style="244"/>
    <col min="5633" max="5633" width="8.6640625" style="244" bestFit="1" customWidth="1"/>
    <col min="5634" max="5634" width="31.5546875" style="244" bestFit="1" customWidth="1"/>
    <col min="5635" max="5652" width="11.6640625" style="244" customWidth="1"/>
    <col min="5653" max="5658" width="9.109375" style="244"/>
    <col min="5659" max="5659" width="9.6640625" style="244" bestFit="1" customWidth="1"/>
    <col min="5660" max="5888" width="9.109375" style="244"/>
    <col min="5889" max="5889" width="8.6640625" style="244" bestFit="1" customWidth="1"/>
    <col min="5890" max="5890" width="31.5546875" style="244" bestFit="1" customWidth="1"/>
    <col min="5891" max="5908" width="11.6640625" style="244" customWidth="1"/>
    <col min="5909" max="5914" width="9.109375" style="244"/>
    <col min="5915" max="5915" width="9.6640625" style="244" bestFit="1" customWidth="1"/>
    <col min="5916" max="6144" width="9.109375" style="244"/>
    <col min="6145" max="6145" width="8.6640625" style="244" bestFit="1" customWidth="1"/>
    <col min="6146" max="6146" width="31.5546875" style="244" bestFit="1" customWidth="1"/>
    <col min="6147" max="6164" width="11.6640625" style="244" customWidth="1"/>
    <col min="6165" max="6170" width="9.109375" style="244"/>
    <col min="6171" max="6171" width="9.6640625" style="244" bestFit="1" customWidth="1"/>
    <col min="6172" max="6400" width="9.109375" style="244"/>
    <col min="6401" max="6401" width="8.6640625" style="244" bestFit="1" customWidth="1"/>
    <col min="6402" max="6402" width="31.5546875" style="244" bestFit="1" customWidth="1"/>
    <col min="6403" max="6420" width="11.6640625" style="244" customWidth="1"/>
    <col min="6421" max="6426" width="9.109375" style="244"/>
    <col min="6427" max="6427" width="9.6640625" style="244" bestFit="1" customWidth="1"/>
    <col min="6428" max="6656" width="9.109375" style="244"/>
    <col min="6657" max="6657" width="8.6640625" style="244" bestFit="1" customWidth="1"/>
    <col min="6658" max="6658" width="31.5546875" style="244" bestFit="1" customWidth="1"/>
    <col min="6659" max="6676" width="11.6640625" style="244" customWidth="1"/>
    <col min="6677" max="6682" width="9.109375" style="244"/>
    <col min="6683" max="6683" width="9.6640625" style="244" bestFit="1" customWidth="1"/>
    <col min="6684" max="6912" width="9.109375" style="244"/>
    <col min="6913" max="6913" width="8.6640625" style="244" bestFit="1" customWidth="1"/>
    <col min="6914" max="6914" width="31.5546875" style="244" bestFit="1" customWidth="1"/>
    <col min="6915" max="6932" width="11.6640625" style="244" customWidth="1"/>
    <col min="6933" max="6938" width="9.109375" style="244"/>
    <col min="6939" max="6939" width="9.6640625" style="244" bestFit="1" customWidth="1"/>
    <col min="6940" max="7168" width="9.109375" style="244"/>
    <col min="7169" max="7169" width="8.6640625" style="244" bestFit="1" customWidth="1"/>
    <col min="7170" max="7170" width="31.5546875" style="244" bestFit="1" customWidth="1"/>
    <col min="7171" max="7188" width="11.6640625" style="244" customWidth="1"/>
    <col min="7189" max="7194" width="9.109375" style="244"/>
    <col min="7195" max="7195" width="9.6640625" style="244" bestFit="1" customWidth="1"/>
    <col min="7196" max="7424" width="9.109375" style="244"/>
    <col min="7425" max="7425" width="8.6640625" style="244" bestFit="1" customWidth="1"/>
    <col min="7426" max="7426" width="31.5546875" style="244" bestFit="1" customWidth="1"/>
    <col min="7427" max="7444" width="11.6640625" style="244" customWidth="1"/>
    <col min="7445" max="7450" width="9.109375" style="244"/>
    <col min="7451" max="7451" width="9.6640625" style="244" bestFit="1" customWidth="1"/>
    <col min="7452" max="7680" width="9.109375" style="244"/>
    <col min="7681" max="7681" width="8.6640625" style="244" bestFit="1" customWidth="1"/>
    <col min="7682" max="7682" width="31.5546875" style="244" bestFit="1" customWidth="1"/>
    <col min="7683" max="7700" width="11.6640625" style="244" customWidth="1"/>
    <col min="7701" max="7706" width="9.109375" style="244"/>
    <col min="7707" max="7707" width="9.6640625" style="244" bestFit="1" customWidth="1"/>
    <col min="7708" max="7936" width="9.109375" style="244"/>
    <col min="7937" max="7937" width="8.6640625" style="244" bestFit="1" customWidth="1"/>
    <col min="7938" max="7938" width="31.5546875" style="244" bestFit="1" customWidth="1"/>
    <col min="7939" max="7956" width="11.6640625" style="244" customWidth="1"/>
    <col min="7957" max="7962" width="9.109375" style="244"/>
    <col min="7963" max="7963" width="9.6640625" style="244" bestFit="1" customWidth="1"/>
    <col min="7964" max="8192" width="9.109375" style="244"/>
    <col min="8193" max="8193" width="8.6640625" style="244" bestFit="1" customWidth="1"/>
    <col min="8194" max="8194" width="31.5546875" style="244" bestFit="1" customWidth="1"/>
    <col min="8195" max="8212" width="11.6640625" style="244" customWidth="1"/>
    <col min="8213" max="8218" width="9.109375" style="244"/>
    <col min="8219" max="8219" width="9.6640625" style="244" bestFit="1" customWidth="1"/>
    <col min="8220" max="8448" width="9.109375" style="244"/>
    <col min="8449" max="8449" width="8.6640625" style="244" bestFit="1" customWidth="1"/>
    <col min="8450" max="8450" width="31.5546875" style="244" bestFit="1" customWidth="1"/>
    <col min="8451" max="8468" width="11.6640625" style="244" customWidth="1"/>
    <col min="8469" max="8474" width="9.109375" style="244"/>
    <col min="8475" max="8475" width="9.6640625" style="244" bestFit="1" customWidth="1"/>
    <col min="8476" max="8704" width="9.109375" style="244"/>
    <col min="8705" max="8705" width="8.6640625" style="244" bestFit="1" customWidth="1"/>
    <col min="8706" max="8706" width="31.5546875" style="244" bestFit="1" customWidth="1"/>
    <col min="8707" max="8724" width="11.6640625" style="244" customWidth="1"/>
    <col min="8725" max="8730" width="9.109375" style="244"/>
    <col min="8731" max="8731" width="9.6640625" style="244" bestFit="1" customWidth="1"/>
    <col min="8732" max="8960" width="9.109375" style="244"/>
    <col min="8961" max="8961" width="8.6640625" style="244" bestFit="1" customWidth="1"/>
    <col min="8962" max="8962" width="31.5546875" style="244" bestFit="1" customWidth="1"/>
    <col min="8963" max="8980" width="11.6640625" style="244" customWidth="1"/>
    <col min="8981" max="8986" width="9.109375" style="244"/>
    <col min="8987" max="8987" width="9.6640625" style="244" bestFit="1" customWidth="1"/>
    <col min="8988" max="9216" width="9.109375" style="244"/>
    <col min="9217" max="9217" width="8.6640625" style="244" bestFit="1" customWidth="1"/>
    <col min="9218" max="9218" width="31.5546875" style="244" bestFit="1" customWidth="1"/>
    <col min="9219" max="9236" width="11.6640625" style="244" customWidth="1"/>
    <col min="9237" max="9242" width="9.109375" style="244"/>
    <col min="9243" max="9243" width="9.6640625" style="244" bestFit="1" customWidth="1"/>
    <col min="9244" max="9472" width="9.109375" style="244"/>
    <col min="9473" max="9473" width="8.6640625" style="244" bestFit="1" customWidth="1"/>
    <col min="9474" max="9474" width="31.5546875" style="244" bestFit="1" customWidth="1"/>
    <col min="9475" max="9492" width="11.6640625" style="244" customWidth="1"/>
    <col min="9493" max="9498" width="9.109375" style="244"/>
    <col min="9499" max="9499" width="9.6640625" style="244" bestFit="1" customWidth="1"/>
    <col min="9500" max="9728" width="9.109375" style="244"/>
    <col min="9729" max="9729" width="8.6640625" style="244" bestFit="1" customWidth="1"/>
    <col min="9730" max="9730" width="31.5546875" style="244" bestFit="1" customWidth="1"/>
    <col min="9731" max="9748" width="11.6640625" style="244" customWidth="1"/>
    <col min="9749" max="9754" width="9.109375" style="244"/>
    <col min="9755" max="9755" width="9.6640625" style="244" bestFit="1" customWidth="1"/>
    <col min="9756" max="9984" width="9.109375" style="244"/>
    <col min="9985" max="9985" width="8.6640625" style="244" bestFit="1" customWidth="1"/>
    <col min="9986" max="9986" width="31.5546875" style="244" bestFit="1" customWidth="1"/>
    <col min="9987" max="10004" width="11.6640625" style="244" customWidth="1"/>
    <col min="10005" max="10010" width="9.109375" style="244"/>
    <col min="10011" max="10011" width="9.6640625" style="244" bestFit="1" customWidth="1"/>
    <col min="10012" max="10240" width="9.109375" style="244"/>
    <col min="10241" max="10241" width="8.6640625" style="244" bestFit="1" customWidth="1"/>
    <col min="10242" max="10242" width="31.5546875" style="244" bestFit="1" customWidth="1"/>
    <col min="10243" max="10260" width="11.6640625" style="244" customWidth="1"/>
    <col min="10261" max="10266" width="9.109375" style="244"/>
    <col min="10267" max="10267" width="9.6640625" style="244" bestFit="1" customWidth="1"/>
    <col min="10268" max="10496" width="9.109375" style="244"/>
    <col min="10497" max="10497" width="8.6640625" style="244" bestFit="1" customWidth="1"/>
    <col min="10498" max="10498" width="31.5546875" style="244" bestFit="1" customWidth="1"/>
    <col min="10499" max="10516" width="11.6640625" style="244" customWidth="1"/>
    <col min="10517" max="10522" width="9.109375" style="244"/>
    <col min="10523" max="10523" width="9.6640625" style="244" bestFit="1" customWidth="1"/>
    <col min="10524" max="10752" width="9.109375" style="244"/>
    <col min="10753" max="10753" width="8.6640625" style="244" bestFit="1" customWidth="1"/>
    <col min="10754" max="10754" width="31.5546875" style="244" bestFit="1" customWidth="1"/>
    <col min="10755" max="10772" width="11.6640625" style="244" customWidth="1"/>
    <col min="10773" max="10778" width="9.109375" style="244"/>
    <col min="10779" max="10779" width="9.6640625" style="244" bestFit="1" customWidth="1"/>
    <col min="10780" max="11008" width="9.109375" style="244"/>
    <col min="11009" max="11009" width="8.6640625" style="244" bestFit="1" customWidth="1"/>
    <col min="11010" max="11010" width="31.5546875" style="244" bestFit="1" customWidth="1"/>
    <col min="11011" max="11028" width="11.6640625" style="244" customWidth="1"/>
    <col min="11029" max="11034" width="9.109375" style="244"/>
    <col min="11035" max="11035" width="9.6640625" style="244" bestFit="1" customWidth="1"/>
    <col min="11036" max="11264" width="9.109375" style="244"/>
    <col min="11265" max="11265" width="8.6640625" style="244" bestFit="1" customWidth="1"/>
    <col min="11266" max="11266" width="31.5546875" style="244" bestFit="1" customWidth="1"/>
    <col min="11267" max="11284" width="11.6640625" style="244" customWidth="1"/>
    <col min="11285" max="11290" width="9.109375" style="244"/>
    <col min="11291" max="11291" width="9.6640625" style="244" bestFit="1" customWidth="1"/>
    <col min="11292" max="11520" width="9.109375" style="244"/>
    <col min="11521" max="11521" width="8.6640625" style="244" bestFit="1" customWidth="1"/>
    <col min="11522" max="11522" width="31.5546875" style="244" bestFit="1" customWidth="1"/>
    <col min="11523" max="11540" width="11.6640625" style="244" customWidth="1"/>
    <col min="11541" max="11546" width="9.109375" style="244"/>
    <col min="11547" max="11547" width="9.6640625" style="244" bestFit="1" customWidth="1"/>
    <col min="11548" max="11776" width="9.109375" style="244"/>
    <col min="11777" max="11777" width="8.6640625" style="244" bestFit="1" customWidth="1"/>
    <col min="11778" max="11778" width="31.5546875" style="244" bestFit="1" customWidth="1"/>
    <col min="11779" max="11796" width="11.6640625" style="244" customWidth="1"/>
    <col min="11797" max="11802" width="9.109375" style="244"/>
    <col min="11803" max="11803" width="9.6640625" style="244" bestFit="1" customWidth="1"/>
    <col min="11804" max="12032" width="9.109375" style="244"/>
    <col min="12033" max="12033" width="8.6640625" style="244" bestFit="1" customWidth="1"/>
    <col min="12034" max="12034" width="31.5546875" style="244" bestFit="1" customWidth="1"/>
    <col min="12035" max="12052" width="11.6640625" style="244" customWidth="1"/>
    <col min="12053" max="12058" width="9.109375" style="244"/>
    <col min="12059" max="12059" width="9.6640625" style="244" bestFit="1" customWidth="1"/>
    <col min="12060" max="12288" width="9.109375" style="244"/>
    <col min="12289" max="12289" width="8.6640625" style="244" bestFit="1" customWidth="1"/>
    <col min="12290" max="12290" width="31.5546875" style="244" bestFit="1" customWidth="1"/>
    <col min="12291" max="12308" width="11.6640625" style="244" customWidth="1"/>
    <col min="12309" max="12314" width="9.109375" style="244"/>
    <col min="12315" max="12315" width="9.6640625" style="244" bestFit="1" customWidth="1"/>
    <col min="12316" max="12544" width="9.109375" style="244"/>
    <col min="12545" max="12545" width="8.6640625" style="244" bestFit="1" customWidth="1"/>
    <col min="12546" max="12546" width="31.5546875" style="244" bestFit="1" customWidth="1"/>
    <col min="12547" max="12564" width="11.6640625" style="244" customWidth="1"/>
    <col min="12565" max="12570" width="9.109375" style="244"/>
    <col min="12571" max="12571" width="9.6640625" style="244" bestFit="1" customWidth="1"/>
    <col min="12572" max="12800" width="9.109375" style="244"/>
    <col min="12801" max="12801" width="8.6640625" style="244" bestFit="1" customWidth="1"/>
    <col min="12802" max="12802" width="31.5546875" style="244" bestFit="1" customWidth="1"/>
    <col min="12803" max="12820" width="11.6640625" style="244" customWidth="1"/>
    <col min="12821" max="12826" width="9.109375" style="244"/>
    <col min="12827" max="12827" width="9.6640625" style="244" bestFit="1" customWidth="1"/>
    <col min="12828" max="13056" width="9.109375" style="244"/>
    <col min="13057" max="13057" width="8.6640625" style="244" bestFit="1" customWidth="1"/>
    <col min="13058" max="13058" width="31.5546875" style="244" bestFit="1" customWidth="1"/>
    <col min="13059" max="13076" width="11.6640625" style="244" customWidth="1"/>
    <col min="13077" max="13082" width="9.109375" style="244"/>
    <col min="13083" max="13083" width="9.6640625" style="244" bestFit="1" customWidth="1"/>
    <col min="13084" max="13312" width="9.109375" style="244"/>
    <col min="13313" max="13313" width="8.6640625" style="244" bestFit="1" customWidth="1"/>
    <col min="13314" max="13314" width="31.5546875" style="244" bestFit="1" customWidth="1"/>
    <col min="13315" max="13332" width="11.6640625" style="244" customWidth="1"/>
    <col min="13333" max="13338" width="9.109375" style="244"/>
    <col min="13339" max="13339" width="9.6640625" style="244" bestFit="1" customWidth="1"/>
    <col min="13340" max="13568" width="9.109375" style="244"/>
    <col min="13569" max="13569" width="8.6640625" style="244" bestFit="1" customWidth="1"/>
    <col min="13570" max="13570" width="31.5546875" style="244" bestFit="1" customWidth="1"/>
    <col min="13571" max="13588" width="11.6640625" style="244" customWidth="1"/>
    <col min="13589" max="13594" width="9.109375" style="244"/>
    <col min="13595" max="13595" width="9.6640625" style="244" bestFit="1" customWidth="1"/>
    <col min="13596" max="13824" width="9.109375" style="244"/>
    <col min="13825" max="13825" width="8.6640625" style="244" bestFit="1" customWidth="1"/>
    <col min="13826" max="13826" width="31.5546875" style="244" bestFit="1" customWidth="1"/>
    <col min="13827" max="13844" width="11.6640625" style="244" customWidth="1"/>
    <col min="13845" max="13850" width="9.109375" style="244"/>
    <col min="13851" max="13851" width="9.6640625" style="244" bestFit="1" customWidth="1"/>
    <col min="13852" max="14080" width="9.109375" style="244"/>
    <col min="14081" max="14081" width="8.6640625" style="244" bestFit="1" customWidth="1"/>
    <col min="14082" max="14082" width="31.5546875" style="244" bestFit="1" customWidth="1"/>
    <col min="14083" max="14100" width="11.6640625" style="244" customWidth="1"/>
    <col min="14101" max="14106" width="9.109375" style="244"/>
    <col min="14107" max="14107" width="9.6640625" style="244" bestFit="1" customWidth="1"/>
    <col min="14108" max="14336" width="9.109375" style="244"/>
    <col min="14337" max="14337" width="8.6640625" style="244" bestFit="1" customWidth="1"/>
    <col min="14338" max="14338" width="31.5546875" style="244" bestFit="1" customWidth="1"/>
    <col min="14339" max="14356" width="11.6640625" style="244" customWidth="1"/>
    <col min="14357" max="14362" width="9.109375" style="244"/>
    <col min="14363" max="14363" width="9.6640625" style="244" bestFit="1" customWidth="1"/>
    <col min="14364" max="14592" width="9.109375" style="244"/>
    <col min="14593" max="14593" width="8.6640625" style="244" bestFit="1" customWidth="1"/>
    <col min="14594" max="14594" width="31.5546875" style="244" bestFit="1" customWidth="1"/>
    <col min="14595" max="14612" width="11.6640625" style="244" customWidth="1"/>
    <col min="14613" max="14618" width="9.109375" style="244"/>
    <col min="14619" max="14619" width="9.6640625" style="244" bestFit="1" customWidth="1"/>
    <col min="14620" max="14848" width="9.109375" style="244"/>
    <col min="14849" max="14849" width="8.6640625" style="244" bestFit="1" customWidth="1"/>
    <col min="14850" max="14850" width="31.5546875" style="244" bestFit="1" customWidth="1"/>
    <col min="14851" max="14868" width="11.6640625" style="244" customWidth="1"/>
    <col min="14869" max="14874" width="9.109375" style="244"/>
    <col min="14875" max="14875" width="9.6640625" style="244" bestFit="1" customWidth="1"/>
    <col min="14876" max="15104" width="9.109375" style="244"/>
    <col min="15105" max="15105" width="8.6640625" style="244" bestFit="1" customWidth="1"/>
    <col min="15106" max="15106" width="31.5546875" style="244" bestFit="1" customWidth="1"/>
    <col min="15107" max="15124" width="11.6640625" style="244" customWidth="1"/>
    <col min="15125" max="15130" width="9.109375" style="244"/>
    <col min="15131" max="15131" width="9.6640625" style="244" bestFit="1" customWidth="1"/>
    <col min="15132" max="15360" width="9.109375" style="244"/>
    <col min="15361" max="15361" width="8.6640625" style="244" bestFit="1" customWidth="1"/>
    <col min="15362" max="15362" width="31.5546875" style="244" bestFit="1" customWidth="1"/>
    <col min="15363" max="15380" width="11.6640625" style="244" customWidth="1"/>
    <col min="15381" max="15386" width="9.109375" style="244"/>
    <col min="15387" max="15387" width="9.6640625" style="244" bestFit="1" customWidth="1"/>
    <col min="15388" max="15616" width="9.109375" style="244"/>
    <col min="15617" max="15617" width="8.6640625" style="244" bestFit="1" customWidth="1"/>
    <col min="15618" max="15618" width="31.5546875" style="244" bestFit="1" customWidth="1"/>
    <col min="15619" max="15636" width="11.6640625" style="244" customWidth="1"/>
    <col min="15637" max="15642" width="9.109375" style="244"/>
    <col min="15643" max="15643" width="9.6640625" style="244" bestFit="1" customWidth="1"/>
    <col min="15644" max="15872" width="9.109375" style="244"/>
    <col min="15873" max="15873" width="8.6640625" style="244" bestFit="1" customWidth="1"/>
    <col min="15874" max="15874" width="31.5546875" style="244" bestFit="1" customWidth="1"/>
    <col min="15875" max="15892" width="11.6640625" style="244" customWidth="1"/>
    <col min="15893" max="15898" width="9.109375" style="244"/>
    <col min="15899" max="15899" width="9.6640625" style="244" bestFit="1" customWidth="1"/>
    <col min="15900" max="16128" width="9.109375" style="244"/>
    <col min="16129" max="16129" width="8.6640625" style="244" bestFit="1" customWidth="1"/>
    <col min="16130" max="16130" width="31.5546875" style="244" bestFit="1" customWidth="1"/>
    <col min="16131" max="16148" width="11.6640625" style="244" customWidth="1"/>
    <col min="16149" max="16154" width="9.109375" style="244"/>
    <col min="16155" max="16155" width="9.6640625" style="244" bestFit="1" customWidth="1"/>
    <col min="16156" max="16384" width="9.109375" style="244"/>
  </cols>
  <sheetData>
    <row r="1" spans="2:21" x14ac:dyDescent="0.25">
      <c r="D1" s="245">
        <f>SUM(D18:D25)</f>
        <v>-266941.5</v>
      </c>
      <c r="F1" s="245">
        <f>SUM(F18:F25)</f>
        <v>256780.2</v>
      </c>
      <c r="P1" s="245">
        <f>SUM(P18:P25)</f>
        <v>-241023.59999999998</v>
      </c>
      <c r="Q1" s="245">
        <f>SUM(Q18:Q25)</f>
        <v>-9248.9</v>
      </c>
      <c r="R1" s="245">
        <f>SUM(R18:R25)</f>
        <v>14016</v>
      </c>
      <c r="S1" s="245">
        <f>SUM(S18:S25)</f>
        <v>93862.5</v>
      </c>
    </row>
    <row r="2" spans="2:21" x14ac:dyDescent="0.25">
      <c r="D2" s="245">
        <f>SUM(D22:D25)</f>
        <v>-266941.5</v>
      </c>
      <c r="F2" s="245">
        <f>SUM(F22:F25)</f>
        <v>256013.7</v>
      </c>
      <c r="P2" s="245">
        <f>SUM(P22:P25)</f>
        <v>0</v>
      </c>
      <c r="Q2" s="245">
        <f>SUM(Q22:Q25)</f>
        <v>-2.0999999999999996</v>
      </c>
      <c r="R2" s="245">
        <f>SUM(R22:R25)</f>
        <v>0</v>
      </c>
      <c r="S2" s="245">
        <f>SUM(S22:S25)</f>
        <v>0</v>
      </c>
    </row>
    <row r="3" spans="2:21" x14ac:dyDescent="0.25">
      <c r="B3" s="319" t="s">
        <v>737</v>
      </c>
      <c r="C3" s="319"/>
      <c r="D3" s="319"/>
      <c r="E3" s="319"/>
      <c r="F3" s="319"/>
      <c r="G3" s="319"/>
      <c r="H3" s="319"/>
      <c r="I3" s="319"/>
      <c r="J3" s="319"/>
      <c r="K3" s="319"/>
      <c r="L3" s="319"/>
      <c r="M3" s="319"/>
      <c r="N3" s="319"/>
      <c r="O3" s="319"/>
      <c r="P3" s="319"/>
      <c r="Q3" s="319"/>
      <c r="R3" s="319"/>
      <c r="S3" s="319"/>
      <c r="T3" s="319"/>
    </row>
    <row r="4" spans="2:21" ht="14.4" thickBot="1" x14ac:dyDescent="0.3">
      <c r="B4" s="320" t="s">
        <v>631</v>
      </c>
      <c r="C4" s="320"/>
      <c r="D4" s="320"/>
      <c r="E4" s="320"/>
      <c r="F4" s="320"/>
      <c r="G4" s="320"/>
      <c r="H4" s="320"/>
      <c r="I4" s="320"/>
      <c r="J4" s="320"/>
      <c r="K4" s="320"/>
      <c r="L4" s="320"/>
      <c r="M4" s="320"/>
      <c r="N4" s="320"/>
      <c r="O4" s="320"/>
      <c r="P4" s="320"/>
      <c r="Q4" s="320"/>
      <c r="R4" s="320"/>
      <c r="S4" s="320"/>
      <c r="T4" s="320"/>
    </row>
    <row r="5" spans="2:21" s="246" customFormat="1" ht="18.75" customHeight="1" x14ac:dyDescent="0.3">
      <c r="B5" s="321"/>
      <c r="C5" s="315" t="s">
        <v>632</v>
      </c>
      <c r="D5" s="315" t="s">
        <v>633</v>
      </c>
      <c r="E5" s="315" t="s">
        <v>634</v>
      </c>
      <c r="F5" s="315" t="s">
        <v>635</v>
      </c>
      <c r="G5" s="323" t="s">
        <v>223</v>
      </c>
      <c r="H5" s="324"/>
      <c r="I5" s="324"/>
      <c r="J5" s="324"/>
      <c r="K5" s="324"/>
      <c r="L5" s="324"/>
      <c r="M5" s="324"/>
      <c r="N5" s="324"/>
      <c r="O5" s="325"/>
      <c r="P5" s="315" t="s">
        <v>636</v>
      </c>
      <c r="Q5" s="315" t="s">
        <v>637</v>
      </c>
      <c r="R5" s="315" t="s">
        <v>638</v>
      </c>
      <c r="S5" s="315" t="s">
        <v>639</v>
      </c>
      <c r="T5" s="317" t="s">
        <v>640</v>
      </c>
    </row>
    <row r="6" spans="2:21" s="249" customFormat="1" ht="50.25" customHeight="1" thickBot="1" x14ac:dyDescent="0.35">
      <c r="B6" s="322"/>
      <c r="C6" s="316"/>
      <c r="D6" s="316"/>
      <c r="E6" s="316"/>
      <c r="F6" s="316"/>
      <c r="G6" s="247" t="s">
        <v>641</v>
      </c>
      <c r="H6" s="247" t="s">
        <v>642</v>
      </c>
      <c r="I6" s="247" t="s">
        <v>643</v>
      </c>
      <c r="J6" s="247" t="s">
        <v>644</v>
      </c>
      <c r="K6" s="247" t="s">
        <v>645</v>
      </c>
      <c r="L6" s="247" t="s">
        <v>646</v>
      </c>
      <c r="M6" s="248" t="s">
        <v>647</v>
      </c>
      <c r="N6" s="247" t="s">
        <v>648</v>
      </c>
      <c r="O6" s="247" t="s">
        <v>649</v>
      </c>
      <c r="P6" s="316"/>
      <c r="Q6" s="316"/>
      <c r="R6" s="316"/>
      <c r="S6" s="316"/>
      <c r="T6" s="318"/>
    </row>
    <row r="7" spans="2:21" x14ac:dyDescent="0.25">
      <c r="B7" s="250" t="s">
        <v>650</v>
      </c>
      <c r="C7" s="288">
        <v>2584672.0999999996</v>
      </c>
      <c r="D7" s="288">
        <v>1616076.7</v>
      </c>
      <c r="E7" s="288" t="s">
        <v>308</v>
      </c>
      <c r="F7" s="288" t="s">
        <v>308</v>
      </c>
      <c r="G7" s="288" t="s">
        <v>308</v>
      </c>
      <c r="H7" s="288" t="s">
        <v>308</v>
      </c>
      <c r="I7" s="288" t="s">
        <v>308</v>
      </c>
      <c r="J7" s="288" t="s">
        <v>308</v>
      </c>
      <c r="K7" s="288" t="s">
        <v>308</v>
      </c>
      <c r="L7" s="288" t="s">
        <v>308</v>
      </c>
      <c r="M7" s="288" t="s">
        <v>308</v>
      </c>
      <c r="N7" s="288" t="s">
        <v>308</v>
      </c>
      <c r="O7" s="288" t="s">
        <v>308</v>
      </c>
      <c r="P7" s="288">
        <v>957528.6</v>
      </c>
      <c r="Q7" s="288">
        <v>11066.799999999997</v>
      </c>
      <c r="R7" s="288" t="s">
        <v>308</v>
      </c>
      <c r="S7" s="288" t="s">
        <v>308</v>
      </c>
      <c r="T7" s="289" t="s">
        <v>308</v>
      </c>
    </row>
    <row r="8" spans="2:21" x14ac:dyDescent="0.25">
      <c r="B8" s="251" t="s">
        <v>651</v>
      </c>
      <c r="C8" s="290">
        <v>12678.1</v>
      </c>
      <c r="D8" s="290" t="s">
        <v>308</v>
      </c>
      <c r="E8" s="290" t="s">
        <v>308</v>
      </c>
      <c r="F8" s="290">
        <v>11999.1</v>
      </c>
      <c r="G8" s="290" t="s">
        <v>308</v>
      </c>
      <c r="H8" s="290">
        <v>52.1</v>
      </c>
      <c r="I8" s="290">
        <v>7343.5</v>
      </c>
      <c r="J8" s="290">
        <v>2884</v>
      </c>
      <c r="K8" s="290">
        <v>189.4</v>
      </c>
      <c r="L8" s="290">
        <v>21.3</v>
      </c>
      <c r="M8" s="290" t="s">
        <v>308</v>
      </c>
      <c r="N8" s="290">
        <v>4.0999999999999996</v>
      </c>
      <c r="O8" s="290">
        <v>1504.7</v>
      </c>
      <c r="P8" s="290" t="s">
        <v>308</v>
      </c>
      <c r="Q8" s="290" t="s">
        <v>308</v>
      </c>
      <c r="R8" s="290" t="s">
        <v>308</v>
      </c>
      <c r="S8" s="290">
        <v>492.8</v>
      </c>
      <c r="T8" s="291">
        <v>186.2</v>
      </c>
    </row>
    <row r="9" spans="2:21" x14ac:dyDescent="0.25">
      <c r="B9" s="251" t="s">
        <v>652</v>
      </c>
      <c r="C9" s="290">
        <v>-1861834.3</v>
      </c>
      <c r="D9" s="290">
        <v>-1346170.4</v>
      </c>
      <c r="E9" s="290" t="s">
        <v>308</v>
      </c>
      <c r="F9" s="290">
        <v>-48099.7</v>
      </c>
      <c r="G9" s="290" t="s">
        <v>308</v>
      </c>
      <c r="H9" s="290">
        <v>-2499.3000000000002</v>
      </c>
      <c r="I9" s="290" t="s">
        <v>308</v>
      </c>
      <c r="J9" s="290">
        <v>-5163.6000000000004</v>
      </c>
      <c r="K9" s="290" t="s">
        <v>308</v>
      </c>
      <c r="L9" s="290">
        <v>-32461.200000000001</v>
      </c>
      <c r="M9" s="290">
        <v>-8.5</v>
      </c>
      <c r="N9" s="290">
        <v>-495.5</v>
      </c>
      <c r="O9" s="290">
        <v>-7471.6</v>
      </c>
      <c r="P9" s="290">
        <v>-462197</v>
      </c>
      <c r="Q9" s="290" t="s">
        <v>308</v>
      </c>
      <c r="R9" s="290" t="s">
        <v>308</v>
      </c>
      <c r="S9" s="290">
        <v>-5367.2</v>
      </c>
      <c r="T9" s="291" t="s">
        <v>308</v>
      </c>
    </row>
    <row r="10" spans="2:21" x14ac:dyDescent="0.25">
      <c r="B10" s="252" t="s">
        <v>653</v>
      </c>
      <c r="C10" s="290">
        <v>-14818.8</v>
      </c>
      <c r="D10" s="290" t="s">
        <v>308</v>
      </c>
      <c r="E10" s="290" t="s">
        <v>308</v>
      </c>
      <c r="F10" s="290">
        <v>-14818.8</v>
      </c>
      <c r="G10" s="290" t="s">
        <v>308</v>
      </c>
      <c r="H10" s="290" t="s">
        <v>308</v>
      </c>
      <c r="I10" s="290" t="s">
        <v>308</v>
      </c>
      <c r="J10" s="290">
        <v>-13513.5</v>
      </c>
      <c r="K10" s="290" t="s">
        <v>308</v>
      </c>
      <c r="L10" s="290">
        <v>-1305.3</v>
      </c>
      <c r="M10" s="290" t="s">
        <v>308</v>
      </c>
      <c r="N10" s="290" t="s">
        <v>308</v>
      </c>
      <c r="O10" s="290" t="s">
        <v>308</v>
      </c>
      <c r="P10" s="290" t="s">
        <v>308</v>
      </c>
      <c r="Q10" s="290" t="s">
        <v>308</v>
      </c>
      <c r="R10" s="290" t="s">
        <v>308</v>
      </c>
      <c r="S10" s="290" t="s">
        <v>308</v>
      </c>
      <c r="T10" s="291" t="s">
        <v>308</v>
      </c>
    </row>
    <row r="11" spans="2:21" x14ac:dyDescent="0.25">
      <c r="B11" s="253" t="s">
        <v>654</v>
      </c>
      <c r="C11" s="290">
        <v>-1305.3</v>
      </c>
      <c r="D11" s="290" t="s">
        <v>308</v>
      </c>
      <c r="E11" s="290" t="s">
        <v>308</v>
      </c>
      <c r="F11" s="290">
        <v>-1305.3</v>
      </c>
      <c r="G11" s="290" t="s">
        <v>308</v>
      </c>
      <c r="H11" s="290" t="s">
        <v>308</v>
      </c>
      <c r="I11" s="290" t="s">
        <v>308</v>
      </c>
      <c r="J11" s="290" t="s">
        <v>308</v>
      </c>
      <c r="K11" s="290" t="s">
        <v>308</v>
      </c>
      <c r="L11" s="290">
        <v>-1305.3</v>
      </c>
      <c r="M11" s="290" t="s">
        <v>308</v>
      </c>
      <c r="N11" s="290" t="s">
        <v>308</v>
      </c>
      <c r="O11" s="290" t="s">
        <v>308</v>
      </c>
      <c r="P11" s="290" t="s">
        <v>308</v>
      </c>
      <c r="Q11" s="290" t="s">
        <v>308</v>
      </c>
      <c r="R11" s="290" t="s">
        <v>308</v>
      </c>
      <c r="S11" s="290" t="s">
        <v>308</v>
      </c>
      <c r="T11" s="291" t="s">
        <v>308</v>
      </c>
    </row>
    <row r="12" spans="2:21" x14ac:dyDescent="0.25">
      <c r="B12" s="253" t="s">
        <v>655</v>
      </c>
      <c r="C12" s="290">
        <v>-13513.5</v>
      </c>
      <c r="D12" s="290" t="s">
        <v>308</v>
      </c>
      <c r="E12" s="290" t="s">
        <v>308</v>
      </c>
      <c r="F12" s="290">
        <v>-13513.5</v>
      </c>
      <c r="G12" s="290" t="s">
        <v>308</v>
      </c>
      <c r="H12" s="290" t="s">
        <v>308</v>
      </c>
      <c r="I12" s="290" t="s">
        <v>308</v>
      </c>
      <c r="J12" s="290">
        <v>-13513.5</v>
      </c>
      <c r="K12" s="290" t="s">
        <v>308</v>
      </c>
      <c r="L12" s="290" t="s">
        <v>308</v>
      </c>
      <c r="M12" s="290" t="s">
        <v>308</v>
      </c>
      <c r="N12" s="290" t="s">
        <v>308</v>
      </c>
      <c r="O12" s="290" t="s">
        <v>308</v>
      </c>
      <c r="P12" s="290" t="s">
        <v>308</v>
      </c>
      <c r="Q12" s="290" t="s">
        <v>308</v>
      </c>
      <c r="R12" s="290" t="s">
        <v>308</v>
      </c>
      <c r="S12" s="290" t="s">
        <v>308</v>
      </c>
      <c r="T12" s="291" t="s">
        <v>308</v>
      </c>
    </row>
    <row r="13" spans="2:21" x14ac:dyDescent="0.25">
      <c r="B13" s="254" t="s">
        <v>656</v>
      </c>
      <c r="C13" s="290">
        <v>-7141.9000000000005</v>
      </c>
      <c r="D13" s="290">
        <v>-758.4</v>
      </c>
      <c r="E13" s="290" t="s">
        <v>308</v>
      </c>
      <c r="F13" s="290">
        <v>-1403.8000000000002</v>
      </c>
      <c r="G13" s="290" t="s">
        <v>308</v>
      </c>
      <c r="H13" s="290">
        <v>464.7</v>
      </c>
      <c r="I13" s="290">
        <v>1114.5</v>
      </c>
      <c r="J13" s="290">
        <v>-25.9</v>
      </c>
      <c r="K13" s="290" t="s">
        <v>308</v>
      </c>
      <c r="L13" s="290">
        <v>170.6</v>
      </c>
      <c r="M13" s="290">
        <v>-2081.5</v>
      </c>
      <c r="N13" s="290">
        <v>-200.6</v>
      </c>
      <c r="O13" s="290">
        <v>-845.6</v>
      </c>
      <c r="P13" s="290">
        <v>-4948.8999999999996</v>
      </c>
      <c r="Q13" s="290">
        <v>-33.6</v>
      </c>
      <c r="R13" s="290" t="s">
        <v>308</v>
      </c>
      <c r="S13" s="290" t="s">
        <v>308</v>
      </c>
      <c r="T13" s="291">
        <v>2.8</v>
      </c>
    </row>
    <row r="14" spans="2:21" x14ac:dyDescent="0.25">
      <c r="B14" s="255" t="s">
        <v>657</v>
      </c>
      <c r="C14" s="292">
        <v>713555.2</v>
      </c>
      <c r="D14" s="292">
        <v>269147.90000000002</v>
      </c>
      <c r="E14" s="290" t="s">
        <v>308</v>
      </c>
      <c r="F14" s="292">
        <v>-52323.199999999997</v>
      </c>
      <c r="G14" s="290" t="s">
        <v>308</v>
      </c>
      <c r="H14" s="290">
        <v>-1982.5</v>
      </c>
      <c r="I14" s="290">
        <v>8458</v>
      </c>
      <c r="J14" s="290">
        <v>-15819</v>
      </c>
      <c r="K14" s="290">
        <v>189.4</v>
      </c>
      <c r="L14" s="290">
        <v>-33574.6</v>
      </c>
      <c r="M14" s="290">
        <v>-2090</v>
      </c>
      <c r="N14" s="290">
        <v>-692</v>
      </c>
      <c r="O14" s="290">
        <v>-6812.5</v>
      </c>
      <c r="P14" s="292">
        <v>490382.7</v>
      </c>
      <c r="Q14" s="292">
        <v>11033.199999999999</v>
      </c>
      <c r="R14" s="290" t="s">
        <v>308</v>
      </c>
      <c r="S14" s="292">
        <v>-4874.3999999999996</v>
      </c>
      <c r="T14" s="293">
        <v>189</v>
      </c>
      <c r="U14" s="245"/>
    </row>
    <row r="15" spans="2:21" x14ac:dyDescent="0.25">
      <c r="B15" s="256" t="s">
        <v>658</v>
      </c>
      <c r="C15" s="292">
        <v>2461.4</v>
      </c>
      <c r="D15" s="292" t="s">
        <v>308</v>
      </c>
      <c r="E15" s="290" t="s">
        <v>308</v>
      </c>
      <c r="F15" s="292">
        <v>955.00000000000011</v>
      </c>
      <c r="G15" s="290" t="s">
        <v>308</v>
      </c>
      <c r="H15" s="290" t="s">
        <v>308</v>
      </c>
      <c r="I15" s="290">
        <v>375.8</v>
      </c>
      <c r="J15" s="290" t="s">
        <v>308</v>
      </c>
      <c r="K15" s="290" t="s">
        <v>308</v>
      </c>
      <c r="L15" s="290">
        <v>563.1</v>
      </c>
      <c r="M15" s="290" t="s">
        <v>308</v>
      </c>
      <c r="N15" s="290" t="s">
        <v>308</v>
      </c>
      <c r="O15" s="290">
        <v>16.100000000000001</v>
      </c>
      <c r="P15" s="292">
        <v>1402.3</v>
      </c>
      <c r="Q15" s="290" t="s">
        <v>308</v>
      </c>
      <c r="R15" s="290" t="s">
        <v>308</v>
      </c>
      <c r="S15" s="292">
        <v>104.1</v>
      </c>
      <c r="T15" s="291" t="s">
        <v>308</v>
      </c>
      <c r="U15" s="245"/>
    </row>
    <row r="16" spans="2:21" x14ac:dyDescent="0.25">
      <c r="B16" s="256" t="s">
        <v>659</v>
      </c>
      <c r="C16" s="290" t="s">
        <v>308</v>
      </c>
      <c r="D16" s="290" t="s">
        <v>308</v>
      </c>
      <c r="E16" s="290" t="s">
        <v>308</v>
      </c>
      <c r="F16" s="290" t="s">
        <v>308</v>
      </c>
      <c r="G16" s="290" t="s">
        <v>308</v>
      </c>
      <c r="H16" s="290" t="s">
        <v>308</v>
      </c>
      <c r="I16" s="290" t="s">
        <v>308</v>
      </c>
      <c r="J16" s="290" t="s">
        <v>308</v>
      </c>
      <c r="K16" s="290" t="s">
        <v>308</v>
      </c>
      <c r="L16" s="290" t="s">
        <v>308</v>
      </c>
      <c r="M16" s="290" t="s">
        <v>308</v>
      </c>
      <c r="N16" s="290" t="s">
        <v>308</v>
      </c>
      <c r="O16" s="290" t="s">
        <v>308</v>
      </c>
      <c r="P16" s="290" t="s">
        <v>308</v>
      </c>
      <c r="Q16" s="290" t="s">
        <v>308</v>
      </c>
      <c r="R16" s="290" t="s">
        <v>308</v>
      </c>
      <c r="S16" s="290" t="s">
        <v>308</v>
      </c>
      <c r="T16" s="291" t="s">
        <v>308</v>
      </c>
    </row>
    <row r="17" spans="1:28" x14ac:dyDescent="0.25">
      <c r="B17" s="256" t="s">
        <v>660</v>
      </c>
      <c r="C17" s="292">
        <v>-152555.29999999999</v>
      </c>
      <c r="D17" s="292">
        <v>-266941.5</v>
      </c>
      <c r="E17" s="290" t="s">
        <v>308</v>
      </c>
      <c r="F17" s="292">
        <v>256780.2</v>
      </c>
      <c r="G17" s="290">
        <v>10275.5</v>
      </c>
      <c r="H17" s="290">
        <v>9959.2000000000007</v>
      </c>
      <c r="I17" s="290">
        <v>50169</v>
      </c>
      <c r="J17" s="290">
        <v>28779.8</v>
      </c>
      <c r="K17" s="290" t="s">
        <v>308</v>
      </c>
      <c r="L17" s="290">
        <v>95067.5</v>
      </c>
      <c r="M17" s="290">
        <v>5365.2</v>
      </c>
      <c r="N17" s="290">
        <v>10650.6</v>
      </c>
      <c r="O17" s="290">
        <v>46513.4</v>
      </c>
      <c r="P17" s="292">
        <v>-241023.6</v>
      </c>
      <c r="Q17" s="292">
        <v>-9248.8999999999978</v>
      </c>
      <c r="R17" s="292">
        <v>14016</v>
      </c>
      <c r="S17" s="292">
        <v>93862.5</v>
      </c>
      <c r="T17" s="291" t="s">
        <v>308</v>
      </c>
      <c r="U17" s="245"/>
    </row>
    <row r="18" spans="1:28" x14ac:dyDescent="0.25">
      <c r="B18" s="253" t="s">
        <v>661</v>
      </c>
      <c r="C18" s="290">
        <v>-85949.999999999985</v>
      </c>
      <c r="D18" s="290" t="s">
        <v>308</v>
      </c>
      <c r="E18" s="290" t="s">
        <v>308</v>
      </c>
      <c r="F18" s="290">
        <v>-597.20000000000005</v>
      </c>
      <c r="G18" s="290" t="s">
        <v>308</v>
      </c>
      <c r="H18" s="290" t="s">
        <v>308</v>
      </c>
      <c r="I18" s="290" t="s">
        <v>308</v>
      </c>
      <c r="J18" s="290" t="s">
        <v>308</v>
      </c>
      <c r="K18" s="290" t="s">
        <v>308</v>
      </c>
      <c r="L18" s="290">
        <v>-597.20000000000005</v>
      </c>
      <c r="M18" s="290" t="s">
        <v>308</v>
      </c>
      <c r="N18" s="290" t="s">
        <v>308</v>
      </c>
      <c r="O18" s="290" t="s">
        <v>308</v>
      </c>
      <c r="P18" s="290">
        <v>-142783.79999999999</v>
      </c>
      <c r="Q18" s="290">
        <v>-9246.7999999999993</v>
      </c>
      <c r="R18" s="290" t="s">
        <v>308</v>
      </c>
      <c r="S18" s="290">
        <v>66677.8</v>
      </c>
      <c r="T18" s="291" t="s">
        <v>308</v>
      </c>
      <c r="U18" s="244">
        <f>S18/SUM(P18:Q18)</f>
        <v>-0.43858144347256417</v>
      </c>
      <c r="V18" s="257">
        <f>(S18+Q18)/SUM(G18:P18)*-1</f>
        <v>0.40054818978804724</v>
      </c>
      <c r="X18" s="258">
        <f>SUM(R18:S18)/SUM(G18:Q18)*-1</f>
        <v>0.43686536790807445</v>
      </c>
    </row>
    <row r="19" spans="1:28" x14ac:dyDescent="0.25">
      <c r="B19" s="253" t="s">
        <v>662</v>
      </c>
      <c r="C19" s="290">
        <v>-54926.900000000009</v>
      </c>
      <c r="D19" s="290" t="s">
        <v>308</v>
      </c>
      <c r="E19" s="290" t="s">
        <v>308</v>
      </c>
      <c r="F19" s="290">
        <v>-8.5</v>
      </c>
      <c r="G19" s="290" t="s">
        <v>308</v>
      </c>
      <c r="H19" s="290" t="s">
        <v>308</v>
      </c>
      <c r="I19" s="290" t="s">
        <v>308</v>
      </c>
      <c r="J19" s="290" t="s">
        <v>308</v>
      </c>
      <c r="K19" s="290" t="s">
        <v>308</v>
      </c>
      <c r="L19" s="290">
        <v>-8.5</v>
      </c>
      <c r="M19" s="290" t="s">
        <v>308</v>
      </c>
      <c r="N19" s="290" t="s">
        <v>308</v>
      </c>
      <c r="O19" s="290" t="s">
        <v>308</v>
      </c>
      <c r="P19" s="290">
        <v>-89888.8</v>
      </c>
      <c r="Q19" s="290" t="s">
        <v>308</v>
      </c>
      <c r="R19" s="290">
        <v>7785.7</v>
      </c>
      <c r="S19" s="290">
        <v>27184.7</v>
      </c>
      <c r="T19" s="291" t="s">
        <v>308</v>
      </c>
      <c r="U19" s="244">
        <f>R19/S19</f>
        <v>0.28640007062796352</v>
      </c>
      <c r="V19" s="258">
        <f>SUM(R19:S19)/SUM(G19:Q19)*-1</f>
        <v>0.38900389666875423</v>
      </c>
    </row>
    <row r="20" spans="1:28" x14ac:dyDescent="0.25">
      <c r="B20" s="253" t="s">
        <v>663</v>
      </c>
      <c r="C20" s="290">
        <v>-1922.8999999999996</v>
      </c>
      <c r="D20" s="290" t="s">
        <v>308</v>
      </c>
      <c r="E20" s="290" t="s">
        <v>308</v>
      </c>
      <c r="F20" s="290">
        <v>-17</v>
      </c>
      <c r="G20" s="290" t="s">
        <v>308</v>
      </c>
      <c r="H20" s="290" t="s">
        <v>308</v>
      </c>
      <c r="I20" s="290" t="s">
        <v>308</v>
      </c>
      <c r="J20" s="290" t="s">
        <v>308</v>
      </c>
      <c r="K20" s="290" t="s">
        <v>308</v>
      </c>
      <c r="L20" s="290">
        <v>-8.5</v>
      </c>
      <c r="M20" s="290">
        <v>-8.5</v>
      </c>
      <c r="N20" s="290" t="s">
        <v>308</v>
      </c>
      <c r="O20" s="290" t="s">
        <v>308</v>
      </c>
      <c r="P20" s="290">
        <v>-8136.2</v>
      </c>
      <c r="Q20" s="290" t="s">
        <v>308</v>
      </c>
      <c r="R20" s="290">
        <v>6230.3</v>
      </c>
      <c r="S20" s="290" t="s">
        <v>308</v>
      </c>
      <c r="T20" s="291" t="s">
        <v>308</v>
      </c>
      <c r="V20" s="258">
        <f>SUM(R20:S20)/SUM(G20:Q20)*-1</f>
        <v>0.76415395182259727</v>
      </c>
    </row>
    <row r="21" spans="1:28" x14ac:dyDescent="0.25">
      <c r="B21" s="253" t="s">
        <v>664</v>
      </c>
      <c r="C21" s="290">
        <v>1174.4000000000001</v>
      </c>
      <c r="D21" s="290" t="s">
        <v>308</v>
      </c>
      <c r="E21" s="290" t="s">
        <v>308</v>
      </c>
      <c r="F21" s="290">
        <v>1389.2</v>
      </c>
      <c r="G21" s="290" t="s">
        <v>308</v>
      </c>
      <c r="H21" s="290">
        <v>569.1</v>
      </c>
      <c r="I21" s="290" t="s">
        <v>308</v>
      </c>
      <c r="J21" s="290" t="s">
        <v>308</v>
      </c>
      <c r="K21" s="290" t="s">
        <v>308</v>
      </c>
      <c r="L21" s="290" t="s">
        <v>308</v>
      </c>
      <c r="M21" s="290" t="s">
        <v>308</v>
      </c>
      <c r="N21" s="290" t="s">
        <v>308</v>
      </c>
      <c r="O21" s="290">
        <v>820.1</v>
      </c>
      <c r="P21" s="290">
        <v>-214.8</v>
      </c>
      <c r="Q21" s="290" t="s">
        <v>308</v>
      </c>
      <c r="R21" s="290" t="s">
        <v>308</v>
      </c>
      <c r="S21" s="290" t="s">
        <v>308</v>
      </c>
      <c r="T21" s="291" t="s">
        <v>308</v>
      </c>
    </row>
    <row r="22" spans="1:28" x14ac:dyDescent="0.25">
      <c r="B22" s="253" t="s">
        <v>665</v>
      </c>
      <c r="C22" s="290" t="s">
        <v>308</v>
      </c>
      <c r="D22" s="290" t="s">
        <v>308</v>
      </c>
      <c r="E22" s="290" t="s">
        <v>308</v>
      </c>
      <c r="F22" s="290" t="s">
        <v>308</v>
      </c>
      <c r="G22" s="290" t="s">
        <v>308</v>
      </c>
      <c r="H22" s="290" t="s">
        <v>308</v>
      </c>
      <c r="I22" s="290" t="s">
        <v>308</v>
      </c>
      <c r="J22" s="290" t="s">
        <v>308</v>
      </c>
      <c r="K22" s="290" t="s">
        <v>308</v>
      </c>
      <c r="L22" s="290" t="s">
        <v>308</v>
      </c>
      <c r="M22" s="290" t="s">
        <v>308</v>
      </c>
      <c r="N22" s="290" t="s">
        <v>308</v>
      </c>
      <c r="O22" s="290" t="s">
        <v>308</v>
      </c>
      <c r="P22" s="290" t="s">
        <v>308</v>
      </c>
      <c r="Q22" s="290" t="s">
        <v>308</v>
      </c>
      <c r="R22" s="290" t="s">
        <v>308</v>
      </c>
      <c r="S22" s="290" t="s">
        <v>308</v>
      </c>
      <c r="T22" s="291" t="s">
        <v>308</v>
      </c>
    </row>
    <row r="23" spans="1:28" x14ac:dyDescent="0.25">
      <c r="A23" s="258"/>
      <c r="B23" s="259" t="s">
        <v>666</v>
      </c>
      <c r="C23" s="290">
        <v>-10927.8</v>
      </c>
      <c r="D23" s="290">
        <v>-266941.5</v>
      </c>
      <c r="E23" s="290" t="s">
        <v>308</v>
      </c>
      <c r="F23" s="290">
        <v>256013.7</v>
      </c>
      <c r="G23" s="290">
        <v>10275.5</v>
      </c>
      <c r="H23" s="290">
        <v>9390.1</v>
      </c>
      <c r="I23" s="290">
        <v>50169</v>
      </c>
      <c r="J23" s="290">
        <v>28779.8</v>
      </c>
      <c r="K23" s="290" t="s">
        <v>308</v>
      </c>
      <c r="L23" s="290">
        <v>95681.7</v>
      </c>
      <c r="M23" s="290">
        <v>5373.7</v>
      </c>
      <c r="N23" s="290">
        <v>10650.6</v>
      </c>
      <c r="O23" s="290">
        <v>45693.3</v>
      </c>
      <c r="P23" s="290" t="s">
        <v>308</v>
      </c>
      <c r="Q23" s="290" t="s">
        <v>308</v>
      </c>
      <c r="R23" s="290" t="s">
        <v>308</v>
      </c>
      <c r="S23" s="290" t="s">
        <v>308</v>
      </c>
      <c r="T23" s="291" t="s">
        <v>308</v>
      </c>
      <c r="V23" s="244">
        <v>29</v>
      </c>
      <c r="W23" s="244">
        <f>V23/$V$27</f>
        <v>5.8467741935483868E-2</v>
      </c>
    </row>
    <row r="24" spans="1:28" x14ac:dyDescent="0.25">
      <c r="B24" s="259" t="s">
        <v>667</v>
      </c>
      <c r="C24" s="290" t="s">
        <v>308</v>
      </c>
      <c r="D24" s="290" t="s">
        <v>308</v>
      </c>
      <c r="E24" s="290" t="s">
        <v>308</v>
      </c>
      <c r="F24" s="290" t="s">
        <v>308</v>
      </c>
      <c r="G24" s="290" t="s">
        <v>308</v>
      </c>
      <c r="H24" s="290" t="s">
        <v>308</v>
      </c>
      <c r="I24" s="290" t="s">
        <v>308</v>
      </c>
      <c r="J24" s="290" t="s">
        <v>308</v>
      </c>
      <c r="K24" s="290" t="s">
        <v>308</v>
      </c>
      <c r="L24" s="290" t="s">
        <v>308</v>
      </c>
      <c r="M24" s="290" t="s">
        <v>308</v>
      </c>
      <c r="N24" s="290" t="s">
        <v>308</v>
      </c>
      <c r="O24" s="290" t="s">
        <v>308</v>
      </c>
      <c r="P24" s="290" t="s">
        <v>308</v>
      </c>
      <c r="Q24" s="290" t="s">
        <v>308</v>
      </c>
      <c r="R24" s="290" t="s">
        <v>308</v>
      </c>
      <c r="S24" s="290" t="s">
        <v>308</v>
      </c>
      <c r="T24" s="291" t="s">
        <v>308</v>
      </c>
      <c r="V24" s="244">
        <v>54</v>
      </c>
      <c r="W24" s="244">
        <f>V24/$V$27</f>
        <v>0.10887096774193548</v>
      </c>
    </row>
    <row r="25" spans="1:28" x14ac:dyDescent="0.25">
      <c r="B25" s="253" t="s">
        <v>668</v>
      </c>
      <c r="C25" s="290">
        <v>-2.0999999999999996</v>
      </c>
      <c r="D25" s="290" t="s">
        <v>308</v>
      </c>
      <c r="E25" s="290" t="s">
        <v>308</v>
      </c>
      <c r="F25" s="290" t="s">
        <v>308</v>
      </c>
      <c r="G25" s="290" t="s">
        <v>308</v>
      </c>
      <c r="H25" s="290" t="s">
        <v>308</v>
      </c>
      <c r="I25" s="290" t="s">
        <v>308</v>
      </c>
      <c r="J25" s="290" t="s">
        <v>308</v>
      </c>
      <c r="K25" s="290" t="s">
        <v>308</v>
      </c>
      <c r="L25" s="290" t="s">
        <v>308</v>
      </c>
      <c r="M25" s="290" t="s">
        <v>308</v>
      </c>
      <c r="N25" s="290" t="s">
        <v>308</v>
      </c>
      <c r="O25" s="290" t="s">
        <v>308</v>
      </c>
      <c r="P25" s="290" t="s">
        <v>308</v>
      </c>
      <c r="Q25" s="290">
        <v>-2.0999999999999996</v>
      </c>
      <c r="R25" s="290" t="s">
        <v>308</v>
      </c>
      <c r="S25" s="290" t="s">
        <v>308</v>
      </c>
      <c r="T25" s="291" t="s">
        <v>308</v>
      </c>
      <c r="V25" s="244">
        <v>98</v>
      </c>
      <c r="W25" s="244">
        <f>V25/$V$27</f>
        <v>0.19758064516129031</v>
      </c>
    </row>
    <row r="26" spans="1:28" x14ac:dyDescent="0.25">
      <c r="B26" s="260" t="s">
        <v>669</v>
      </c>
      <c r="C26" s="292">
        <v>47230.5</v>
      </c>
      <c r="D26" s="292">
        <v>452.5</v>
      </c>
      <c r="E26" s="290" t="s">
        <v>308</v>
      </c>
      <c r="F26" s="292">
        <v>13615.7</v>
      </c>
      <c r="G26" s="290">
        <v>7968</v>
      </c>
      <c r="H26" s="290" t="s">
        <v>308</v>
      </c>
      <c r="I26" s="290" t="s">
        <v>308</v>
      </c>
      <c r="J26" s="290" t="s">
        <v>308</v>
      </c>
      <c r="K26" s="290" t="s">
        <v>308</v>
      </c>
      <c r="L26" s="290" t="s">
        <v>308</v>
      </c>
      <c r="M26" s="290" t="s">
        <v>308</v>
      </c>
      <c r="N26" s="290" t="s">
        <v>308</v>
      </c>
      <c r="O26" s="290">
        <v>5647.7</v>
      </c>
      <c r="P26" s="292">
        <v>19479.2</v>
      </c>
      <c r="Q26" s="290" t="s">
        <v>308</v>
      </c>
      <c r="R26" s="292">
        <v>9.6</v>
      </c>
      <c r="S26" s="292">
        <v>13673.5</v>
      </c>
      <c r="T26" s="291" t="s">
        <v>308</v>
      </c>
      <c r="U26" s="245"/>
      <c r="V26" s="244">
        <v>315</v>
      </c>
      <c r="W26" s="244">
        <f>V26/$V$27</f>
        <v>0.63508064516129037</v>
      </c>
    </row>
    <row r="27" spans="1:28" x14ac:dyDescent="0.25">
      <c r="B27" s="260" t="s">
        <v>670</v>
      </c>
      <c r="C27" s="292">
        <v>38719.5</v>
      </c>
      <c r="D27" s="292">
        <v>1753.9</v>
      </c>
      <c r="E27" s="290" t="s">
        <v>308</v>
      </c>
      <c r="F27" s="290" t="s">
        <v>308</v>
      </c>
      <c r="G27" s="290" t="s">
        <v>308</v>
      </c>
      <c r="H27" s="290" t="s">
        <v>308</v>
      </c>
      <c r="I27" s="290" t="s">
        <v>308</v>
      </c>
      <c r="J27" s="290" t="s">
        <v>308</v>
      </c>
      <c r="K27" s="290" t="s">
        <v>308</v>
      </c>
      <c r="L27" s="290" t="s">
        <v>308</v>
      </c>
      <c r="M27" s="290" t="s">
        <v>308</v>
      </c>
      <c r="N27" s="290" t="s">
        <v>308</v>
      </c>
      <c r="O27" s="290" t="s">
        <v>308</v>
      </c>
      <c r="P27" s="292">
        <v>28154.5</v>
      </c>
      <c r="Q27" s="290" t="s">
        <v>308</v>
      </c>
      <c r="R27" s="292">
        <v>798.9</v>
      </c>
      <c r="S27" s="292">
        <v>8012.2</v>
      </c>
      <c r="T27" s="291" t="s">
        <v>308</v>
      </c>
      <c r="U27" s="245"/>
      <c r="V27" s="244">
        <f>SUM(V23:V26)</f>
        <v>496</v>
      </c>
      <c r="W27" s="245"/>
    </row>
    <row r="28" spans="1:28" x14ac:dyDescent="0.25">
      <c r="B28" s="260" t="s">
        <v>671</v>
      </c>
      <c r="C28" s="292">
        <v>472588.5</v>
      </c>
      <c r="D28" s="290" t="s">
        <v>308</v>
      </c>
      <c r="E28" s="290" t="s">
        <v>308</v>
      </c>
      <c r="F28" s="292">
        <v>189886.30000000002</v>
      </c>
      <c r="G28" s="290">
        <v>2307.5</v>
      </c>
      <c r="H28" s="290">
        <v>7976.7</v>
      </c>
      <c r="I28" s="290">
        <v>58251.199999999997</v>
      </c>
      <c r="J28" s="290">
        <v>12960.8</v>
      </c>
      <c r="K28" s="290">
        <v>189.4</v>
      </c>
      <c r="L28" s="290">
        <v>60929.8</v>
      </c>
      <c r="M28" s="290">
        <v>3275.2</v>
      </c>
      <c r="N28" s="290">
        <v>9958.6</v>
      </c>
      <c r="O28" s="290">
        <v>34037.1</v>
      </c>
      <c r="P28" s="292">
        <v>200323.1</v>
      </c>
      <c r="Q28" s="292">
        <v>1784.3000000000002</v>
      </c>
      <c r="R28" s="292">
        <v>13207.5</v>
      </c>
      <c r="S28" s="292">
        <v>67198.3</v>
      </c>
      <c r="T28" s="293">
        <v>189</v>
      </c>
      <c r="U28" s="245"/>
      <c r="Z28" s="245">
        <f>P28-P17</f>
        <v>441346.7</v>
      </c>
      <c r="AA28" s="244">
        <f>Z28*56</f>
        <v>24715415.199999999</v>
      </c>
    </row>
    <row r="29" spans="1:28" x14ac:dyDescent="0.25">
      <c r="B29" s="260" t="s">
        <v>672</v>
      </c>
      <c r="C29" s="292">
        <v>417127.69999999995</v>
      </c>
      <c r="D29" s="290" t="s">
        <v>308</v>
      </c>
      <c r="E29" s="290" t="s">
        <v>308</v>
      </c>
      <c r="F29" s="292">
        <v>135808.9</v>
      </c>
      <c r="G29" s="290" t="s">
        <v>308</v>
      </c>
      <c r="H29" s="290">
        <v>1033.7</v>
      </c>
      <c r="I29" s="290">
        <v>58251.199999999997</v>
      </c>
      <c r="J29" s="290">
        <v>12960.8</v>
      </c>
      <c r="K29" s="290">
        <v>25.8</v>
      </c>
      <c r="L29" s="290">
        <v>60784.800000000003</v>
      </c>
      <c r="M29" s="290">
        <v>2655</v>
      </c>
      <c r="N29" s="290" t="s">
        <v>308</v>
      </c>
      <c r="O29" s="290">
        <v>97.6</v>
      </c>
      <c r="P29" s="292">
        <v>199092.7</v>
      </c>
      <c r="Q29" s="292">
        <v>1784.3000000000002</v>
      </c>
      <c r="R29" s="292">
        <v>13207.5</v>
      </c>
      <c r="S29" s="292">
        <v>67198.3</v>
      </c>
      <c r="T29" s="293">
        <v>36</v>
      </c>
      <c r="U29" s="245"/>
      <c r="W29" s="245">
        <f>SUM(S26:S28)-S14</f>
        <v>93758.399999999994</v>
      </c>
      <c r="AA29" s="244">
        <f>P17*-1*56/1000000</f>
        <v>13.497321599999999</v>
      </c>
      <c r="AB29" s="244" t="s">
        <v>673</v>
      </c>
    </row>
    <row r="30" spans="1:28" x14ac:dyDescent="0.25">
      <c r="B30" s="261" t="s">
        <v>674</v>
      </c>
      <c r="C30" s="292">
        <v>67965.7</v>
      </c>
      <c r="D30" s="290" t="s">
        <v>308</v>
      </c>
      <c r="E30" s="290" t="s">
        <v>308</v>
      </c>
      <c r="F30" s="292">
        <v>5794.4000000000005</v>
      </c>
      <c r="G30" s="290" t="s">
        <v>308</v>
      </c>
      <c r="H30" s="290">
        <v>23.5</v>
      </c>
      <c r="I30" s="290" t="s">
        <v>308</v>
      </c>
      <c r="J30" s="290" t="s">
        <v>308</v>
      </c>
      <c r="K30" s="290" t="s">
        <v>308</v>
      </c>
      <c r="L30" s="290">
        <v>3630</v>
      </c>
      <c r="M30" s="290">
        <v>2043.3</v>
      </c>
      <c r="N30" s="290" t="s">
        <v>308</v>
      </c>
      <c r="O30" s="290">
        <v>97.6</v>
      </c>
      <c r="P30" s="292">
        <v>38903.800000000003</v>
      </c>
      <c r="Q30" s="292">
        <v>269</v>
      </c>
      <c r="R30" s="292">
        <v>7166.1</v>
      </c>
      <c r="S30" s="292">
        <v>15832.4</v>
      </c>
      <c r="T30" s="291" t="s">
        <v>308</v>
      </c>
      <c r="W30" s="245"/>
      <c r="AA30" s="244">
        <f>P28*56/1000000</f>
        <v>11.2180936</v>
      </c>
      <c r="AB30" s="244" t="s">
        <v>675</v>
      </c>
    </row>
    <row r="31" spans="1:28" x14ac:dyDescent="0.25">
      <c r="B31" s="262" t="s">
        <v>676</v>
      </c>
      <c r="C31" s="290">
        <v>2365.1000000000004</v>
      </c>
      <c r="D31" s="290" t="s">
        <v>308</v>
      </c>
      <c r="E31" s="290" t="s">
        <v>308</v>
      </c>
      <c r="F31" s="290" t="s">
        <v>308</v>
      </c>
      <c r="G31" s="290" t="s">
        <v>308</v>
      </c>
      <c r="H31" s="290" t="s">
        <v>308</v>
      </c>
      <c r="I31" s="290" t="s">
        <v>308</v>
      </c>
      <c r="J31" s="290" t="s">
        <v>308</v>
      </c>
      <c r="K31" s="290" t="s">
        <v>308</v>
      </c>
      <c r="L31" s="290" t="s">
        <v>308</v>
      </c>
      <c r="M31" s="290" t="s">
        <v>308</v>
      </c>
      <c r="N31" s="290" t="s">
        <v>308</v>
      </c>
      <c r="O31" s="290" t="s">
        <v>308</v>
      </c>
      <c r="P31" s="290">
        <v>1070.2</v>
      </c>
      <c r="Q31" s="290" t="s">
        <v>308</v>
      </c>
      <c r="R31" s="290" t="s">
        <v>308</v>
      </c>
      <c r="S31" s="290">
        <v>1294.9000000000001</v>
      </c>
      <c r="T31" s="291" t="s">
        <v>308</v>
      </c>
      <c r="AA31" s="244">
        <f>F28*65/1000000</f>
        <v>12.342609500000002</v>
      </c>
      <c r="AB31" s="244" t="s">
        <v>677</v>
      </c>
    </row>
    <row r="32" spans="1:28" x14ac:dyDescent="0.25">
      <c r="B32" s="262" t="s">
        <v>678</v>
      </c>
      <c r="C32" s="290">
        <v>22995.5</v>
      </c>
      <c r="D32" s="290" t="s">
        <v>308</v>
      </c>
      <c r="E32" s="290" t="s">
        <v>308</v>
      </c>
      <c r="F32" s="290">
        <v>85</v>
      </c>
      <c r="G32" s="290" t="s">
        <v>308</v>
      </c>
      <c r="H32" s="290" t="s">
        <v>308</v>
      </c>
      <c r="I32" s="290" t="s">
        <v>308</v>
      </c>
      <c r="J32" s="290" t="s">
        <v>308</v>
      </c>
      <c r="K32" s="290" t="s">
        <v>308</v>
      </c>
      <c r="L32" s="290" t="s">
        <v>308</v>
      </c>
      <c r="M32" s="290" t="s">
        <v>308</v>
      </c>
      <c r="N32" s="290" t="s">
        <v>308</v>
      </c>
      <c r="O32" s="290">
        <v>85</v>
      </c>
      <c r="P32" s="290">
        <v>13917.1</v>
      </c>
      <c r="Q32" s="290" t="s">
        <v>308</v>
      </c>
      <c r="R32" s="290">
        <v>7166.1</v>
      </c>
      <c r="S32" s="290">
        <v>1827.3</v>
      </c>
      <c r="T32" s="291" t="s">
        <v>308</v>
      </c>
    </row>
    <row r="33" spans="2:28" x14ac:dyDescent="0.25">
      <c r="B33" s="262" t="s">
        <v>679</v>
      </c>
      <c r="C33" s="290">
        <v>3361.1</v>
      </c>
      <c r="D33" s="290" t="s">
        <v>308</v>
      </c>
      <c r="E33" s="290" t="s">
        <v>308</v>
      </c>
      <c r="F33" s="290">
        <v>123.2</v>
      </c>
      <c r="G33" s="290" t="s">
        <v>308</v>
      </c>
      <c r="H33" s="290" t="s">
        <v>308</v>
      </c>
      <c r="I33" s="290" t="s">
        <v>308</v>
      </c>
      <c r="J33" s="290" t="s">
        <v>308</v>
      </c>
      <c r="K33" s="290" t="s">
        <v>308</v>
      </c>
      <c r="L33" s="290" t="s">
        <v>308</v>
      </c>
      <c r="M33" s="290">
        <v>123.2</v>
      </c>
      <c r="N33" s="290" t="s">
        <v>308</v>
      </c>
      <c r="O33" s="290" t="s">
        <v>308</v>
      </c>
      <c r="P33" s="290">
        <v>74.2</v>
      </c>
      <c r="Q33" s="290" t="s">
        <v>308</v>
      </c>
      <c r="R33" s="290" t="s">
        <v>308</v>
      </c>
      <c r="S33" s="290">
        <v>3163.7</v>
      </c>
      <c r="T33" s="291" t="s">
        <v>308</v>
      </c>
      <c r="Z33" s="244" t="s">
        <v>680</v>
      </c>
      <c r="AA33" s="244" t="s">
        <v>62</v>
      </c>
    </row>
    <row r="34" spans="2:28" x14ac:dyDescent="0.25">
      <c r="B34" s="262" t="s">
        <v>681</v>
      </c>
      <c r="C34" s="290">
        <v>12373.6</v>
      </c>
      <c r="D34" s="290" t="s">
        <v>308</v>
      </c>
      <c r="E34" s="290" t="s">
        <v>308</v>
      </c>
      <c r="F34" s="290">
        <v>148.6</v>
      </c>
      <c r="G34" s="290" t="s">
        <v>308</v>
      </c>
      <c r="H34" s="290" t="s">
        <v>308</v>
      </c>
      <c r="I34" s="290" t="s">
        <v>308</v>
      </c>
      <c r="J34" s="290" t="s">
        <v>308</v>
      </c>
      <c r="K34" s="290" t="s">
        <v>308</v>
      </c>
      <c r="L34" s="290">
        <v>4.3</v>
      </c>
      <c r="M34" s="290">
        <v>131.69999999999999</v>
      </c>
      <c r="N34" s="290" t="s">
        <v>308</v>
      </c>
      <c r="O34" s="290">
        <v>12.6</v>
      </c>
      <c r="P34" s="290">
        <v>10460.299999999999</v>
      </c>
      <c r="Q34" s="290" t="s">
        <v>308</v>
      </c>
      <c r="R34" s="290" t="s">
        <v>308</v>
      </c>
      <c r="S34" s="290">
        <v>1764.7</v>
      </c>
      <c r="T34" s="291" t="s">
        <v>308</v>
      </c>
      <c r="Z34" s="244">
        <f>AA34*56/1000</f>
        <v>11.920669600000002</v>
      </c>
      <c r="AA34" s="245">
        <f>(-1*P17-P27)/1000</f>
        <v>212.8691</v>
      </c>
      <c r="AB34" s="244" t="s">
        <v>682</v>
      </c>
    </row>
    <row r="35" spans="2:28" x14ac:dyDescent="0.25">
      <c r="B35" s="262" t="s">
        <v>683</v>
      </c>
      <c r="C35" s="290">
        <v>21.5</v>
      </c>
      <c r="D35" s="290" t="s">
        <v>308</v>
      </c>
      <c r="E35" s="290" t="s">
        <v>308</v>
      </c>
      <c r="F35" s="290">
        <v>4.3</v>
      </c>
      <c r="G35" s="290" t="s">
        <v>308</v>
      </c>
      <c r="H35" s="290" t="s">
        <v>308</v>
      </c>
      <c r="I35" s="290" t="s">
        <v>308</v>
      </c>
      <c r="J35" s="290" t="s">
        <v>308</v>
      </c>
      <c r="K35" s="290" t="s">
        <v>308</v>
      </c>
      <c r="L35" s="290">
        <v>4.3</v>
      </c>
      <c r="M35" s="290" t="s">
        <v>308</v>
      </c>
      <c r="N35" s="290" t="s">
        <v>308</v>
      </c>
      <c r="O35" s="290" t="s">
        <v>308</v>
      </c>
      <c r="P35" s="290">
        <v>7.8</v>
      </c>
      <c r="Q35" s="290" t="s">
        <v>308</v>
      </c>
      <c r="R35" s="290" t="s">
        <v>308</v>
      </c>
      <c r="S35" s="290">
        <v>9.4</v>
      </c>
      <c r="T35" s="291" t="s">
        <v>308</v>
      </c>
      <c r="Z35" s="244">
        <f>AA35*65/1000</f>
        <v>0.71030700000000002</v>
      </c>
      <c r="AA35" s="245">
        <f>C23/-1000</f>
        <v>10.9278</v>
      </c>
      <c r="AB35" s="244" t="s">
        <v>684</v>
      </c>
    </row>
    <row r="36" spans="2:28" x14ac:dyDescent="0.25">
      <c r="B36" s="262" t="s">
        <v>685</v>
      </c>
      <c r="C36" s="290">
        <v>1481.5</v>
      </c>
      <c r="D36" s="290" t="s">
        <v>308</v>
      </c>
      <c r="E36" s="290" t="s">
        <v>308</v>
      </c>
      <c r="F36" s="290">
        <v>26</v>
      </c>
      <c r="G36" s="290" t="s">
        <v>308</v>
      </c>
      <c r="H36" s="290">
        <v>4.7</v>
      </c>
      <c r="I36" s="290" t="s">
        <v>308</v>
      </c>
      <c r="J36" s="290" t="s">
        <v>308</v>
      </c>
      <c r="K36" s="290" t="s">
        <v>308</v>
      </c>
      <c r="L36" s="290">
        <v>4.3</v>
      </c>
      <c r="M36" s="290">
        <v>17</v>
      </c>
      <c r="N36" s="290" t="s">
        <v>308</v>
      </c>
      <c r="O36" s="290" t="s">
        <v>308</v>
      </c>
      <c r="P36" s="290">
        <v>703.1</v>
      </c>
      <c r="Q36" s="290" t="s">
        <v>308</v>
      </c>
      <c r="R36" s="290" t="s">
        <v>308</v>
      </c>
      <c r="S36" s="290">
        <v>752.4</v>
      </c>
      <c r="T36" s="291" t="s">
        <v>308</v>
      </c>
      <c r="Z36" s="244">
        <f>AA36*56/1000</f>
        <v>11.2180936</v>
      </c>
      <c r="AA36" s="245">
        <f>P28/1000</f>
        <v>200.32310000000001</v>
      </c>
      <c r="AB36" s="244" t="s">
        <v>686</v>
      </c>
    </row>
    <row r="37" spans="2:28" x14ac:dyDescent="0.25">
      <c r="B37" s="263" t="s">
        <v>687</v>
      </c>
      <c r="C37" s="290">
        <v>1162.8999999999999</v>
      </c>
      <c r="D37" s="290" t="s">
        <v>308</v>
      </c>
      <c r="E37" s="290" t="s">
        <v>308</v>
      </c>
      <c r="F37" s="290">
        <v>328.79999999999995</v>
      </c>
      <c r="G37" s="290" t="s">
        <v>308</v>
      </c>
      <c r="H37" s="290">
        <v>4.7</v>
      </c>
      <c r="I37" s="290" t="s">
        <v>308</v>
      </c>
      <c r="J37" s="290" t="s">
        <v>308</v>
      </c>
      <c r="K37" s="290" t="s">
        <v>308</v>
      </c>
      <c r="L37" s="290">
        <v>319.89999999999998</v>
      </c>
      <c r="M37" s="290">
        <v>4.2</v>
      </c>
      <c r="N37" s="290" t="s">
        <v>308</v>
      </c>
      <c r="O37" s="290" t="s">
        <v>308</v>
      </c>
      <c r="P37" s="290">
        <v>441.4</v>
      </c>
      <c r="Q37" s="290" t="s">
        <v>308</v>
      </c>
      <c r="R37" s="290" t="s">
        <v>308</v>
      </c>
      <c r="S37" s="290">
        <v>392.7</v>
      </c>
      <c r="T37" s="291" t="s">
        <v>308</v>
      </c>
      <c r="Z37" s="244">
        <f>AA37*65/1000</f>
        <v>12.3426095</v>
      </c>
      <c r="AA37" s="245">
        <f>F28/1000</f>
        <v>189.88630000000001</v>
      </c>
      <c r="AB37" s="244" t="s">
        <v>688</v>
      </c>
    </row>
    <row r="38" spans="2:28" x14ac:dyDescent="0.25">
      <c r="B38" s="263" t="s">
        <v>689</v>
      </c>
      <c r="C38" s="290">
        <v>12769.2</v>
      </c>
      <c r="D38" s="290" t="s">
        <v>308</v>
      </c>
      <c r="E38" s="290" t="s">
        <v>308</v>
      </c>
      <c r="F38" s="290">
        <v>289.60000000000002</v>
      </c>
      <c r="G38" s="290" t="s">
        <v>308</v>
      </c>
      <c r="H38" s="290">
        <v>4.7</v>
      </c>
      <c r="I38" s="290" t="s">
        <v>308</v>
      </c>
      <c r="J38" s="290" t="s">
        <v>308</v>
      </c>
      <c r="K38" s="290" t="s">
        <v>308</v>
      </c>
      <c r="L38" s="290">
        <v>89.5</v>
      </c>
      <c r="M38" s="290">
        <v>195.4</v>
      </c>
      <c r="N38" s="290" t="s">
        <v>308</v>
      </c>
      <c r="O38" s="290" t="s">
        <v>308</v>
      </c>
      <c r="P38" s="290">
        <v>9593.1</v>
      </c>
      <c r="Q38" s="290">
        <v>258.5</v>
      </c>
      <c r="R38" s="290" t="s">
        <v>308</v>
      </c>
      <c r="S38" s="290">
        <v>2628</v>
      </c>
      <c r="T38" s="291" t="s">
        <v>308</v>
      </c>
      <c r="Z38" s="264">
        <f>SUM(Z34:Z37)</f>
        <v>36.191679700000002</v>
      </c>
      <c r="AA38" s="265">
        <f>SUM(AA34:AA37)</f>
        <v>614.00630000000001</v>
      </c>
      <c r="AB38" s="264" t="s">
        <v>690</v>
      </c>
    </row>
    <row r="39" spans="2:28" x14ac:dyDescent="0.25">
      <c r="B39" s="263" t="s">
        <v>691</v>
      </c>
      <c r="C39" s="290">
        <v>361.2</v>
      </c>
      <c r="D39" s="290" t="s">
        <v>308</v>
      </c>
      <c r="E39" s="290" t="s">
        <v>308</v>
      </c>
      <c r="F39" s="290" t="s">
        <v>308</v>
      </c>
      <c r="G39" s="290" t="s">
        <v>308</v>
      </c>
      <c r="H39" s="290" t="s">
        <v>308</v>
      </c>
      <c r="I39" s="290" t="s">
        <v>308</v>
      </c>
      <c r="J39" s="290" t="s">
        <v>308</v>
      </c>
      <c r="K39" s="290" t="s">
        <v>308</v>
      </c>
      <c r="L39" s="290" t="s">
        <v>308</v>
      </c>
      <c r="M39" s="290" t="s">
        <v>308</v>
      </c>
      <c r="N39" s="290" t="s">
        <v>308</v>
      </c>
      <c r="O39" s="290" t="s">
        <v>308</v>
      </c>
      <c r="P39" s="290">
        <v>97.7</v>
      </c>
      <c r="Q39" s="290" t="s">
        <v>308</v>
      </c>
      <c r="R39" s="290" t="s">
        <v>308</v>
      </c>
      <c r="S39" s="290">
        <v>263.5</v>
      </c>
      <c r="T39" s="291" t="s">
        <v>308</v>
      </c>
      <c r="Z39" s="244">
        <f>AA39*56*24/1000</f>
        <v>37.839648000000004</v>
      </c>
      <c r="AA39" s="245">
        <f>P27/1000</f>
        <v>28.154499999999999</v>
      </c>
      <c r="AB39" s="244" t="s">
        <v>692</v>
      </c>
    </row>
    <row r="40" spans="2:28" x14ac:dyDescent="0.25">
      <c r="B40" s="262" t="s">
        <v>693</v>
      </c>
      <c r="C40" s="290">
        <v>159.4</v>
      </c>
      <c r="D40" s="290" t="s">
        <v>308</v>
      </c>
      <c r="E40" s="290" t="s">
        <v>308</v>
      </c>
      <c r="F40" s="290" t="s">
        <v>308</v>
      </c>
      <c r="G40" s="290" t="s">
        <v>308</v>
      </c>
      <c r="H40" s="290" t="s">
        <v>308</v>
      </c>
      <c r="I40" s="290" t="s">
        <v>308</v>
      </c>
      <c r="J40" s="290" t="s">
        <v>308</v>
      </c>
      <c r="K40" s="290" t="s">
        <v>308</v>
      </c>
      <c r="L40" s="290" t="s">
        <v>308</v>
      </c>
      <c r="M40" s="290" t="s">
        <v>308</v>
      </c>
      <c r="N40" s="290" t="s">
        <v>308</v>
      </c>
      <c r="O40" s="290" t="s">
        <v>308</v>
      </c>
      <c r="P40" s="290">
        <v>3.9</v>
      </c>
      <c r="Q40" s="290" t="s">
        <v>308</v>
      </c>
      <c r="R40" s="290" t="s">
        <v>308</v>
      </c>
      <c r="S40" s="290">
        <v>155.5</v>
      </c>
      <c r="T40" s="291" t="s">
        <v>308</v>
      </c>
      <c r="Z40" s="265">
        <f>SUM(Z38:Z39)</f>
        <v>74.031327700000006</v>
      </c>
      <c r="AA40" s="265">
        <f>SUM(AA38:AA39)</f>
        <v>642.16079999999999</v>
      </c>
      <c r="AB40" s="264" t="s">
        <v>694</v>
      </c>
    </row>
    <row r="41" spans="2:28" x14ac:dyDescent="0.25">
      <c r="B41" s="263" t="s">
        <v>695</v>
      </c>
      <c r="C41" s="290">
        <v>1170.0999999999999</v>
      </c>
      <c r="D41" s="290" t="s">
        <v>308</v>
      </c>
      <c r="E41" s="290" t="s">
        <v>308</v>
      </c>
      <c r="F41" s="290">
        <v>30.3</v>
      </c>
      <c r="G41" s="290" t="s">
        <v>308</v>
      </c>
      <c r="H41" s="290">
        <v>4.7</v>
      </c>
      <c r="I41" s="290" t="s">
        <v>308</v>
      </c>
      <c r="J41" s="290" t="s">
        <v>308</v>
      </c>
      <c r="K41" s="290" t="s">
        <v>308</v>
      </c>
      <c r="L41" s="290">
        <v>25.6</v>
      </c>
      <c r="M41" s="290" t="s">
        <v>308</v>
      </c>
      <c r="N41" s="290" t="s">
        <v>308</v>
      </c>
      <c r="O41" s="290" t="s">
        <v>308</v>
      </c>
      <c r="P41" s="290">
        <v>519.5</v>
      </c>
      <c r="Q41" s="290" t="s">
        <v>308</v>
      </c>
      <c r="R41" s="290" t="s">
        <v>308</v>
      </c>
      <c r="S41" s="290">
        <v>620.29999999999995</v>
      </c>
      <c r="T41" s="291" t="s">
        <v>308</v>
      </c>
    </row>
    <row r="42" spans="2:28" x14ac:dyDescent="0.25">
      <c r="B42" s="263" t="s">
        <v>696</v>
      </c>
      <c r="C42" s="290">
        <v>8683.7999999999993</v>
      </c>
      <c r="D42" s="290" t="s">
        <v>308</v>
      </c>
      <c r="E42" s="290" t="s">
        <v>308</v>
      </c>
      <c r="F42" s="290">
        <v>4707.5</v>
      </c>
      <c r="G42" s="290" t="s">
        <v>308</v>
      </c>
      <c r="H42" s="290">
        <v>4.7</v>
      </c>
      <c r="I42" s="290" t="s">
        <v>308</v>
      </c>
      <c r="J42" s="290" t="s">
        <v>308</v>
      </c>
      <c r="K42" s="290" t="s">
        <v>308</v>
      </c>
      <c r="L42" s="290">
        <v>3135.2</v>
      </c>
      <c r="M42" s="290">
        <v>1567.6</v>
      </c>
      <c r="N42" s="290" t="s">
        <v>308</v>
      </c>
      <c r="O42" s="290" t="s">
        <v>308</v>
      </c>
      <c r="P42" s="290">
        <v>1562.4</v>
      </c>
      <c r="Q42" s="290">
        <v>10.5</v>
      </c>
      <c r="R42" s="290" t="s">
        <v>308</v>
      </c>
      <c r="S42" s="290">
        <v>2403.4</v>
      </c>
      <c r="T42" s="291" t="s">
        <v>308</v>
      </c>
    </row>
    <row r="43" spans="2:28" x14ac:dyDescent="0.25">
      <c r="B43" s="262" t="s">
        <v>697</v>
      </c>
      <c r="C43" s="290">
        <v>1060.8000000000002</v>
      </c>
      <c r="D43" s="290" t="s">
        <v>308</v>
      </c>
      <c r="E43" s="290" t="s">
        <v>308</v>
      </c>
      <c r="F43" s="290">
        <v>51.1</v>
      </c>
      <c r="G43" s="290" t="s">
        <v>308</v>
      </c>
      <c r="H43" s="290" t="s">
        <v>308</v>
      </c>
      <c r="I43" s="290" t="s">
        <v>308</v>
      </c>
      <c r="J43" s="290" t="s">
        <v>308</v>
      </c>
      <c r="K43" s="290" t="s">
        <v>308</v>
      </c>
      <c r="L43" s="290">
        <v>46.9</v>
      </c>
      <c r="M43" s="290">
        <v>4.2</v>
      </c>
      <c r="N43" s="290" t="s">
        <v>308</v>
      </c>
      <c r="O43" s="290" t="s">
        <v>308</v>
      </c>
      <c r="P43" s="290">
        <v>453.1</v>
      </c>
      <c r="Q43" s="290" t="s">
        <v>308</v>
      </c>
      <c r="R43" s="290" t="s">
        <v>308</v>
      </c>
      <c r="S43" s="290">
        <v>556.6</v>
      </c>
      <c r="T43" s="291" t="s">
        <v>308</v>
      </c>
      <c r="AA43" s="244" t="s">
        <v>698</v>
      </c>
    </row>
    <row r="44" spans="2:28" x14ac:dyDescent="0.25">
      <c r="B44" s="266" t="s">
        <v>699</v>
      </c>
      <c r="C44" s="292">
        <v>116855.90000000001</v>
      </c>
      <c r="D44" s="290" t="s">
        <v>308</v>
      </c>
      <c r="E44" s="290" t="s">
        <v>308</v>
      </c>
      <c r="F44" s="292">
        <v>115375.30000000002</v>
      </c>
      <c r="G44" s="290" t="s">
        <v>308</v>
      </c>
      <c r="H44" s="290">
        <v>848.9</v>
      </c>
      <c r="I44" s="290">
        <v>58030.9</v>
      </c>
      <c r="J44" s="290">
        <v>12960.8</v>
      </c>
      <c r="K44" s="290">
        <v>4.3</v>
      </c>
      <c r="L44" s="290">
        <v>43513.4</v>
      </c>
      <c r="M44" s="290">
        <v>17</v>
      </c>
      <c r="N44" s="290" t="s">
        <v>308</v>
      </c>
      <c r="O44" s="290" t="s">
        <v>308</v>
      </c>
      <c r="P44" s="292">
        <v>23.4</v>
      </c>
      <c r="Q44" s="292">
        <v>2.1</v>
      </c>
      <c r="R44" s="290" t="s">
        <v>308</v>
      </c>
      <c r="S44" s="292">
        <v>1427.4</v>
      </c>
      <c r="T44" s="293">
        <v>27.7</v>
      </c>
      <c r="AA44" s="244">
        <v>14.3</v>
      </c>
      <c r="AB44" s="244" t="s">
        <v>109</v>
      </c>
    </row>
    <row r="45" spans="2:28" x14ac:dyDescent="0.25">
      <c r="B45" s="263" t="s">
        <v>700</v>
      </c>
      <c r="C45" s="290">
        <v>100725.3</v>
      </c>
      <c r="D45" s="290" t="s">
        <v>308</v>
      </c>
      <c r="E45" s="290" t="s">
        <v>308</v>
      </c>
      <c r="F45" s="290">
        <v>100725.3</v>
      </c>
      <c r="G45" s="290" t="s">
        <v>308</v>
      </c>
      <c r="H45" s="290">
        <v>848.9</v>
      </c>
      <c r="I45" s="290">
        <v>58030.9</v>
      </c>
      <c r="J45" s="290" t="s">
        <v>308</v>
      </c>
      <c r="K45" s="290" t="s">
        <v>308</v>
      </c>
      <c r="L45" s="290">
        <v>41845.5</v>
      </c>
      <c r="M45" s="290" t="s">
        <v>308</v>
      </c>
      <c r="N45" s="290" t="s">
        <v>308</v>
      </c>
      <c r="O45" s="290" t="s">
        <v>308</v>
      </c>
      <c r="P45" s="290" t="s">
        <v>308</v>
      </c>
      <c r="Q45" s="290" t="s">
        <v>308</v>
      </c>
      <c r="R45" s="290" t="s">
        <v>308</v>
      </c>
      <c r="S45" s="290" t="s">
        <v>308</v>
      </c>
      <c r="T45" s="291" t="s">
        <v>308</v>
      </c>
      <c r="AA45" s="244">
        <v>6.94</v>
      </c>
      <c r="AB45" s="244" t="s">
        <v>701</v>
      </c>
    </row>
    <row r="46" spans="2:28" x14ac:dyDescent="0.25">
      <c r="B46" s="262" t="s">
        <v>702</v>
      </c>
      <c r="C46" s="290">
        <v>1543</v>
      </c>
      <c r="D46" s="290" t="s">
        <v>308</v>
      </c>
      <c r="E46" s="290" t="s">
        <v>308</v>
      </c>
      <c r="F46" s="290">
        <v>349.7</v>
      </c>
      <c r="G46" s="290" t="s">
        <v>308</v>
      </c>
      <c r="H46" s="290" t="s">
        <v>308</v>
      </c>
      <c r="I46" s="290" t="s">
        <v>308</v>
      </c>
      <c r="J46" s="290" t="s">
        <v>308</v>
      </c>
      <c r="K46" s="290" t="s">
        <v>308</v>
      </c>
      <c r="L46" s="290">
        <v>345.5</v>
      </c>
      <c r="M46" s="290">
        <v>4.2</v>
      </c>
      <c r="N46" s="290" t="s">
        <v>308</v>
      </c>
      <c r="O46" s="290" t="s">
        <v>308</v>
      </c>
      <c r="P46" s="290" t="s">
        <v>308</v>
      </c>
      <c r="Q46" s="290">
        <v>2.1</v>
      </c>
      <c r="R46" s="290" t="s">
        <v>308</v>
      </c>
      <c r="S46" s="290">
        <v>1163.5</v>
      </c>
      <c r="T46" s="291">
        <v>27.7</v>
      </c>
      <c r="AA46" s="244">
        <v>6.7</v>
      </c>
      <c r="AB46" s="244" t="s">
        <v>703</v>
      </c>
    </row>
    <row r="47" spans="2:28" x14ac:dyDescent="0.25">
      <c r="B47" s="263" t="s">
        <v>704</v>
      </c>
      <c r="C47" s="290">
        <v>12977.999999999998</v>
      </c>
      <c r="D47" s="290" t="s">
        <v>308</v>
      </c>
      <c r="E47" s="290" t="s">
        <v>308</v>
      </c>
      <c r="F47" s="290">
        <v>12977.999999999998</v>
      </c>
      <c r="G47" s="290" t="s">
        <v>308</v>
      </c>
      <c r="H47" s="290" t="s">
        <v>308</v>
      </c>
      <c r="I47" s="290" t="s">
        <v>308</v>
      </c>
      <c r="J47" s="290">
        <v>12960.8</v>
      </c>
      <c r="K47" s="290">
        <v>4.3</v>
      </c>
      <c r="L47" s="290">
        <v>12.9</v>
      </c>
      <c r="M47" s="290" t="s">
        <v>308</v>
      </c>
      <c r="N47" s="290" t="s">
        <v>308</v>
      </c>
      <c r="O47" s="290" t="s">
        <v>308</v>
      </c>
      <c r="P47" s="290" t="s">
        <v>308</v>
      </c>
      <c r="Q47" s="290" t="s">
        <v>308</v>
      </c>
      <c r="R47" s="290" t="s">
        <v>308</v>
      </c>
      <c r="S47" s="290" t="s">
        <v>308</v>
      </c>
      <c r="T47" s="291" t="s">
        <v>308</v>
      </c>
      <c r="AA47" s="244">
        <v>6.5</v>
      </c>
      <c r="AB47" s="244" t="s">
        <v>699</v>
      </c>
    </row>
    <row r="48" spans="2:28" x14ac:dyDescent="0.25">
      <c r="B48" s="263" t="s">
        <v>705</v>
      </c>
      <c r="C48" s="290">
        <v>1309.5</v>
      </c>
      <c r="D48" s="290" t="s">
        <v>308</v>
      </c>
      <c r="E48" s="290" t="s">
        <v>308</v>
      </c>
      <c r="F48" s="290">
        <v>1309.5</v>
      </c>
      <c r="G48" s="290" t="s">
        <v>308</v>
      </c>
      <c r="H48" s="290" t="s">
        <v>308</v>
      </c>
      <c r="I48" s="290" t="s">
        <v>308</v>
      </c>
      <c r="J48" s="290" t="s">
        <v>308</v>
      </c>
      <c r="K48" s="290" t="s">
        <v>308</v>
      </c>
      <c r="L48" s="290">
        <v>1309.5</v>
      </c>
      <c r="M48" s="290" t="s">
        <v>308</v>
      </c>
      <c r="N48" s="290" t="s">
        <v>308</v>
      </c>
      <c r="O48" s="290" t="s">
        <v>308</v>
      </c>
      <c r="P48" s="290" t="s">
        <v>308</v>
      </c>
      <c r="Q48" s="290" t="s">
        <v>308</v>
      </c>
      <c r="R48" s="290" t="s">
        <v>308</v>
      </c>
      <c r="S48" s="290" t="s">
        <v>308</v>
      </c>
      <c r="T48" s="291" t="s">
        <v>308</v>
      </c>
      <c r="AA48" s="244">
        <v>3.92</v>
      </c>
      <c r="AB48" s="244" t="s">
        <v>131</v>
      </c>
    </row>
    <row r="49" spans="2:28" x14ac:dyDescent="0.25">
      <c r="B49" s="263" t="s">
        <v>706</v>
      </c>
      <c r="C49" s="290">
        <v>287.29999999999995</v>
      </c>
      <c r="D49" s="290" t="s">
        <v>308</v>
      </c>
      <c r="E49" s="290" t="s">
        <v>308</v>
      </c>
      <c r="F49" s="290" t="s">
        <v>308</v>
      </c>
      <c r="G49" s="290" t="s">
        <v>308</v>
      </c>
      <c r="H49" s="290" t="s">
        <v>308</v>
      </c>
      <c r="I49" s="290" t="s">
        <v>308</v>
      </c>
      <c r="J49" s="290" t="s">
        <v>308</v>
      </c>
      <c r="K49" s="290" t="s">
        <v>308</v>
      </c>
      <c r="L49" s="290" t="s">
        <v>308</v>
      </c>
      <c r="M49" s="290" t="s">
        <v>308</v>
      </c>
      <c r="N49" s="290" t="s">
        <v>308</v>
      </c>
      <c r="O49" s="290" t="s">
        <v>308</v>
      </c>
      <c r="P49" s="290">
        <v>23.4</v>
      </c>
      <c r="Q49" s="290" t="s">
        <v>308</v>
      </c>
      <c r="R49" s="290" t="s">
        <v>308</v>
      </c>
      <c r="S49" s="290">
        <v>263.89999999999998</v>
      </c>
      <c r="T49" s="291" t="s">
        <v>308</v>
      </c>
      <c r="AA49" s="244">
        <v>2.8</v>
      </c>
      <c r="AB49" s="244" t="s">
        <v>707</v>
      </c>
    </row>
    <row r="50" spans="2:28" x14ac:dyDescent="0.25">
      <c r="B50" s="267" t="s">
        <v>708</v>
      </c>
      <c r="C50" s="290">
        <v>12.8</v>
      </c>
      <c r="D50" s="290" t="s">
        <v>308</v>
      </c>
      <c r="E50" s="290" t="s">
        <v>308</v>
      </c>
      <c r="F50" s="290">
        <v>12.8</v>
      </c>
      <c r="G50" s="290" t="s">
        <v>308</v>
      </c>
      <c r="H50" s="290" t="s">
        <v>308</v>
      </c>
      <c r="I50" s="290" t="s">
        <v>308</v>
      </c>
      <c r="J50" s="290" t="s">
        <v>308</v>
      </c>
      <c r="K50" s="290" t="s">
        <v>308</v>
      </c>
      <c r="L50" s="290" t="s">
        <v>308</v>
      </c>
      <c r="M50" s="290">
        <v>12.8</v>
      </c>
      <c r="N50" s="290" t="s">
        <v>308</v>
      </c>
      <c r="O50" s="290" t="s">
        <v>308</v>
      </c>
      <c r="P50" s="290" t="s">
        <v>308</v>
      </c>
      <c r="Q50" s="290" t="s">
        <v>308</v>
      </c>
      <c r="R50" s="290" t="s">
        <v>308</v>
      </c>
      <c r="S50" s="290" t="s">
        <v>308</v>
      </c>
      <c r="T50" s="291" t="s">
        <v>308</v>
      </c>
      <c r="AA50" s="244">
        <v>1.7</v>
      </c>
      <c r="AB50" s="244" t="s">
        <v>709</v>
      </c>
    </row>
    <row r="51" spans="2:28" x14ac:dyDescent="0.25">
      <c r="B51" s="266" t="s">
        <v>710</v>
      </c>
      <c r="C51" s="292">
        <v>232306.1</v>
      </c>
      <c r="D51" s="290" t="s">
        <v>308</v>
      </c>
      <c r="E51" s="290" t="s">
        <v>308</v>
      </c>
      <c r="F51" s="292">
        <v>14639.2</v>
      </c>
      <c r="G51" s="290" t="s">
        <v>308</v>
      </c>
      <c r="H51" s="290">
        <v>161.30000000000001</v>
      </c>
      <c r="I51" s="290">
        <v>220.3</v>
      </c>
      <c r="J51" s="290" t="s">
        <v>308</v>
      </c>
      <c r="K51" s="290">
        <v>21.5</v>
      </c>
      <c r="L51" s="290">
        <v>13641.4</v>
      </c>
      <c r="M51" s="290">
        <v>594.70000000000005</v>
      </c>
      <c r="N51" s="290" t="s">
        <v>308</v>
      </c>
      <c r="O51" s="290" t="s">
        <v>308</v>
      </c>
      <c r="P51" s="292">
        <v>160165.5</v>
      </c>
      <c r="Q51" s="292">
        <v>1513.2</v>
      </c>
      <c r="R51" s="292">
        <v>6041.4</v>
      </c>
      <c r="S51" s="292">
        <v>49938.5</v>
      </c>
      <c r="T51" s="293">
        <v>8.3000000000000007</v>
      </c>
      <c r="AA51" s="244">
        <v>1.36</v>
      </c>
      <c r="AB51" s="244" t="s">
        <v>711</v>
      </c>
    </row>
    <row r="52" spans="2:28" x14ac:dyDescent="0.25">
      <c r="B52" s="262" t="s">
        <v>712</v>
      </c>
      <c r="C52" s="290">
        <v>21730.699999999997</v>
      </c>
      <c r="D52" s="290" t="s">
        <v>308</v>
      </c>
      <c r="E52" s="290" t="s">
        <v>308</v>
      </c>
      <c r="F52" s="290">
        <v>13511.1</v>
      </c>
      <c r="G52" s="290" t="s">
        <v>308</v>
      </c>
      <c r="H52" s="290">
        <v>9.5</v>
      </c>
      <c r="I52" s="290">
        <v>190.1</v>
      </c>
      <c r="J52" s="290" t="s">
        <v>308</v>
      </c>
      <c r="K52" s="290" t="s">
        <v>308</v>
      </c>
      <c r="L52" s="290">
        <v>12971.7</v>
      </c>
      <c r="M52" s="290">
        <v>339.8</v>
      </c>
      <c r="N52" s="290" t="s">
        <v>308</v>
      </c>
      <c r="O52" s="290" t="s">
        <v>308</v>
      </c>
      <c r="P52" s="290">
        <v>4085.7</v>
      </c>
      <c r="Q52" s="290">
        <v>12.6</v>
      </c>
      <c r="R52" s="290" t="s">
        <v>308</v>
      </c>
      <c r="S52" s="290">
        <v>4121.3</v>
      </c>
      <c r="T52" s="291" t="s">
        <v>308</v>
      </c>
      <c r="AA52" s="244">
        <v>0.7</v>
      </c>
      <c r="AB52" s="244" t="s">
        <v>713</v>
      </c>
    </row>
    <row r="53" spans="2:28" x14ac:dyDescent="0.25">
      <c r="B53" s="263" t="s">
        <v>714</v>
      </c>
      <c r="C53" s="290">
        <v>51900.800000000003</v>
      </c>
      <c r="D53" s="290" t="s">
        <v>308</v>
      </c>
      <c r="E53" s="290" t="s">
        <v>308</v>
      </c>
      <c r="F53" s="290">
        <v>636.6</v>
      </c>
      <c r="G53" s="290" t="s">
        <v>308</v>
      </c>
      <c r="H53" s="290">
        <v>19</v>
      </c>
      <c r="I53" s="290" t="s">
        <v>308</v>
      </c>
      <c r="J53" s="290" t="s">
        <v>308</v>
      </c>
      <c r="K53" s="290">
        <v>17.2</v>
      </c>
      <c r="L53" s="290">
        <v>345.5</v>
      </c>
      <c r="M53" s="290">
        <v>254.9</v>
      </c>
      <c r="N53" s="290" t="s">
        <v>308</v>
      </c>
      <c r="O53" s="290" t="s">
        <v>308</v>
      </c>
      <c r="P53" s="290">
        <v>26521.7</v>
      </c>
      <c r="Q53" s="290">
        <v>1042.5</v>
      </c>
      <c r="R53" s="290">
        <v>979.3</v>
      </c>
      <c r="S53" s="290">
        <v>22712.400000000001</v>
      </c>
      <c r="T53" s="291">
        <v>8.3000000000000007</v>
      </c>
      <c r="AA53" s="244">
        <v>-8.4700000000000006</v>
      </c>
      <c r="AB53" s="244" t="s">
        <v>715</v>
      </c>
    </row>
    <row r="54" spans="2:28" x14ac:dyDescent="0.25">
      <c r="B54" s="263" t="s">
        <v>716</v>
      </c>
      <c r="C54" s="290">
        <v>158674.6</v>
      </c>
      <c r="D54" s="290" t="s">
        <v>308</v>
      </c>
      <c r="E54" s="290" t="s">
        <v>308</v>
      </c>
      <c r="F54" s="290">
        <v>491.5</v>
      </c>
      <c r="G54" s="290" t="s">
        <v>308</v>
      </c>
      <c r="H54" s="290">
        <v>132.80000000000001</v>
      </c>
      <c r="I54" s="290">
        <v>30.2</v>
      </c>
      <c r="J54" s="290" t="s">
        <v>308</v>
      </c>
      <c r="K54" s="290">
        <v>4.3</v>
      </c>
      <c r="L54" s="290">
        <v>324.2</v>
      </c>
      <c r="M54" s="290" t="s">
        <v>308</v>
      </c>
      <c r="N54" s="290" t="s">
        <v>308</v>
      </c>
      <c r="O54" s="290" t="s">
        <v>308</v>
      </c>
      <c r="P54" s="290">
        <v>129558.1</v>
      </c>
      <c r="Q54" s="290">
        <v>458.1</v>
      </c>
      <c r="R54" s="290">
        <v>5062.1000000000004</v>
      </c>
      <c r="S54" s="290">
        <v>23104.799999999999</v>
      </c>
      <c r="T54" s="291" t="s">
        <v>308</v>
      </c>
      <c r="AA54" s="244">
        <f>SUM(AA44:AA53)</f>
        <v>36.450000000000003</v>
      </c>
      <c r="AB54" s="244" t="s">
        <v>717</v>
      </c>
    </row>
    <row r="55" spans="2:28" x14ac:dyDescent="0.25">
      <c r="B55" s="263" t="s">
        <v>718</v>
      </c>
      <c r="C55" s="290" t="s">
        <v>308</v>
      </c>
      <c r="D55" s="290" t="s">
        <v>308</v>
      </c>
      <c r="E55" s="290" t="s">
        <v>308</v>
      </c>
      <c r="F55" s="290" t="s">
        <v>308</v>
      </c>
      <c r="G55" s="290" t="s">
        <v>308</v>
      </c>
      <c r="H55" s="290" t="s">
        <v>308</v>
      </c>
      <c r="I55" s="290" t="s">
        <v>308</v>
      </c>
      <c r="J55" s="290" t="s">
        <v>308</v>
      </c>
      <c r="K55" s="290" t="s">
        <v>308</v>
      </c>
      <c r="L55" s="290" t="s">
        <v>308</v>
      </c>
      <c r="M55" s="290" t="s">
        <v>308</v>
      </c>
      <c r="N55" s="290" t="s">
        <v>308</v>
      </c>
      <c r="O55" s="290" t="s">
        <v>308</v>
      </c>
      <c r="P55" s="290" t="s">
        <v>308</v>
      </c>
      <c r="Q55" s="290" t="s">
        <v>308</v>
      </c>
      <c r="R55" s="290" t="s">
        <v>308</v>
      </c>
      <c r="S55" s="290" t="s">
        <v>308</v>
      </c>
      <c r="T55" s="291" t="s">
        <v>308</v>
      </c>
      <c r="AA55" s="244">
        <f>AA44+AA46+AA47+AA49+AA50+AA51+AA52</f>
        <v>34.06</v>
      </c>
      <c r="AB55" s="244" t="s">
        <v>719</v>
      </c>
    </row>
    <row r="56" spans="2:28" ht="14.4" thickBot="1" x14ac:dyDescent="0.3">
      <c r="B56" s="268" t="s">
        <v>720</v>
      </c>
      <c r="C56" s="294">
        <v>55460.800000000003</v>
      </c>
      <c r="D56" s="295" t="s">
        <v>308</v>
      </c>
      <c r="E56" s="295" t="s">
        <v>308</v>
      </c>
      <c r="F56" s="294">
        <v>54077.4</v>
      </c>
      <c r="G56" s="295">
        <v>2307.5</v>
      </c>
      <c r="H56" s="295">
        <v>6943</v>
      </c>
      <c r="I56" s="295" t="s">
        <v>308</v>
      </c>
      <c r="J56" s="295" t="s">
        <v>308</v>
      </c>
      <c r="K56" s="295">
        <v>163.6</v>
      </c>
      <c r="L56" s="295">
        <v>145</v>
      </c>
      <c r="M56" s="295">
        <v>620.20000000000005</v>
      </c>
      <c r="N56" s="295">
        <v>9958.6</v>
      </c>
      <c r="O56" s="295">
        <v>33939.5</v>
      </c>
      <c r="P56" s="294">
        <v>1230.4000000000001</v>
      </c>
      <c r="Q56" s="295" t="s">
        <v>308</v>
      </c>
      <c r="R56" s="295" t="s">
        <v>308</v>
      </c>
      <c r="S56" s="295" t="s">
        <v>308</v>
      </c>
      <c r="T56" s="296">
        <v>153</v>
      </c>
    </row>
  </sheetData>
  <mergeCells count="13">
    <mergeCell ref="R5:R6"/>
    <mergeCell ref="S5:S6"/>
    <mergeCell ref="T5:T6"/>
    <mergeCell ref="B3:T3"/>
    <mergeCell ref="B4:T4"/>
    <mergeCell ref="B5:B6"/>
    <mergeCell ref="C5:C6"/>
    <mergeCell ref="D5:D6"/>
    <mergeCell ref="E5:E6"/>
    <mergeCell ref="F5:F6"/>
    <mergeCell ref="G5:O5"/>
    <mergeCell ref="P5:P6"/>
    <mergeCell ref="Q5:Q6"/>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762F3-E8E9-4349-82A9-6BAA700BBB56}">
  <dimension ref="B1:AM57"/>
  <sheetViews>
    <sheetView topLeftCell="J1" workbookViewId="0">
      <selection activeCell="J9" sqref="J9"/>
    </sheetView>
  </sheetViews>
  <sheetFormatPr defaultColWidth="8.88671875" defaultRowHeight="14.4" x14ac:dyDescent="0.3"/>
  <cols>
    <col min="1" max="1" width="8.88671875" style="234"/>
    <col min="2" max="2" width="15.44140625" style="234" bestFit="1" customWidth="1"/>
    <col min="3" max="3" width="42.33203125" style="234" bestFit="1" customWidth="1"/>
    <col min="4" max="16384" width="8.88671875" style="234"/>
  </cols>
  <sheetData>
    <row r="1" spans="2:39" x14ac:dyDescent="0.3">
      <c r="V1" s="234" t="s">
        <v>582</v>
      </c>
      <c r="W1" s="234" t="str">
        <f>RIGHT(W2,6)</f>
        <v>ELCCH4</v>
      </c>
      <c r="X1" s="234" t="str">
        <f>RIGHT(X2,6)</f>
        <v>ELCN2O</v>
      </c>
      <c r="Y1" s="234" t="str">
        <f>RIGHT(Y2,6)</f>
        <v>ELCSO2</v>
      </c>
      <c r="Z1" s="234" t="str">
        <f>RIGHT(Z2,5)</f>
        <v>ELCPM</v>
      </c>
    </row>
    <row r="2" spans="2:39" x14ac:dyDescent="0.3">
      <c r="B2" s="234" t="s">
        <v>2</v>
      </c>
      <c r="C2" s="234" t="s">
        <v>3</v>
      </c>
      <c r="D2" s="234" t="s">
        <v>5</v>
      </c>
      <c r="E2" s="234" t="s">
        <v>6</v>
      </c>
      <c r="F2" s="234" t="s">
        <v>171</v>
      </c>
      <c r="G2" s="234" t="s">
        <v>354</v>
      </c>
      <c r="H2" s="234" t="s">
        <v>347</v>
      </c>
      <c r="I2" s="234" t="s">
        <v>7</v>
      </c>
      <c r="J2" s="234" t="s">
        <v>348</v>
      </c>
      <c r="K2" s="234" t="s">
        <v>349</v>
      </c>
      <c r="L2" s="234" t="s">
        <v>8</v>
      </c>
      <c r="M2" s="234" t="s">
        <v>10</v>
      </c>
      <c r="N2" s="234" t="s">
        <v>343</v>
      </c>
      <c r="O2" s="234" t="s">
        <v>17</v>
      </c>
      <c r="P2" s="234" t="s">
        <v>18</v>
      </c>
      <c r="Q2" s="234" t="s">
        <v>19</v>
      </c>
      <c r="R2" s="234" t="s">
        <v>20</v>
      </c>
      <c r="S2" s="234" t="s">
        <v>21</v>
      </c>
      <c r="T2" s="234" t="s">
        <v>39</v>
      </c>
      <c r="U2" s="234" t="s">
        <v>350</v>
      </c>
      <c r="V2" s="234" t="s">
        <v>355</v>
      </c>
      <c r="W2" s="234" t="s">
        <v>356</v>
      </c>
      <c r="X2" s="234" t="s">
        <v>357</v>
      </c>
      <c r="Y2" s="234" t="s">
        <v>358</v>
      </c>
      <c r="Z2" s="234" t="s">
        <v>359</v>
      </c>
      <c r="AA2" s="234" t="s">
        <v>360</v>
      </c>
      <c r="AB2" s="234" t="s">
        <v>361</v>
      </c>
      <c r="AC2" s="234" t="s">
        <v>362</v>
      </c>
      <c r="AD2" s="234" t="s">
        <v>363</v>
      </c>
      <c r="AE2" s="234" t="s">
        <v>364</v>
      </c>
      <c r="AF2" s="234" t="s">
        <v>365</v>
      </c>
      <c r="AG2" s="234" t="s">
        <v>366</v>
      </c>
      <c r="AH2" s="234" t="s">
        <v>367</v>
      </c>
      <c r="AI2" s="234" t="s">
        <v>368</v>
      </c>
      <c r="AJ2" s="234" t="s">
        <v>369</v>
      </c>
      <c r="AK2" s="234" t="s">
        <v>370</v>
      </c>
      <c r="AL2" s="234" t="s">
        <v>371</v>
      </c>
      <c r="AM2" s="234" t="s">
        <v>372</v>
      </c>
    </row>
    <row r="3" spans="2:39" x14ac:dyDescent="0.3">
      <c r="B3" s="234" t="s">
        <v>373</v>
      </c>
      <c r="C3" s="234" t="s">
        <v>374</v>
      </c>
      <c r="D3" s="234" t="s">
        <v>38</v>
      </c>
      <c r="E3" s="234" t="s">
        <v>28</v>
      </c>
      <c r="F3" s="234" t="s">
        <v>172</v>
      </c>
      <c r="G3" s="234" t="s">
        <v>375</v>
      </c>
      <c r="H3" s="234">
        <v>2020</v>
      </c>
      <c r="I3" s="234">
        <v>0.2</v>
      </c>
      <c r="N3" s="234">
        <v>37.25</v>
      </c>
      <c r="O3" s="234">
        <v>0.2384</v>
      </c>
      <c r="P3" s="234">
        <v>53.8055555555556</v>
      </c>
      <c r="Q3" s="234">
        <v>3.1536000000000002E-2</v>
      </c>
      <c r="R3" s="234">
        <v>0.96</v>
      </c>
      <c r="S3" s="234">
        <v>1</v>
      </c>
      <c r="T3" s="234">
        <v>15</v>
      </c>
      <c r="U3" s="234">
        <v>0.4</v>
      </c>
      <c r="Y3" s="234">
        <v>270</v>
      </c>
      <c r="AA3" s="234">
        <v>31</v>
      </c>
      <c r="AB3" s="234" t="s">
        <v>376</v>
      </c>
      <c r="AC3" s="234" t="s">
        <v>377</v>
      </c>
      <c r="AD3" s="234" t="s">
        <v>378</v>
      </c>
      <c r="AE3" s="234" t="s">
        <v>157</v>
      </c>
      <c r="AF3" s="234" t="s">
        <v>140</v>
      </c>
      <c r="AG3" s="234" t="s">
        <v>379</v>
      </c>
      <c r="AH3" s="234" t="s">
        <v>380</v>
      </c>
      <c r="AJ3" s="234" t="s">
        <v>381</v>
      </c>
      <c r="AK3" s="234">
        <v>0.96</v>
      </c>
      <c r="AL3" s="234" t="s">
        <v>382</v>
      </c>
      <c r="AM3" s="234">
        <v>1</v>
      </c>
    </row>
    <row r="4" spans="2:39" x14ac:dyDescent="0.3">
      <c r="F4" s="234" t="s">
        <v>172</v>
      </c>
      <c r="G4" s="234" t="s">
        <v>383</v>
      </c>
      <c r="I4" s="234">
        <v>0.22</v>
      </c>
      <c r="N4" s="234">
        <v>28.31</v>
      </c>
      <c r="O4" s="234">
        <v>0.2384</v>
      </c>
      <c r="P4" s="234">
        <v>43.4583333333333</v>
      </c>
      <c r="R4" s="234">
        <v>0.97</v>
      </c>
      <c r="T4" s="234">
        <v>15</v>
      </c>
      <c r="U4" s="234">
        <v>0.3</v>
      </c>
      <c r="Y4" s="234">
        <v>270</v>
      </c>
      <c r="AA4" s="234">
        <v>31</v>
      </c>
      <c r="AB4" s="234" t="s">
        <v>376</v>
      </c>
      <c r="AC4" s="234" t="s">
        <v>377</v>
      </c>
      <c r="AD4" s="234" t="s">
        <v>378</v>
      </c>
      <c r="AE4" s="234" t="s">
        <v>157</v>
      </c>
      <c r="AF4" s="234" t="s">
        <v>140</v>
      </c>
      <c r="AG4" s="234" t="s">
        <v>379</v>
      </c>
      <c r="AH4" s="234" t="s">
        <v>380</v>
      </c>
      <c r="AJ4" s="234" t="s">
        <v>381</v>
      </c>
      <c r="AK4" s="234">
        <v>0.97</v>
      </c>
      <c r="AL4" s="234" t="s">
        <v>382</v>
      </c>
      <c r="AM4" s="234">
        <v>1</v>
      </c>
    </row>
    <row r="5" spans="2:39" x14ac:dyDescent="0.3">
      <c r="F5" s="234" t="s">
        <v>172</v>
      </c>
      <c r="G5" s="234" t="s">
        <v>384</v>
      </c>
      <c r="I5" s="234">
        <v>0.22</v>
      </c>
      <c r="N5" s="234">
        <v>28.31</v>
      </c>
      <c r="O5" s="234">
        <v>0.2384</v>
      </c>
      <c r="P5" s="234">
        <v>43.4583333333333</v>
      </c>
      <c r="R5" s="234">
        <v>0.97</v>
      </c>
      <c r="T5" s="234">
        <v>15</v>
      </c>
      <c r="U5" s="234">
        <v>0.3</v>
      </c>
      <c r="Y5" s="234">
        <v>270</v>
      </c>
      <c r="AA5" s="234">
        <v>31</v>
      </c>
      <c r="AB5" s="234" t="s">
        <v>376</v>
      </c>
      <c r="AC5" s="234" t="s">
        <v>377</v>
      </c>
      <c r="AD5" s="234" t="s">
        <v>378</v>
      </c>
      <c r="AE5" s="234" t="s">
        <v>157</v>
      </c>
      <c r="AF5" s="234" t="s">
        <v>140</v>
      </c>
      <c r="AG5" s="234" t="s">
        <v>379</v>
      </c>
      <c r="AH5" s="234" t="s">
        <v>380</v>
      </c>
      <c r="AJ5" s="234" t="s">
        <v>381</v>
      </c>
      <c r="AK5" s="234">
        <v>0.97</v>
      </c>
      <c r="AL5" s="234" t="s">
        <v>382</v>
      </c>
      <c r="AM5" s="234">
        <v>1</v>
      </c>
    </row>
    <row r="6" spans="2:39" x14ac:dyDescent="0.3">
      <c r="F6" s="234" t="s">
        <v>172</v>
      </c>
      <c r="G6" s="234" t="s">
        <v>385</v>
      </c>
      <c r="I6" s="234">
        <v>0.22</v>
      </c>
      <c r="N6" s="234">
        <v>28.31</v>
      </c>
      <c r="O6" s="234">
        <v>0.2384</v>
      </c>
      <c r="P6" s="234">
        <v>43.4583333333333</v>
      </c>
      <c r="R6" s="234">
        <v>0.97</v>
      </c>
      <c r="T6" s="234">
        <v>15</v>
      </c>
      <c r="U6" s="234">
        <v>0.3</v>
      </c>
      <c r="Y6" s="234">
        <v>270</v>
      </c>
      <c r="AA6" s="234">
        <v>31</v>
      </c>
      <c r="AB6" s="234" t="s">
        <v>376</v>
      </c>
      <c r="AC6" s="234" t="s">
        <v>377</v>
      </c>
      <c r="AD6" s="234" t="s">
        <v>378</v>
      </c>
      <c r="AE6" s="234" t="s">
        <v>157</v>
      </c>
      <c r="AF6" s="234" t="s">
        <v>140</v>
      </c>
      <c r="AG6" s="234" t="s">
        <v>379</v>
      </c>
      <c r="AH6" s="234" t="s">
        <v>380</v>
      </c>
      <c r="AJ6" s="234" t="s">
        <v>381</v>
      </c>
      <c r="AK6" s="234">
        <v>0.97</v>
      </c>
      <c r="AL6" s="234" t="s">
        <v>382</v>
      </c>
      <c r="AM6" s="234">
        <v>1</v>
      </c>
    </row>
    <row r="7" spans="2:39" x14ac:dyDescent="0.3">
      <c r="B7" s="234" t="s">
        <v>386</v>
      </c>
      <c r="C7" s="234" t="s">
        <v>387</v>
      </c>
      <c r="D7" s="234" t="s">
        <v>119</v>
      </c>
      <c r="E7" s="234" t="s">
        <v>28</v>
      </c>
      <c r="F7" s="234" t="s">
        <v>172</v>
      </c>
      <c r="G7" s="234" t="s">
        <v>375</v>
      </c>
      <c r="H7" s="234">
        <v>2020</v>
      </c>
      <c r="I7" s="234">
        <v>1</v>
      </c>
      <c r="N7" s="234">
        <v>29.8</v>
      </c>
      <c r="O7" s="234">
        <v>0.745</v>
      </c>
      <c r="Q7" s="234">
        <v>3.1536000000000002E-2</v>
      </c>
      <c r="S7" s="234">
        <v>0.3</v>
      </c>
      <c r="T7" s="234">
        <v>20</v>
      </c>
      <c r="U7" s="234">
        <v>1</v>
      </c>
      <c r="AA7" s="234">
        <v>35</v>
      </c>
      <c r="AB7" s="234" t="s">
        <v>388</v>
      </c>
      <c r="AC7" s="234" t="s">
        <v>149</v>
      </c>
      <c r="AD7" s="234" t="s">
        <v>389</v>
      </c>
      <c r="AE7" s="234" t="s">
        <v>149</v>
      </c>
      <c r="AF7" s="234" t="s">
        <v>142</v>
      </c>
      <c r="AG7" s="234" t="s">
        <v>379</v>
      </c>
      <c r="AH7" s="234" t="s">
        <v>380</v>
      </c>
      <c r="AI7" s="234">
        <v>0.18264840182648401</v>
      </c>
      <c r="AJ7" s="234" t="s">
        <v>390</v>
      </c>
      <c r="AK7" s="234">
        <v>0.18264840182648401</v>
      </c>
      <c r="AL7" s="234" t="s">
        <v>382</v>
      </c>
      <c r="AM7" s="234">
        <v>1</v>
      </c>
    </row>
    <row r="8" spans="2:39" x14ac:dyDescent="0.3">
      <c r="F8" s="234" t="s">
        <v>172</v>
      </c>
      <c r="G8" s="234" t="s">
        <v>383</v>
      </c>
      <c r="I8" s="234">
        <v>1</v>
      </c>
      <c r="N8" s="234">
        <v>28.31</v>
      </c>
      <c r="O8" s="234">
        <v>0.70774999999999999</v>
      </c>
      <c r="T8" s="234">
        <v>20</v>
      </c>
      <c r="U8" s="234">
        <v>1</v>
      </c>
      <c r="AA8" s="234">
        <v>35</v>
      </c>
      <c r="AB8" s="234" t="s">
        <v>388</v>
      </c>
      <c r="AC8" s="234" t="s">
        <v>149</v>
      </c>
      <c r="AD8" s="234" t="s">
        <v>389</v>
      </c>
      <c r="AE8" s="234" t="s">
        <v>149</v>
      </c>
      <c r="AF8" s="234" t="s">
        <v>142</v>
      </c>
      <c r="AG8" s="234" t="s">
        <v>379</v>
      </c>
      <c r="AH8" s="234" t="s">
        <v>380</v>
      </c>
      <c r="AI8" s="234">
        <v>0.18264840182648401</v>
      </c>
      <c r="AJ8" s="234" t="s">
        <v>390</v>
      </c>
      <c r="AK8" s="234">
        <v>0.18264840182648401</v>
      </c>
      <c r="AL8" s="234" t="s">
        <v>382</v>
      </c>
      <c r="AM8" s="234">
        <v>1</v>
      </c>
    </row>
    <row r="9" spans="2:39" x14ac:dyDescent="0.3">
      <c r="F9" s="234" t="s">
        <v>172</v>
      </c>
      <c r="G9" s="234" t="s">
        <v>384</v>
      </c>
      <c r="I9" s="234">
        <v>1</v>
      </c>
      <c r="N9" s="234">
        <v>26.894500000000001</v>
      </c>
      <c r="O9" s="234">
        <v>0.67049999999999998</v>
      </c>
      <c r="T9" s="234">
        <v>20</v>
      </c>
      <c r="U9" s="234">
        <v>1</v>
      </c>
      <c r="AA9" s="234">
        <v>35</v>
      </c>
      <c r="AB9" s="234" t="s">
        <v>388</v>
      </c>
      <c r="AC9" s="234" t="s">
        <v>149</v>
      </c>
      <c r="AD9" s="234" t="s">
        <v>389</v>
      </c>
      <c r="AE9" s="234" t="s">
        <v>149</v>
      </c>
      <c r="AF9" s="234" t="s">
        <v>142</v>
      </c>
      <c r="AG9" s="234" t="s">
        <v>379</v>
      </c>
      <c r="AH9" s="234" t="s">
        <v>380</v>
      </c>
      <c r="AI9" s="234">
        <v>0.18264840182648401</v>
      </c>
      <c r="AJ9" s="234" t="s">
        <v>390</v>
      </c>
      <c r="AK9" s="234">
        <v>0.18264840182648401</v>
      </c>
      <c r="AL9" s="234" t="s">
        <v>382</v>
      </c>
      <c r="AM9" s="234">
        <v>1</v>
      </c>
    </row>
    <row r="10" spans="2:39" x14ac:dyDescent="0.3">
      <c r="F10" s="234" t="s">
        <v>172</v>
      </c>
      <c r="G10" s="234" t="s">
        <v>385</v>
      </c>
      <c r="I10" s="234">
        <v>1</v>
      </c>
      <c r="N10" s="234">
        <v>25.549775</v>
      </c>
      <c r="O10" s="234">
        <v>0.63324999999999998</v>
      </c>
      <c r="T10" s="234">
        <v>20</v>
      </c>
      <c r="U10" s="234">
        <v>1</v>
      </c>
      <c r="AA10" s="234">
        <v>35</v>
      </c>
      <c r="AB10" s="234" t="s">
        <v>388</v>
      </c>
      <c r="AC10" s="234" t="s">
        <v>149</v>
      </c>
      <c r="AD10" s="234" t="s">
        <v>389</v>
      </c>
      <c r="AE10" s="234" t="s">
        <v>149</v>
      </c>
      <c r="AF10" s="234" t="s">
        <v>142</v>
      </c>
      <c r="AG10" s="234" t="s">
        <v>379</v>
      </c>
      <c r="AH10" s="234" t="s">
        <v>380</v>
      </c>
      <c r="AI10" s="234">
        <v>0.18264840182648401</v>
      </c>
      <c r="AJ10" s="234" t="s">
        <v>390</v>
      </c>
      <c r="AK10" s="234">
        <v>0.18264840182648401</v>
      </c>
      <c r="AL10" s="234" t="s">
        <v>382</v>
      </c>
      <c r="AM10" s="234">
        <v>1</v>
      </c>
    </row>
    <row r="11" spans="2:39" x14ac:dyDescent="0.3">
      <c r="B11" s="234" t="s">
        <v>391</v>
      </c>
      <c r="C11" s="234" t="s">
        <v>392</v>
      </c>
      <c r="D11" s="234" t="s">
        <v>119</v>
      </c>
      <c r="E11" s="234" t="s">
        <v>28</v>
      </c>
      <c r="F11" s="234" t="s">
        <v>172</v>
      </c>
      <c r="G11" s="234" t="s">
        <v>375</v>
      </c>
      <c r="H11" s="234">
        <v>2020</v>
      </c>
      <c r="I11" s="234">
        <v>1</v>
      </c>
      <c r="N11" s="234">
        <v>9.8790352499999994</v>
      </c>
      <c r="O11" s="234">
        <v>0.19072</v>
      </c>
      <c r="P11" s="234">
        <v>5.7944444444444398</v>
      </c>
      <c r="Q11" s="234">
        <v>3.1536000000000002E-2</v>
      </c>
      <c r="S11" s="234">
        <v>0.3</v>
      </c>
      <c r="T11" s="234">
        <v>25</v>
      </c>
      <c r="U11" s="234">
        <v>1.5</v>
      </c>
      <c r="AA11" s="234">
        <v>34</v>
      </c>
      <c r="AB11" s="234" t="s">
        <v>393</v>
      </c>
      <c r="AC11" s="234" t="s">
        <v>149</v>
      </c>
      <c r="AD11" s="234" t="s">
        <v>389</v>
      </c>
      <c r="AE11" s="234" t="s">
        <v>149</v>
      </c>
      <c r="AF11" s="234" t="s">
        <v>142</v>
      </c>
      <c r="AG11" s="234" t="s">
        <v>379</v>
      </c>
      <c r="AH11" s="234" t="s">
        <v>380</v>
      </c>
      <c r="AI11" s="234">
        <v>0.35388127853881302</v>
      </c>
      <c r="AJ11" s="234" t="s">
        <v>390</v>
      </c>
      <c r="AK11" s="234">
        <v>0.35388127853881302</v>
      </c>
      <c r="AL11" s="234" t="s">
        <v>382</v>
      </c>
      <c r="AM11" s="234">
        <v>2</v>
      </c>
    </row>
    <row r="12" spans="2:39" x14ac:dyDescent="0.3">
      <c r="F12" s="234" t="s">
        <v>172</v>
      </c>
      <c r="G12" s="234" t="s">
        <v>383</v>
      </c>
      <c r="I12" s="234">
        <v>1</v>
      </c>
      <c r="N12" s="234">
        <v>8.3348737499999999</v>
      </c>
      <c r="O12" s="234">
        <v>0.1043</v>
      </c>
      <c r="P12" s="234">
        <v>3.1041666666666701</v>
      </c>
      <c r="T12" s="234">
        <v>27</v>
      </c>
      <c r="U12" s="234">
        <v>1.5</v>
      </c>
      <c r="AA12" s="234">
        <v>34</v>
      </c>
      <c r="AB12" s="234" t="s">
        <v>393</v>
      </c>
      <c r="AC12" s="234" t="s">
        <v>149</v>
      </c>
      <c r="AD12" s="234" t="s">
        <v>389</v>
      </c>
      <c r="AE12" s="234" t="s">
        <v>149</v>
      </c>
      <c r="AF12" s="234" t="s">
        <v>142</v>
      </c>
      <c r="AG12" s="234" t="s">
        <v>379</v>
      </c>
      <c r="AH12" s="234" t="s">
        <v>380</v>
      </c>
      <c r="AI12" s="234">
        <v>0.38812785388127902</v>
      </c>
      <c r="AJ12" s="234" t="s">
        <v>390</v>
      </c>
      <c r="AK12" s="234">
        <v>0.38812785388127902</v>
      </c>
      <c r="AL12" s="234" t="s">
        <v>382</v>
      </c>
      <c r="AM12" s="234">
        <v>2</v>
      </c>
    </row>
    <row r="13" spans="2:39" x14ac:dyDescent="0.3">
      <c r="F13" s="234" t="s">
        <v>172</v>
      </c>
      <c r="G13" s="234" t="s">
        <v>384</v>
      </c>
      <c r="I13" s="234">
        <v>1</v>
      </c>
      <c r="N13" s="234">
        <v>7.7149313125000001</v>
      </c>
      <c r="O13" s="234">
        <v>9.3869999999999995E-2</v>
      </c>
      <c r="P13" s="234">
        <v>2.7937500000000002</v>
      </c>
      <c r="T13" s="234">
        <v>30</v>
      </c>
      <c r="U13" s="234">
        <v>1.5</v>
      </c>
      <c r="AA13" s="234">
        <v>34</v>
      </c>
      <c r="AB13" s="234" t="s">
        <v>393</v>
      </c>
      <c r="AC13" s="234" t="s">
        <v>149</v>
      </c>
      <c r="AD13" s="234" t="s">
        <v>389</v>
      </c>
      <c r="AE13" s="234" t="s">
        <v>149</v>
      </c>
      <c r="AF13" s="234" t="s">
        <v>142</v>
      </c>
      <c r="AG13" s="234" t="s">
        <v>379</v>
      </c>
      <c r="AH13" s="234" t="s">
        <v>380</v>
      </c>
      <c r="AI13" s="234">
        <v>0.41095890410958902</v>
      </c>
      <c r="AJ13" s="234" t="s">
        <v>390</v>
      </c>
      <c r="AK13" s="234">
        <v>0.41095890410958902</v>
      </c>
      <c r="AL13" s="234" t="s">
        <v>382</v>
      </c>
      <c r="AM13" s="234">
        <v>2</v>
      </c>
    </row>
    <row r="14" spans="2:39" x14ac:dyDescent="0.3">
      <c r="F14" s="234" t="s">
        <v>172</v>
      </c>
      <c r="G14" s="234" t="s">
        <v>394</v>
      </c>
      <c r="I14" s="234">
        <v>1</v>
      </c>
      <c r="N14" s="234">
        <v>7.2828611125</v>
      </c>
      <c r="O14" s="234">
        <v>8.6360400000000004E-2</v>
      </c>
      <c r="P14" s="234">
        <v>2.5702500000000001</v>
      </c>
      <c r="T14" s="234">
        <v>30</v>
      </c>
      <c r="U14" s="234">
        <v>1.5</v>
      </c>
      <c r="AA14" s="234">
        <v>34</v>
      </c>
      <c r="AB14" s="234" t="s">
        <v>393</v>
      </c>
      <c r="AC14" s="234" t="s">
        <v>149</v>
      </c>
      <c r="AD14" s="234" t="s">
        <v>389</v>
      </c>
      <c r="AE14" s="234" t="s">
        <v>149</v>
      </c>
      <c r="AF14" s="234" t="s">
        <v>142</v>
      </c>
      <c r="AG14" s="234" t="s">
        <v>379</v>
      </c>
      <c r="AH14" s="234" t="s">
        <v>380</v>
      </c>
      <c r="AI14" s="234">
        <v>0.42237442922374402</v>
      </c>
      <c r="AJ14" s="234" t="s">
        <v>390</v>
      </c>
      <c r="AK14" s="234">
        <v>0.42237442922374402</v>
      </c>
      <c r="AL14" s="234" t="s">
        <v>382</v>
      </c>
      <c r="AM14" s="234">
        <v>2</v>
      </c>
    </row>
    <row r="15" spans="2:39" x14ac:dyDescent="0.3">
      <c r="F15" s="234" t="s">
        <v>172</v>
      </c>
      <c r="G15" s="234" t="s">
        <v>385</v>
      </c>
      <c r="I15" s="234">
        <v>1</v>
      </c>
      <c r="N15" s="234">
        <v>7.1748435625000004</v>
      </c>
      <c r="O15" s="234">
        <v>8.4483000000000003E-2</v>
      </c>
      <c r="P15" s="234">
        <v>2.5143749999999998</v>
      </c>
      <c r="T15" s="234">
        <v>30</v>
      </c>
      <c r="U15" s="234">
        <v>1.5</v>
      </c>
      <c r="AA15" s="234">
        <v>34</v>
      </c>
      <c r="AB15" s="234" t="s">
        <v>393</v>
      </c>
      <c r="AC15" s="234" t="s">
        <v>149</v>
      </c>
      <c r="AD15" s="234" t="s">
        <v>389</v>
      </c>
      <c r="AE15" s="234" t="s">
        <v>149</v>
      </c>
      <c r="AF15" s="234" t="s">
        <v>142</v>
      </c>
      <c r="AG15" s="234" t="s">
        <v>379</v>
      </c>
      <c r="AH15" s="234" t="s">
        <v>380</v>
      </c>
      <c r="AI15" s="234">
        <v>0.43378995433790002</v>
      </c>
      <c r="AJ15" s="234" t="s">
        <v>390</v>
      </c>
      <c r="AK15" s="234">
        <v>0.43378995433790002</v>
      </c>
      <c r="AL15" s="234" t="s">
        <v>382</v>
      </c>
      <c r="AM15" s="234">
        <v>2</v>
      </c>
    </row>
    <row r="16" spans="2:39" x14ac:dyDescent="0.3">
      <c r="B16" s="234" t="s">
        <v>395</v>
      </c>
      <c r="C16" s="234" t="s">
        <v>396</v>
      </c>
      <c r="D16" s="234" t="s">
        <v>119</v>
      </c>
      <c r="E16" s="234" t="s">
        <v>28</v>
      </c>
      <c r="F16" s="234" t="s">
        <v>172</v>
      </c>
      <c r="G16" s="234" t="s">
        <v>375</v>
      </c>
      <c r="H16" s="234">
        <v>2020</v>
      </c>
      <c r="I16" s="234">
        <v>1</v>
      </c>
      <c r="N16" s="234">
        <v>18.5943</v>
      </c>
      <c r="O16" s="234">
        <v>0.3841965</v>
      </c>
      <c r="P16" s="234">
        <v>8.0087499999999991</v>
      </c>
      <c r="Q16" s="234">
        <v>3.1536000000000002E-2</v>
      </c>
      <c r="S16" s="234">
        <v>0.3</v>
      </c>
      <c r="T16" s="234">
        <v>25</v>
      </c>
      <c r="U16" s="234">
        <v>2</v>
      </c>
      <c r="AA16" s="234">
        <v>37</v>
      </c>
      <c r="AB16" s="234" t="s">
        <v>397</v>
      </c>
      <c r="AC16" s="234" t="s">
        <v>149</v>
      </c>
      <c r="AD16" s="234" t="s">
        <v>389</v>
      </c>
      <c r="AE16" s="234" t="s">
        <v>149</v>
      </c>
      <c r="AF16" s="234" t="s">
        <v>142</v>
      </c>
      <c r="AG16" s="234" t="s">
        <v>379</v>
      </c>
      <c r="AH16" s="234" t="s">
        <v>380</v>
      </c>
      <c r="AI16" s="234">
        <v>0.50228310502283102</v>
      </c>
      <c r="AJ16" s="234" t="s">
        <v>398</v>
      </c>
      <c r="AK16" s="234">
        <v>0.50228310502283102</v>
      </c>
      <c r="AL16" s="234" t="s">
        <v>382</v>
      </c>
      <c r="AM16" s="234">
        <v>1</v>
      </c>
    </row>
    <row r="17" spans="2:39" x14ac:dyDescent="0.3">
      <c r="F17" s="234" t="s">
        <v>172</v>
      </c>
      <c r="G17" s="234" t="s">
        <v>383</v>
      </c>
      <c r="I17" s="234">
        <v>1</v>
      </c>
      <c r="N17" s="234">
        <v>13.0227014311841</v>
      </c>
      <c r="O17" s="234">
        <v>0.26859321701817301</v>
      </c>
      <c r="P17" s="234">
        <v>5.52660940366611</v>
      </c>
      <c r="T17" s="234">
        <v>27</v>
      </c>
      <c r="U17" s="234">
        <v>2</v>
      </c>
      <c r="AA17" s="234">
        <v>37</v>
      </c>
      <c r="AB17" s="234" t="s">
        <v>397</v>
      </c>
      <c r="AC17" s="234" t="s">
        <v>149</v>
      </c>
      <c r="AD17" s="234" t="s">
        <v>389</v>
      </c>
      <c r="AE17" s="234" t="s">
        <v>149</v>
      </c>
      <c r="AF17" s="234" t="s">
        <v>142</v>
      </c>
      <c r="AG17" s="234" t="s">
        <v>379</v>
      </c>
      <c r="AH17" s="234" t="s">
        <v>380</v>
      </c>
      <c r="AI17" s="234">
        <v>0.51369863013698602</v>
      </c>
      <c r="AJ17" s="234" t="s">
        <v>398</v>
      </c>
      <c r="AK17" s="234">
        <v>0.51369863013698602</v>
      </c>
      <c r="AL17" s="234" t="s">
        <v>382</v>
      </c>
      <c r="AM17" s="234">
        <v>1</v>
      </c>
    </row>
    <row r="18" spans="2:39" x14ac:dyDescent="0.3">
      <c r="F18" s="234" t="s">
        <v>172</v>
      </c>
      <c r="G18" s="234" t="s">
        <v>384</v>
      </c>
      <c r="I18" s="234">
        <v>1</v>
      </c>
      <c r="N18" s="234">
        <v>12.3715663596249</v>
      </c>
      <c r="O18" s="234">
        <v>0.25516355616726399</v>
      </c>
      <c r="P18" s="234">
        <v>5.2502789334828002</v>
      </c>
      <c r="T18" s="234">
        <v>30</v>
      </c>
      <c r="U18" s="234">
        <v>2</v>
      </c>
      <c r="AA18" s="234">
        <v>37</v>
      </c>
      <c r="AB18" s="234" t="s">
        <v>397</v>
      </c>
      <c r="AC18" s="234" t="s">
        <v>149</v>
      </c>
      <c r="AD18" s="234" t="s">
        <v>389</v>
      </c>
      <c r="AE18" s="234" t="s">
        <v>149</v>
      </c>
      <c r="AF18" s="234" t="s">
        <v>142</v>
      </c>
      <c r="AG18" s="234" t="s">
        <v>379</v>
      </c>
      <c r="AH18" s="234" t="s">
        <v>380</v>
      </c>
      <c r="AI18" s="234">
        <v>0.53082191780821897</v>
      </c>
      <c r="AJ18" s="234" t="s">
        <v>398</v>
      </c>
      <c r="AK18" s="234">
        <v>0.53082191780821897</v>
      </c>
      <c r="AL18" s="234" t="s">
        <v>382</v>
      </c>
      <c r="AM18" s="234">
        <v>1</v>
      </c>
    </row>
    <row r="19" spans="2:39" x14ac:dyDescent="0.3">
      <c r="F19" s="234" t="s">
        <v>172</v>
      </c>
      <c r="G19" s="234" t="s">
        <v>394</v>
      </c>
      <c r="I19" s="234">
        <v>1</v>
      </c>
      <c r="N19" s="234">
        <v>11.9525927112219</v>
      </c>
      <c r="O19" s="234">
        <v>0.24495701392057401</v>
      </c>
      <c r="P19" s="234">
        <v>5.04026777614349</v>
      </c>
      <c r="T19" s="234">
        <v>30</v>
      </c>
      <c r="U19" s="234">
        <v>2</v>
      </c>
      <c r="AA19" s="234">
        <v>37</v>
      </c>
      <c r="AB19" s="234" t="s">
        <v>397</v>
      </c>
      <c r="AC19" s="234" t="s">
        <v>149</v>
      </c>
      <c r="AD19" s="234" t="s">
        <v>389</v>
      </c>
      <c r="AE19" s="234" t="s">
        <v>149</v>
      </c>
      <c r="AF19" s="234" t="s">
        <v>142</v>
      </c>
      <c r="AG19" s="234" t="s">
        <v>379</v>
      </c>
      <c r="AH19" s="234" t="s">
        <v>380</v>
      </c>
      <c r="AI19" s="234">
        <v>0.53652968036529702</v>
      </c>
      <c r="AJ19" s="234" t="s">
        <v>398</v>
      </c>
      <c r="AK19" s="234">
        <v>0.53652968036529702</v>
      </c>
      <c r="AL19" s="234" t="s">
        <v>382</v>
      </c>
      <c r="AM19" s="234">
        <v>1</v>
      </c>
    </row>
    <row r="20" spans="2:39" x14ac:dyDescent="0.3">
      <c r="F20" s="234" t="s">
        <v>172</v>
      </c>
      <c r="G20" s="234" t="s">
        <v>385</v>
      </c>
      <c r="I20" s="234">
        <v>1</v>
      </c>
      <c r="N20" s="234">
        <v>11.7529880416437</v>
      </c>
      <c r="O20" s="234">
        <v>0.242405378358901</v>
      </c>
      <c r="P20" s="234">
        <v>4.9877649868086502</v>
      </c>
      <c r="T20" s="234">
        <v>30</v>
      </c>
      <c r="U20" s="234">
        <v>2</v>
      </c>
      <c r="AA20" s="234">
        <v>37</v>
      </c>
      <c r="AB20" s="234" t="s">
        <v>397</v>
      </c>
      <c r="AC20" s="234" t="s">
        <v>149</v>
      </c>
      <c r="AD20" s="234" t="s">
        <v>389</v>
      </c>
      <c r="AE20" s="234" t="s">
        <v>149</v>
      </c>
      <c r="AF20" s="234" t="s">
        <v>142</v>
      </c>
      <c r="AG20" s="234" t="s">
        <v>379</v>
      </c>
      <c r="AH20" s="234" t="s">
        <v>380</v>
      </c>
      <c r="AI20" s="234">
        <v>0.55936073059360703</v>
      </c>
      <c r="AJ20" s="234" t="s">
        <v>398</v>
      </c>
      <c r="AK20" s="234">
        <v>0.55936073059360703</v>
      </c>
      <c r="AL20" s="234" t="s">
        <v>382</v>
      </c>
      <c r="AM20" s="234">
        <v>1</v>
      </c>
    </row>
    <row r="21" spans="2:39" x14ac:dyDescent="0.3">
      <c r="B21" s="234" t="s">
        <v>399</v>
      </c>
      <c r="C21" s="234" t="s">
        <v>400</v>
      </c>
      <c r="D21" s="234" t="s">
        <v>119</v>
      </c>
      <c r="E21" s="234" t="s">
        <v>28</v>
      </c>
      <c r="F21" s="234" t="s">
        <v>172</v>
      </c>
      <c r="G21" s="234" t="s">
        <v>375</v>
      </c>
      <c r="H21" s="234">
        <v>2020</v>
      </c>
      <c r="I21" s="234">
        <v>1</v>
      </c>
      <c r="N21" s="234">
        <v>21.306999999999999</v>
      </c>
      <c r="O21" s="234">
        <v>0.42688500000000001</v>
      </c>
      <c r="P21" s="234">
        <v>8.8986111111111104</v>
      </c>
      <c r="Q21" s="234">
        <v>3.1536000000000002E-2</v>
      </c>
      <c r="S21" s="234">
        <v>0.3</v>
      </c>
      <c r="T21" s="234">
        <v>25</v>
      </c>
      <c r="U21" s="234">
        <v>3</v>
      </c>
      <c r="AA21" s="234">
        <v>36</v>
      </c>
      <c r="AB21" s="234" t="s">
        <v>401</v>
      </c>
      <c r="AC21" s="234" t="s">
        <v>149</v>
      </c>
      <c r="AD21" s="234" t="s">
        <v>389</v>
      </c>
      <c r="AE21" s="234" t="s">
        <v>149</v>
      </c>
      <c r="AF21" s="234" t="s">
        <v>142</v>
      </c>
      <c r="AG21" s="234" t="s">
        <v>379</v>
      </c>
      <c r="AH21" s="234" t="s">
        <v>380</v>
      </c>
      <c r="AI21" s="234">
        <v>0.50228310502283102</v>
      </c>
      <c r="AJ21" s="234" t="s">
        <v>398</v>
      </c>
      <c r="AK21" s="234">
        <v>0.50228310502283102</v>
      </c>
      <c r="AL21" s="234" t="s">
        <v>382</v>
      </c>
      <c r="AM21" s="234">
        <v>2</v>
      </c>
    </row>
    <row r="22" spans="2:39" x14ac:dyDescent="0.3">
      <c r="F22" s="234" t="s">
        <v>172</v>
      </c>
      <c r="G22" s="234" t="s">
        <v>383</v>
      </c>
      <c r="I22" s="234">
        <v>1</v>
      </c>
      <c r="N22" s="234">
        <v>15.8566517798861</v>
      </c>
      <c r="O22" s="234">
        <v>0.298436907797969</v>
      </c>
      <c r="P22" s="234">
        <v>6.1406771151845501</v>
      </c>
      <c r="T22" s="234">
        <v>27</v>
      </c>
      <c r="U22" s="234">
        <v>2.5</v>
      </c>
      <c r="AA22" s="234">
        <v>36</v>
      </c>
      <c r="AB22" s="234" t="s">
        <v>401</v>
      </c>
      <c r="AC22" s="234" t="s">
        <v>149</v>
      </c>
      <c r="AD22" s="234" t="s">
        <v>389</v>
      </c>
      <c r="AE22" s="234" t="s">
        <v>149</v>
      </c>
      <c r="AF22" s="234" t="s">
        <v>142</v>
      </c>
      <c r="AG22" s="234" t="s">
        <v>379</v>
      </c>
      <c r="AH22" s="234" t="s">
        <v>380</v>
      </c>
      <c r="AI22" s="234">
        <v>0.51369863013698602</v>
      </c>
      <c r="AJ22" s="234" t="s">
        <v>398</v>
      </c>
      <c r="AK22" s="234">
        <v>0.51369863013698602</v>
      </c>
      <c r="AL22" s="234" t="s">
        <v>382</v>
      </c>
      <c r="AM22" s="234">
        <v>2</v>
      </c>
    </row>
    <row r="23" spans="2:39" x14ac:dyDescent="0.3">
      <c r="F23" s="234" t="s">
        <v>172</v>
      </c>
      <c r="G23" s="234" t="s">
        <v>384</v>
      </c>
      <c r="I23" s="234">
        <v>1</v>
      </c>
      <c r="N23" s="234">
        <v>14.412684119332599</v>
      </c>
      <c r="O23" s="234">
        <v>0.26859321701817301</v>
      </c>
      <c r="P23" s="234">
        <v>5.52660940366611</v>
      </c>
      <c r="T23" s="234">
        <v>30</v>
      </c>
      <c r="U23" s="234">
        <v>2.5</v>
      </c>
      <c r="AA23" s="234">
        <v>36</v>
      </c>
      <c r="AB23" s="234" t="s">
        <v>401</v>
      </c>
      <c r="AC23" s="234" t="s">
        <v>149</v>
      </c>
      <c r="AD23" s="234" t="s">
        <v>389</v>
      </c>
      <c r="AE23" s="234" t="s">
        <v>149</v>
      </c>
      <c r="AF23" s="234" t="s">
        <v>142</v>
      </c>
      <c r="AG23" s="234" t="s">
        <v>379</v>
      </c>
      <c r="AH23" s="234" t="s">
        <v>380</v>
      </c>
      <c r="AI23" s="234">
        <v>0.53082191780821897</v>
      </c>
      <c r="AJ23" s="234" t="s">
        <v>398</v>
      </c>
      <c r="AK23" s="234">
        <v>0.53082191780821897</v>
      </c>
      <c r="AL23" s="234" t="s">
        <v>382</v>
      </c>
      <c r="AM23" s="234">
        <v>2</v>
      </c>
    </row>
    <row r="24" spans="2:39" x14ac:dyDescent="0.3">
      <c r="F24" s="234" t="s">
        <v>172</v>
      </c>
      <c r="G24" s="234" t="s">
        <v>394</v>
      </c>
      <c r="I24" s="234">
        <v>1</v>
      </c>
      <c r="N24" s="234">
        <v>13.4750496162874</v>
      </c>
      <c r="O24" s="234">
        <v>0.24710575965671899</v>
      </c>
      <c r="P24" s="234">
        <v>5.0844806513728198</v>
      </c>
      <c r="T24" s="234">
        <v>30</v>
      </c>
      <c r="U24" s="234">
        <v>2.5</v>
      </c>
      <c r="AA24" s="234">
        <v>36</v>
      </c>
      <c r="AB24" s="234" t="s">
        <v>401</v>
      </c>
      <c r="AC24" s="234" t="s">
        <v>149</v>
      </c>
      <c r="AD24" s="234" t="s">
        <v>389</v>
      </c>
      <c r="AE24" s="234" t="s">
        <v>149</v>
      </c>
      <c r="AF24" s="234" t="s">
        <v>142</v>
      </c>
      <c r="AG24" s="234" t="s">
        <v>379</v>
      </c>
      <c r="AH24" s="234" t="s">
        <v>380</v>
      </c>
      <c r="AI24" s="234">
        <v>0.53652968036529702</v>
      </c>
      <c r="AJ24" s="234" t="s">
        <v>398</v>
      </c>
      <c r="AK24" s="234">
        <v>0.53652968036529702</v>
      </c>
      <c r="AL24" s="234" t="s">
        <v>382</v>
      </c>
      <c r="AM24" s="234">
        <v>2</v>
      </c>
    </row>
    <row r="25" spans="2:39" x14ac:dyDescent="0.3">
      <c r="F25" s="234" t="s">
        <v>172</v>
      </c>
      <c r="G25" s="234" t="s">
        <v>385</v>
      </c>
      <c r="I25" s="234">
        <v>1</v>
      </c>
      <c r="N25" s="234">
        <v>13.240640990526</v>
      </c>
      <c r="O25" s="234">
        <v>0.241733895316356</v>
      </c>
      <c r="P25" s="234">
        <v>4.9739484632994904</v>
      </c>
      <c r="T25" s="234">
        <v>30</v>
      </c>
      <c r="U25" s="234">
        <v>2</v>
      </c>
      <c r="AA25" s="234">
        <v>36</v>
      </c>
      <c r="AB25" s="234" t="s">
        <v>401</v>
      </c>
      <c r="AC25" s="234" t="s">
        <v>149</v>
      </c>
      <c r="AD25" s="234" t="s">
        <v>389</v>
      </c>
      <c r="AE25" s="234" t="s">
        <v>149</v>
      </c>
      <c r="AF25" s="234" t="s">
        <v>142</v>
      </c>
      <c r="AG25" s="234" t="s">
        <v>379</v>
      </c>
      <c r="AH25" s="234" t="s">
        <v>380</v>
      </c>
      <c r="AI25" s="234">
        <v>0.55936073059360703</v>
      </c>
      <c r="AJ25" s="234" t="s">
        <v>398</v>
      </c>
      <c r="AK25" s="234">
        <v>0.55936073059360703</v>
      </c>
      <c r="AL25" s="234" t="s">
        <v>382</v>
      </c>
      <c r="AM25" s="234">
        <v>2</v>
      </c>
    </row>
    <row r="26" spans="2:39" x14ac:dyDescent="0.3">
      <c r="B26" s="234" t="s">
        <v>402</v>
      </c>
      <c r="C26" s="234" t="s">
        <v>403</v>
      </c>
      <c r="D26" s="234" t="s">
        <v>184</v>
      </c>
      <c r="E26" s="234" t="s">
        <v>28</v>
      </c>
      <c r="F26" s="234" t="s">
        <v>172</v>
      </c>
      <c r="G26" s="234" t="s">
        <v>375</v>
      </c>
      <c r="H26" s="234">
        <v>2020</v>
      </c>
      <c r="I26" s="234">
        <v>1</v>
      </c>
      <c r="N26" s="234">
        <v>10.8774768</v>
      </c>
      <c r="O26" s="234">
        <v>9.536E-2</v>
      </c>
      <c r="Q26" s="234">
        <v>3.1536000000000002E-2</v>
      </c>
      <c r="S26" s="234">
        <v>0.3</v>
      </c>
      <c r="T26" s="234">
        <v>30</v>
      </c>
      <c r="AA26" s="234">
        <v>40</v>
      </c>
      <c r="AB26" s="234" t="s">
        <v>404</v>
      </c>
      <c r="AC26" s="234" t="s">
        <v>405</v>
      </c>
      <c r="AD26" s="234" t="s">
        <v>389</v>
      </c>
      <c r="AE26" s="234" t="s">
        <v>405</v>
      </c>
      <c r="AF26" s="234" t="s">
        <v>195</v>
      </c>
      <c r="AG26" s="234" t="s">
        <v>379</v>
      </c>
      <c r="AH26" s="234" t="s">
        <v>380</v>
      </c>
      <c r="AI26" s="234">
        <v>0.15296803652968</v>
      </c>
      <c r="AJ26" s="234" t="s">
        <v>162</v>
      </c>
      <c r="AK26" s="234">
        <v>0.15296803652968</v>
      </c>
      <c r="AL26" s="234" t="s">
        <v>382</v>
      </c>
      <c r="AM26" s="234">
        <v>1</v>
      </c>
    </row>
    <row r="27" spans="2:39" x14ac:dyDescent="0.3">
      <c r="F27" s="234" t="s">
        <v>172</v>
      </c>
      <c r="G27" s="234" t="s">
        <v>383</v>
      </c>
      <c r="I27" s="234">
        <v>1</v>
      </c>
      <c r="N27" s="234">
        <v>6.2009191479800299</v>
      </c>
      <c r="O27" s="234">
        <v>8.1204999999999999E-2</v>
      </c>
      <c r="T27" s="234">
        <v>35</v>
      </c>
      <c r="AA27" s="234">
        <v>40</v>
      </c>
      <c r="AB27" s="234" t="s">
        <v>404</v>
      </c>
      <c r="AC27" s="234" t="s">
        <v>405</v>
      </c>
      <c r="AD27" s="234" t="s">
        <v>389</v>
      </c>
      <c r="AE27" s="234" t="s">
        <v>405</v>
      </c>
      <c r="AF27" s="234" t="s">
        <v>195</v>
      </c>
      <c r="AG27" s="234" t="s">
        <v>379</v>
      </c>
      <c r="AH27" s="234" t="s">
        <v>380</v>
      </c>
      <c r="AI27" s="234">
        <v>0.162100456621005</v>
      </c>
      <c r="AJ27" s="234" t="s">
        <v>162</v>
      </c>
      <c r="AK27" s="234">
        <v>0.162100456621005</v>
      </c>
      <c r="AL27" s="234" t="s">
        <v>382</v>
      </c>
      <c r="AM27" s="234">
        <v>1</v>
      </c>
    </row>
    <row r="28" spans="2:39" x14ac:dyDescent="0.3">
      <c r="F28" s="234" t="s">
        <v>172</v>
      </c>
      <c r="G28" s="234" t="s">
        <v>384</v>
      </c>
      <c r="I28" s="234">
        <v>1</v>
      </c>
      <c r="N28" s="234">
        <v>5.1322847257911004</v>
      </c>
      <c r="O28" s="234">
        <v>6.5559999999999993E-2</v>
      </c>
      <c r="T28" s="234">
        <v>40</v>
      </c>
      <c r="AA28" s="234">
        <v>40</v>
      </c>
      <c r="AB28" s="234" t="s">
        <v>404</v>
      </c>
      <c r="AC28" s="234" t="s">
        <v>405</v>
      </c>
      <c r="AD28" s="234" t="s">
        <v>389</v>
      </c>
      <c r="AE28" s="234" t="s">
        <v>405</v>
      </c>
      <c r="AF28" s="234" t="s">
        <v>195</v>
      </c>
      <c r="AG28" s="234" t="s">
        <v>379</v>
      </c>
      <c r="AH28" s="234" t="s">
        <v>380</v>
      </c>
      <c r="AI28" s="234">
        <v>0.16666666666666699</v>
      </c>
      <c r="AJ28" s="234" t="s">
        <v>162</v>
      </c>
      <c r="AK28" s="234">
        <v>0.16666666666666699</v>
      </c>
      <c r="AL28" s="234" t="s">
        <v>382</v>
      </c>
      <c r="AM28" s="234">
        <v>1</v>
      </c>
    </row>
    <row r="29" spans="2:39" x14ac:dyDescent="0.3">
      <c r="F29" s="234" t="s">
        <v>172</v>
      </c>
      <c r="G29" s="234" t="s">
        <v>385</v>
      </c>
      <c r="I29" s="234">
        <v>1</v>
      </c>
      <c r="N29" s="234">
        <v>4.1527827082407196</v>
      </c>
      <c r="O29" s="234">
        <v>5.5129999999999998E-2</v>
      </c>
      <c r="T29" s="234">
        <v>40</v>
      </c>
      <c r="AA29" s="234">
        <v>40</v>
      </c>
      <c r="AB29" s="234" t="s">
        <v>404</v>
      </c>
      <c r="AC29" s="234" t="s">
        <v>405</v>
      </c>
      <c r="AD29" s="234" t="s">
        <v>389</v>
      </c>
      <c r="AE29" s="234" t="s">
        <v>405</v>
      </c>
      <c r="AF29" s="234" t="s">
        <v>195</v>
      </c>
      <c r="AG29" s="234" t="s">
        <v>379</v>
      </c>
      <c r="AH29" s="234" t="s">
        <v>380</v>
      </c>
      <c r="AI29" s="234">
        <v>0.17237442922374399</v>
      </c>
      <c r="AJ29" s="234" t="s">
        <v>162</v>
      </c>
      <c r="AK29" s="234">
        <v>0.17237442922374399</v>
      </c>
      <c r="AL29" s="234" t="s">
        <v>382</v>
      </c>
      <c r="AM29" s="234">
        <v>1</v>
      </c>
    </row>
    <row r="30" spans="2:39" x14ac:dyDescent="0.3">
      <c r="B30" s="234" t="s">
        <v>406</v>
      </c>
      <c r="C30" s="234" t="s">
        <v>407</v>
      </c>
      <c r="D30" s="234" t="s">
        <v>184</v>
      </c>
      <c r="E30" s="234" t="s">
        <v>28</v>
      </c>
      <c r="F30" s="234" t="s">
        <v>172</v>
      </c>
      <c r="G30" s="234" t="s">
        <v>375</v>
      </c>
      <c r="H30" s="234">
        <v>2020</v>
      </c>
      <c r="I30" s="234">
        <v>1</v>
      </c>
      <c r="N30" s="234">
        <v>10.014945600000001</v>
      </c>
      <c r="O30" s="234">
        <v>9.9978999999999998E-2</v>
      </c>
      <c r="Q30" s="234">
        <v>3.1536000000000002E-2</v>
      </c>
      <c r="S30" s="234">
        <v>0.3</v>
      </c>
      <c r="T30" s="234">
        <v>30</v>
      </c>
      <c r="AA30" s="234">
        <v>39</v>
      </c>
      <c r="AB30" s="234" t="s">
        <v>408</v>
      </c>
      <c r="AC30" s="234" t="s">
        <v>405</v>
      </c>
      <c r="AD30" s="234" t="s">
        <v>389</v>
      </c>
      <c r="AE30" s="234" t="s">
        <v>405</v>
      </c>
      <c r="AF30" s="234" t="s">
        <v>195</v>
      </c>
      <c r="AG30" s="234" t="s">
        <v>379</v>
      </c>
      <c r="AH30" s="234" t="s">
        <v>380</v>
      </c>
      <c r="AI30" s="234">
        <v>0.11936662017123301</v>
      </c>
      <c r="AJ30" s="234" t="s">
        <v>162</v>
      </c>
      <c r="AK30" s="234">
        <v>0.11936662017123301</v>
      </c>
      <c r="AL30" s="234" t="s">
        <v>382</v>
      </c>
      <c r="AM30" s="234">
        <v>2</v>
      </c>
    </row>
    <row r="31" spans="2:39" x14ac:dyDescent="0.3">
      <c r="F31" s="234" t="s">
        <v>172</v>
      </c>
      <c r="G31" s="234" t="s">
        <v>383</v>
      </c>
      <c r="I31" s="234">
        <v>1</v>
      </c>
      <c r="N31" s="234">
        <v>5.9876163263341899</v>
      </c>
      <c r="O31" s="234">
        <v>8.5227999999999998E-2</v>
      </c>
      <c r="T31" s="234">
        <v>35</v>
      </c>
      <c r="AA31" s="234">
        <v>39</v>
      </c>
      <c r="AB31" s="234" t="s">
        <v>408</v>
      </c>
      <c r="AC31" s="234" t="s">
        <v>405</v>
      </c>
      <c r="AD31" s="234" t="s">
        <v>389</v>
      </c>
      <c r="AE31" s="234" t="s">
        <v>405</v>
      </c>
      <c r="AF31" s="234" t="s">
        <v>195</v>
      </c>
      <c r="AG31" s="234" t="s">
        <v>379</v>
      </c>
      <c r="AH31" s="234" t="s">
        <v>380</v>
      </c>
      <c r="AI31" s="234">
        <v>0.128924292071918</v>
      </c>
      <c r="AJ31" s="234" t="s">
        <v>162</v>
      </c>
      <c r="AK31" s="234">
        <v>0.128924292071918</v>
      </c>
      <c r="AL31" s="234" t="s">
        <v>382</v>
      </c>
      <c r="AM31" s="234">
        <v>2</v>
      </c>
    </row>
    <row r="32" spans="2:39" x14ac:dyDescent="0.3">
      <c r="F32" s="234" t="s">
        <v>172</v>
      </c>
      <c r="G32" s="234" t="s">
        <v>384</v>
      </c>
      <c r="I32" s="234">
        <v>1</v>
      </c>
      <c r="N32" s="234">
        <v>4.7061221381957399</v>
      </c>
      <c r="O32" s="234">
        <v>6.8837999999999996E-2</v>
      </c>
      <c r="T32" s="234">
        <v>40</v>
      </c>
      <c r="AA32" s="234">
        <v>39</v>
      </c>
      <c r="AB32" s="234" t="s">
        <v>408</v>
      </c>
      <c r="AC32" s="234" t="s">
        <v>405</v>
      </c>
      <c r="AD32" s="234" t="s">
        <v>389</v>
      </c>
      <c r="AE32" s="234" t="s">
        <v>405</v>
      </c>
      <c r="AF32" s="234" t="s">
        <v>195</v>
      </c>
      <c r="AG32" s="234" t="s">
        <v>379</v>
      </c>
      <c r="AH32" s="234" t="s">
        <v>380</v>
      </c>
      <c r="AI32" s="234">
        <v>0.13310915497602699</v>
      </c>
      <c r="AJ32" s="234" t="s">
        <v>162</v>
      </c>
      <c r="AK32" s="234">
        <v>0.13310915497602699</v>
      </c>
      <c r="AL32" s="234" t="s">
        <v>382</v>
      </c>
      <c r="AM32" s="234">
        <v>2</v>
      </c>
    </row>
    <row r="33" spans="2:39" x14ac:dyDescent="0.3">
      <c r="F33" s="234" t="s">
        <v>172</v>
      </c>
      <c r="G33" s="234" t="s">
        <v>385</v>
      </c>
      <c r="I33" s="234">
        <v>1</v>
      </c>
      <c r="N33" s="234">
        <v>3.6806998715803201</v>
      </c>
      <c r="O33" s="234">
        <v>5.81845E-2</v>
      </c>
      <c r="T33" s="234">
        <v>40</v>
      </c>
      <c r="AA33" s="234">
        <v>39</v>
      </c>
      <c r="AB33" s="234" t="s">
        <v>408</v>
      </c>
      <c r="AC33" s="234" t="s">
        <v>405</v>
      </c>
      <c r="AD33" s="234" t="s">
        <v>389</v>
      </c>
      <c r="AE33" s="234" t="s">
        <v>405</v>
      </c>
      <c r="AF33" s="234" t="s">
        <v>195</v>
      </c>
      <c r="AG33" s="234" t="s">
        <v>379</v>
      </c>
      <c r="AH33" s="234" t="s">
        <v>380</v>
      </c>
      <c r="AI33" s="234">
        <v>0.13735564458904101</v>
      </c>
      <c r="AJ33" s="234" t="s">
        <v>162</v>
      </c>
      <c r="AK33" s="234">
        <v>0.13735564458904101</v>
      </c>
      <c r="AL33" s="234" t="s">
        <v>382</v>
      </c>
      <c r="AM33" s="234">
        <v>2</v>
      </c>
    </row>
    <row r="34" spans="2:39" x14ac:dyDescent="0.3">
      <c r="B34" s="234" t="s">
        <v>409</v>
      </c>
      <c r="C34" s="234" t="s">
        <v>410</v>
      </c>
      <c r="D34" s="234" t="s">
        <v>184</v>
      </c>
      <c r="E34" s="234" t="s">
        <v>28</v>
      </c>
      <c r="F34" s="234" t="s">
        <v>172</v>
      </c>
      <c r="G34" s="234" t="s">
        <v>375</v>
      </c>
      <c r="H34" s="234">
        <v>2020</v>
      </c>
      <c r="I34" s="234">
        <v>1</v>
      </c>
      <c r="N34" s="234">
        <v>11.771000000000001</v>
      </c>
      <c r="O34" s="234">
        <v>0.1173375</v>
      </c>
      <c r="Q34" s="234">
        <v>3.1536000000000002E-2</v>
      </c>
      <c r="S34" s="234">
        <v>0.3</v>
      </c>
      <c r="T34" s="234">
        <v>30</v>
      </c>
      <c r="AA34" s="234">
        <v>38</v>
      </c>
      <c r="AB34" s="234" t="s">
        <v>411</v>
      </c>
      <c r="AC34" s="234" t="s">
        <v>405</v>
      </c>
      <c r="AD34" s="234" t="s">
        <v>389</v>
      </c>
      <c r="AE34" s="234" t="s">
        <v>405</v>
      </c>
      <c r="AF34" s="234" t="s">
        <v>195</v>
      </c>
      <c r="AG34" s="234" t="s">
        <v>379</v>
      </c>
      <c r="AH34" s="234" t="s">
        <v>380</v>
      </c>
      <c r="AI34" s="234">
        <v>0.112038453133562</v>
      </c>
      <c r="AJ34" s="234" t="s">
        <v>162</v>
      </c>
      <c r="AK34" s="234">
        <v>0.112038453133562</v>
      </c>
      <c r="AL34" s="234" t="s">
        <v>382</v>
      </c>
      <c r="AM34" s="234">
        <v>3</v>
      </c>
    </row>
    <row r="35" spans="2:39" x14ac:dyDescent="0.3">
      <c r="F35" s="234" t="s">
        <v>172</v>
      </c>
      <c r="G35" s="234" t="s">
        <v>383</v>
      </c>
      <c r="I35" s="234">
        <v>1</v>
      </c>
      <c r="N35" s="234">
        <v>8.4068172743686205</v>
      </c>
      <c r="O35" s="234">
        <v>0.10012799999999999</v>
      </c>
      <c r="T35" s="234">
        <v>35</v>
      </c>
      <c r="AA35" s="234">
        <v>38</v>
      </c>
      <c r="AB35" s="234" t="s">
        <v>411</v>
      </c>
      <c r="AC35" s="234" t="s">
        <v>405</v>
      </c>
      <c r="AD35" s="234" t="s">
        <v>389</v>
      </c>
      <c r="AE35" s="234" t="s">
        <v>405</v>
      </c>
      <c r="AF35" s="234" t="s">
        <v>195</v>
      </c>
      <c r="AG35" s="234" t="s">
        <v>379</v>
      </c>
      <c r="AH35" s="234" t="s">
        <v>380</v>
      </c>
      <c r="AI35" s="234">
        <v>0.119007038835616</v>
      </c>
      <c r="AJ35" s="234" t="s">
        <v>162</v>
      </c>
      <c r="AK35" s="234">
        <v>0.119007038835616</v>
      </c>
      <c r="AL35" s="234" t="s">
        <v>382</v>
      </c>
      <c r="AM35" s="234">
        <v>3</v>
      </c>
    </row>
    <row r="36" spans="2:39" x14ac:dyDescent="0.3">
      <c r="F36" s="234" t="s">
        <v>172</v>
      </c>
      <c r="G36" s="234" t="s">
        <v>384</v>
      </c>
      <c r="I36" s="234">
        <v>1</v>
      </c>
      <c r="N36" s="234">
        <v>6.4774593743010804</v>
      </c>
      <c r="O36" s="234">
        <v>8.0571749999999998E-2</v>
      </c>
      <c r="T36" s="234">
        <v>40</v>
      </c>
      <c r="AA36" s="234">
        <v>38</v>
      </c>
      <c r="AB36" s="234" t="s">
        <v>411</v>
      </c>
      <c r="AC36" s="234" t="s">
        <v>405</v>
      </c>
      <c r="AD36" s="234" t="s">
        <v>389</v>
      </c>
      <c r="AE36" s="234" t="s">
        <v>405</v>
      </c>
      <c r="AF36" s="234" t="s">
        <v>195</v>
      </c>
      <c r="AG36" s="234" t="s">
        <v>379</v>
      </c>
      <c r="AH36" s="234" t="s">
        <v>380</v>
      </c>
      <c r="AI36" s="234">
        <v>0.12296006984589</v>
      </c>
      <c r="AJ36" s="234" t="s">
        <v>162</v>
      </c>
      <c r="AK36" s="234">
        <v>0.12296006984589</v>
      </c>
      <c r="AL36" s="234" t="s">
        <v>382</v>
      </c>
      <c r="AM36" s="234">
        <v>3</v>
      </c>
    </row>
    <row r="37" spans="2:39" x14ac:dyDescent="0.3">
      <c r="F37" s="234" t="s">
        <v>172</v>
      </c>
      <c r="G37" s="234" t="s">
        <v>385</v>
      </c>
      <c r="I37" s="234">
        <v>1</v>
      </c>
      <c r="N37" s="234">
        <v>4.3768426652281596</v>
      </c>
      <c r="O37" s="234">
        <v>6.8055749999999998E-2</v>
      </c>
      <c r="T37" s="234">
        <v>40</v>
      </c>
      <c r="AA37" s="234">
        <v>38</v>
      </c>
      <c r="AB37" s="234" t="s">
        <v>411</v>
      </c>
      <c r="AC37" s="234" t="s">
        <v>405</v>
      </c>
      <c r="AD37" s="234" t="s">
        <v>389</v>
      </c>
      <c r="AE37" s="234" t="s">
        <v>405</v>
      </c>
      <c r="AF37" s="234" t="s">
        <v>195</v>
      </c>
      <c r="AG37" s="234" t="s">
        <v>379</v>
      </c>
      <c r="AH37" s="234" t="s">
        <v>380</v>
      </c>
      <c r="AI37" s="234">
        <v>0.128351949226027</v>
      </c>
      <c r="AJ37" s="234" t="s">
        <v>162</v>
      </c>
      <c r="AK37" s="234">
        <v>0.128351949226027</v>
      </c>
      <c r="AL37" s="234" t="s">
        <v>382</v>
      </c>
      <c r="AM37" s="234">
        <v>3</v>
      </c>
    </row>
    <row r="38" spans="2:39" x14ac:dyDescent="0.3">
      <c r="B38" s="234" t="s">
        <v>412</v>
      </c>
      <c r="C38" s="234" t="s">
        <v>413</v>
      </c>
      <c r="D38" s="234" t="s">
        <v>186</v>
      </c>
      <c r="E38" s="234" t="s">
        <v>28</v>
      </c>
      <c r="F38" s="234" t="s">
        <v>172</v>
      </c>
      <c r="G38" s="234" t="s">
        <v>375</v>
      </c>
      <c r="H38" s="234">
        <v>2020</v>
      </c>
      <c r="I38" s="234">
        <v>1</v>
      </c>
      <c r="N38" s="234">
        <v>34.270000000000003</v>
      </c>
      <c r="P38" s="234">
        <v>41.3888888888889</v>
      </c>
      <c r="Q38" s="234">
        <v>3.1536000000000002E-2</v>
      </c>
      <c r="S38" s="234">
        <v>1</v>
      </c>
      <c r="T38" s="234">
        <v>10</v>
      </c>
      <c r="U38" s="234">
        <v>3</v>
      </c>
      <c r="AA38" s="234">
        <v>41</v>
      </c>
      <c r="AB38" s="234" t="s">
        <v>414</v>
      </c>
      <c r="AC38" s="234" t="s">
        <v>415</v>
      </c>
      <c r="AD38" s="234" t="s">
        <v>389</v>
      </c>
      <c r="AE38" s="234" t="s">
        <v>415</v>
      </c>
      <c r="AF38" s="234" t="s">
        <v>201</v>
      </c>
      <c r="AG38" s="234" t="s">
        <v>379</v>
      </c>
      <c r="AH38" s="234" t="s">
        <v>380</v>
      </c>
      <c r="AI38" s="234">
        <v>0.17123287671232901</v>
      </c>
      <c r="AJ38" s="234" t="s">
        <v>416</v>
      </c>
      <c r="AK38" s="234">
        <v>0.9</v>
      </c>
      <c r="AL38" s="234" t="s">
        <v>382</v>
      </c>
      <c r="AM38" s="234">
        <v>1</v>
      </c>
    </row>
    <row r="39" spans="2:39" x14ac:dyDescent="0.3">
      <c r="F39" s="234" t="s">
        <v>172</v>
      </c>
      <c r="G39" s="234" t="s">
        <v>383</v>
      </c>
      <c r="I39" s="234">
        <v>1</v>
      </c>
      <c r="N39" s="234">
        <v>28.31</v>
      </c>
      <c r="P39" s="234">
        <v>31.0416666666667</v>
      </c>
      <c r="T39" s="234">
        <v>20</v>
      </c>
      <c r="U39" s="234">
        <v>3</v>
      </c>
      <c r="AA39" s="234">
        <v>41</v>
      </c>
      <c r="AB39" s="234" t="s">
        <v>414</v>
      </c>
      <c r="AC39" s="234" t="s">
        <v>415</v>
      </c>
      <c r="AD39" s="234" t="s">
        <v>389</v>
      </c>
      <c r="AE39" s="234" t="s">
        <v>415</v>
      </c>
      <c r="AF39" s="234" t="s">
        <v>201</v>
      </c>
      <c r="AG39" s="234" t="s">
        <v>379</v>
      </c>
      <c r="AH39" s="234" t="s">
        <v>380</v>
      </c>
      <c r="AI39" s="234">
        <v>0.28538812785388101</v>
      </c>
      <c r="AJ39" s="234" t="s">
        <v>416</v>
      </c>
      <c r="AK39" s="234">
        <v>0.95</v>
      </c>
      <c r="AL39" s="234" t="s">
        <v>382</v>
      </c>
      <c r="AM39" s="234">
        <v>1</v>
      </c>
    </row>
    <row r="40" spans="2:39" x14ac:dyDescent="0.3">
      <c r="F40" s="234" t="s">
        <v>172</v>
      </c>
      <c r="G40" s="234" t="s">
        <v>384</v>
      </c>
      <c r="I40" s="234">
        <v>1</v>
      </c>
      <c r="N40" s="234">
        <v>16.39</v>
      </c>
      <c r="P40" s="234">
        <v>20.6944444444444</v>
      </c>
      <c r="T40" s="234">
        <v>25</v>
      </c>
      <c r="U40" s="234">
        <v>3</v>
      </c>
      <c r="AA40" s="234">
        <v>41</v>
      </c>
      <c r="AB40" s="234" t="s">
        <v>414</v>
      </c>
      <c r="AC40" s="234" t="s">
        <v>415</v>
      </c>
      <c r="AD40" s="234" t="s">
        <v>389</v>
      </c>
      <c r="AE40" s="234" t="s">
        <v>415</v>
      </c>
      <c r="AF40" s="234" t="s">
        <v>201</v>
      </c>
      <c r="AG40" s="234" t="s">
        <v>379</v>
      </c>
      <c r="AH40" s="234" t="s">
        <v>380</v>
      </c>
      <c r="AI40" s="234">
        <v>0.39954337899543402</v>
      </c>
      <c r="AJ40" s="234" t="s">
        <v>416</v>
      </c>
      <c r="AK40" s="234">
        <v>0.97</v>
      </c>
      <c r="AL40" s="234" t="s">
        <v>382</v>
      </c>
      <c r="AM40" s="234">
        <v>1</v>
      </c>
    </row>
    <row r="41" spans="2:39" x14ac:dyDescent="0.3">
      <c r="F41" s="234" t="s">
        <v>172</v>
      </c>
      <c r="G41" s="234" t="s">
        <v>385</v>
      </c>
      <c r="I41" s="234">
        <v>1</v>
      </c>
      <c r="N41" s="234">
        <v>11.92</v>
      </c>
      <c r="P41" s="234">
        <v>14.4861111111111</v>
      </c>
      <c r="T41" s="234">
        <v>30</v>
      </c>
      <c r="U41" s="234">
        <v>3</v>
      </c>
      <c r="AA41" s="234">
        <v>41</v>
      </c>
      <c r="AB41" s="234" t="s">
        <v>414</v>
      </c>
      <c r="AC41" s="234" t="s">
        <v>415</v>
      </c>
      <c r="AD41" s="234" t="s">
        <v>389</v>
      </c>
      <c r="AE41" s="234" t="s">
        <v>415</v>
      </c>
      <c r="AF41" s="234" t="s">
        <v>201</v>
      </c>
      <c r="AG41" s="234" t="s">
        <v>379</v>
      </c>
      <c r="AH41" s="234" t="s">
        <v>380</v>
      </c>
      <c r="AI41" s="234">
        <v>0.51369863013698602</v>
      </c>
      <c r="AJ41" s="234" t="s">
        <v>416</v>
      </c>
      <c r="AK41" s="234">
        <v>0.98</v>
      </c>
      <c r="AL41" s="234" t="s">
        <v>382</v>
      </c>
      <c r="AM41" s="234">
        <v>1</v>
      </c>
    </row>
    <row r="42" spans="2:39" x14ac:dyDescent="0.3">
      <c r="B42" s="234" t="s">
        <v>417</v>
      </c>
      <c r="C42" s="234" t="s">
        <v>418</v>
      </c>
      <c r="D42" s="234" t="s">
        <v>37</v>
      </c>
      <c r="E42" s="234" t="s">
        <v>28</v>
      </c>
      <c r="F42" s="234" t="s">
        <v>172</v>
      </c>
      <c r="G42" s="234" t="s">
        <v>375</v>
      </c>
      <c r="H42" s="234">
        <v>2020</v>
      </c>
      <c r="I42" s="234">
        <v>0.35</v>
      </c>
      <c r="N42" s="234">
        <v>2.6074999999999999</v>
      </c>
      <c r="O42" s="234">
        <v>6.5559999999999993E-2</v>
      </c>
      <c r="P42" s="234">
        <v>12.4166666666667</v>
      </c>
      <c r="Q42" s="234">
        <v>3.1536000000000002E-2</v>
      </c>
      <c r="R42" s="234">
        <v>0.9</v>
      </c>
      <c r="S42" s="234">
        <v>1</v>
      </c>
      <c r="T42" s="234">
        <v>25</v>
      </c>
      <c r="U42" s="234">
        <v>1</v>
      </c>
      <c r="V42" s="234">
        <v>942</v>
      </c>
      <c r="W42" s="234">
        <v>24</v>
      </c>
      <c r="X42" s="234">
        <v>2.1</v>
      </c>
      <c r="Y42" s="234">
        <v>23</v>
      </c>
      <c r="Z42" s="234">
        <v>5</v>
      </c>
      <c r="AA42" s="234">
        <v>50</v>
      </c>
      <c r="AB42" s="234" t="s">
        <v>419</v>
      </c>
      <c r="AC42" s="234" t="s">
        <v>377</v>
      </c>
      <c r="AD42" s="234" t="s">
        <v>378</v>
      </c>
      <c r="AE42" s="234" t="s">
        <v>132</v>
      </c>
      <c r="AF42" s="234" t="s">
        <v>136</v>
      </c>
      <c r="AG42" s="234" t="s">
        <v>379</v>
      </c>
      <c r="AH42" s="234" t="s">
        <v>380</v>
      </c>
      <c r="AJ42" s="234" t="s">
        <v>381</v>
      </c>
      <c r="AK42" s="234">
        <v>0.9</v>
      </c>
      <c r="AL42" s="234" t="s">
        <v>382</v>
      </c>
      <c r="AM42" s="234">
        <v>1</v>
      </c>
    </row>
    <row r="43" spans="2:39" x14ac:dyDescent="0.3">
      <c r="F43" s="234" t="s">
        <v>172</v>
      </c>
      <c r="G43" s="234" t="s">
        <v>383</v>
      </c>
      <c r="I43" s="234">
        <v>0.35</v>
      </c>
      <c r="N43" s="234">
        <v>2.5553499999999998</v>
      </c>
      <c r="O43" s="234">
        <v>6.5559999999999993E-2</v>
      </c>
      <c r="P43" s="234">
        <v>12.4166666666667</v>
      </c>
      <c r="R43" s="234">
        <v>0.9</v>
      </c>
      <c r="T43" s="234">
        <v>25</v>
      </c>
      <c r="U43" s="234">
        <v>1</v>
      </c>
      <c r="V43" s="234">
        <v>942</v>
      </c>
      <c r="W43" s="234">
        <v>24</v>
      </c>
      <c r="X43" s="234">
        <v>2.1</v>
      </c>
      <c r="Y43" s="234">
        <v>23</v>
      </c>
      <c r="Z43" s="234">
        <v>5</v>
      </c>
      <c r="AA43" s="234">
        <v>50</v>
      </c>
      <c r="AB43" s="234" t="s">
        <v>419</v>
      </c>
      <c r="AC43" s="234" t="s">
        <v>377</v>
      </c>
      <c r="AD43" s="234" t="s">
        <v>378</v>
      </c>
      <c r="AE43" s="234" t="s">
        <v>132</v>
      </c>
      <c r="AF43" s="234" t="s">
        <v>136</v>
      </c>
      <c r="AG43" s="234" t="s">
        <v>379</v>
      </c>
      <c r="AH43" s="234" t="s">
        <v>380</v>
      </c>
      <c r="AJ43" s="234" t="s">
        <v>381</v>
      </c>
      <c r="AK43" s="234">
        <v>0.9</v>
      </c>
      <c r="AL43" s="234" t="s">
        <v>382</v>
      </c>
      <c r="AM43" s="234">
        <v>1</v>
      </c>
    </row>
    <row r="44" spans="2:39" x14ac:dyDescent="0.3">
      <c r="F44" s="234" t="s">
        <v>172</v>
      </c>
      <c r="G44" s="234" t="s">
        <v>384</v>
      </c>
      <c r="I44" s="234">
        <v>0.35</v>
      </c>
      <c r="N44" s="234">
        <v>2.5553499999999998</v>
      </c>
      <c r="O44" s="234">
        <v>6.2937599999999996E-2</v>
      </c>
      <c r="P44" s="234">
        <v>12.4166666666667</v>
      </c>
      <c r="R44" s="234">
        <v>0.9</v>
      </c>
      <c r="T44" s="234">
        <v>25</v>
      </c>
      <c r="U44" s="234">
        <v>1</v>
      </c>
      <c r="V44" s="234">
        <v>942</v>
      </c>
      <c r="W44" s="234">
        <v>24</v>
      </c>
      <c r="X44" s="234">
        <v>2.1</v>
      </c>
      <c r="Y44" s="234">
        <v>23</v>
      </c>
      <c r="Z44" s="234">
        <v>5</v>
      </c>
      <c r="AA44" s="234">
        <v>50</v>
      </c>
      <c r="AB44" s="234" t="s">
        <v>419</v>
      </c>
      <c r="AC44" s="234" t="s">
        <v>377</v>
      </c>
      <c r="AD44" s="234" t="s">
        <v>378</v>
      </c>
      <c r="AE44" s="234" t="s">
        <v>132</v>
      </c>
      <c r="AF44" s="234" t="s">
        <v>136</v>
      </c>
      <c r="AG44" s="234" t="s">
        <v>379</v>
      </c>
      <c r="AH44" s="234" t="s">
        <v>380</v>
      </c>
      <c r="AJ44" s="234" t="s">
        <v>381</v>
      </c>
      <c r="AK44" s="234">
        <v>0.9</v>
      </c>
      <c r="AL44" s="234" t="s">
        <v>382</v>
      </c>
      <c r="AM44" s="234">
        <v>1</v>
      </c>
    </row>
    <row r="45" spans="2:39" x14ac:dyDescent="0.3">
      <c r="F45" s="234" t="s">
        <v>172</v>
      </c>
      <c r="G45" s="234" t="s">
        <v>385</v>
      </c>
      <c r="I45" s="234">
        <v>0.35</v>
      </c>
      <c r="N45" s="234">
        <v>2.5032000000000001</v>
      </c>
      <c r="O45" s="234">
        <v>6.0315199999999999E-2</v>
      </c>
      <c r="P45" s="234">
        <v>12.4166666666667</v>
      </c>
      <c r="R45" s="234">
        <v>0.9</v>
      </c>
      <c r="T45" s="234">
        <v>25</v>
      </c>
      <c r="U45" s="234">
        <v>1</v>
      </c>
      <c r="V45" s="234">
        <v>942</v>
      </c>
      <c r="W45" s="234">
        <v>24</v>
      </c>
      <c r="X45" s="234">
        <v>2.1</v>
      </c>
      <c r="Y45" s="234">
        <v>23</v>
      </c>
      <c r="Z45" s="234">
        <v>5</v>
      </c>
      <c r="AA45" s="234">
        <v>50</v>
      </c>
      <c r="AB45" s="234" t="s">
        <v>419</v>
      </c>
      <c r="AC45" s="234" t="s">
        <v>377</v>
      </c>
      <c r="AD45" s="234" t="s">
        <v>378</v>
      </c>
      <c r="AE45" s="234" t="s">
        <v>132</v>
      </c>
      <c r="AF45" s="234" t="s">
        <v>136</v>
      </c>
      <c r="AG45" s="234" t="s">
        <v>379</v>
      </c>
      <c r="AH45" s="234" t="s">
        <v>380</v>
      </c>
      <c r="AJ45" s="234" t="s">
        <v>381</v>
      </c>
      <c r="AK45" s="234">
        <v>0.9</v>
      </c>
      <c r="AL45" s="234" t="s">
        <v>382</v>
      </c>
      <c r="AM45" s="234">
        <v>1</v>
      </c>
    </row>
    <row r="46" spans="2:39" x14ac:dyDescent="0.3">
      <c r="B46" s="234" t="s">
        <v>420</v>
      </c>
      <c r="C46" s="234" t="s">
        <v>421</v>
      </c>
      <c r="D46" s="234" t="s">
        <v>351</v>
      </c>
      <c r="E46" s="234" t="s">
        <v>28</v>
      </c>
      <c r="F46" s="234" t="s">
        <v>172</v>
      </c>
      <c r="G46" s="234" t="s">
        <v>375</v>
      </c>
      <c r="H46" s="234">
        <v>2020</v>
      </c>
      <c r="I46" s="234">
        <v>0.46</v>
      </c>
      <c r="N46" s="234">
        <v>3.7995000000000001</v>
      </c>
      <c r="O46" s="234">
        <v>4.8425000000000003E-2</v>
      </c>
      <c r="P46" s="234">
        <v>12.4166666666667</v>
      </c>
      <c r="Q46" s="234">
        <v>3.1536000000000002E-2</v>
      </c>
      <c r="R46" s="234">
        <v>0.9</v>
      </c>
      <c r="S46" s="234">
        <v>1</v>
      </c>
      <c r="T46" s="234">
        <v>25</v>
      </c>
      <c r="U46" s="234">
        <v>1</v>
      </c>
      <c r="V46" s="234">
        <v>75</v>
      </c>
      <c r="W46" s="234">
        <v>315</v>
      </c>
      <c r="X46" s="234">
        <v>0.6</v>
      </c>
      <c r="Z46" s="234">
        <v>0.76</v>
      </c>
      <c r="AA46" s="234">
        <v>51</v>
      </c>
      <c r="AB46" s="234" t="s">
        <v>422</v>
      </c>
      <c r="AC46" s="234" t="s">
        <v>377</v>
      </c>
      <c r="AD46" s="234" t="s">
        <v>378</v>
      </c>
      <c r="AE46" s="234" t="s">
        <v>423</v>
      </c>
      <c r="AF46" s="234" t="s">
        <v>137</v>
      </c>
      <c r="AG46" s="234" t="s">
        <v>379</v>
      </c>
      <c r="AH46" s="234" t="s">
        <v>380</v>
      </c>
      <c r="AJ46" s="234" t="s">
        <v>381</v>
      </c>
      <c r="AK46" s="234">
        <v>0.9</v>
      </c>
      <c r="AL46" s="234" t="s">
        <v>382</v>
      </c>
      <c r="AM46" s="234">
        <v>1</v>
      </c>
    </row>
    <row r="47" spans="2:39" x14ac:dyDescent="0.3">
      <c r="F47" s="234" t="s">
        <v>172</v>
      </c>
      <c r="G47" s="234" t="s">
        <v>383</v>
      </c>
      <c r="I47" s="234">
        <v>0.46</v>
      </c>
      <c r="N47" s="234">
        <v>3.6855150000000001</v>
      </c>
      <c r="O47" s="234">
        <v>4.8425000000000003E-2</v>
      </c>
      <c r="P47" s="234">
        <v>12.4166666666667</v>
      </c>
      <c r="R47" s="234">
        <v>0.9</v>
      </c>
      <c r="T47" s="234">
        <v>25</v>
      </c>
      <c r="U47" s="234">
        <v>1</v>
      </c>
      <c r="V47" s="234">
        <v>75</v>
      </c>
      <c r="W47" s="234">
        <v>315</v>
      </c>
      <c r="X47" s="234">
        <v>0.6</v>
      </c>
      <c r="Z47" s="234">
        <v>0.76</v>
      </c>
      <c r="AA47" s="234">
        <v>51</v>
      </c>
      <c r="AB47" s="234" t="s">
        <v>422</v>
      </c>
      <c r="AC47" s="234" t="s">
        <v>377</v>
      </c>
      <c r="AD47" s="234" t="s">
        <v>378</v>
      </c>
      <c r="AE47" s="234" t="s">
        <v>423</v>
      </c>
      <c r="AF47" s="234" t="s">
        <v>137</v>
      </c>
      <c r="AG47" s="234" t="s">
        <v>379</v>
      </c>
      <c r="AH47" s="234" t="s">
        <v>380</v>
      </c>
      <c r="AJ47" s="234" t="s">
        <v>381</v>
      </c>
      <c r="AK47" s="234">
        <v>0.9</v>
      </c>
      <c r="AL47" s="234" t="s">
        <v>382</v>
      </c>
      <c r="AM47" s="234">
        <v>1</v>
      </c>
    </row>
    <row r="48" spans="2:39" x14ac:dyDescent="0.3">
      <c r="F48" s="234" t="s">
        <v>172</v>
      </c>
      <c r="G48" s="234" t="s">
        <v>384</v>
      </c>
      <c r="I48" s="234">
        <v>0.48</v>
      </c>
      <c r="N48" s="234">
        <v>3.5335350000000001</v>
      </c>
      <c r="O48" s="234">
        <v>4.65625E-2</v>
      </c>
      <c r="P48" s="234">
        <v>12.4166666666667</v>
      </c>
      <c r="R48" s="234">
        <v>0.9</v>
      </c>
      <c r="T48" s="234">
        <v>25</v>
      </c>
      <c r="U48" s="234">
        <v>1</v>
      </c>
      <c r="V48" s="234">
        <v>75</v>
      </c>
      <c r="W48" s="234">
        <v>315</v>
      </c>
      <c r="X48" s="234">
        <v>0.6</v>
      </c>
      <c r="Z48" s="234">
        <v>0.76</v>
      </c>
      <c r="AA48" s="234">
        <v>51</v>
      </c>
      <c r="AB48" s="234" t="s">
        <v>422</v>
      </c>
      <c r="AC48" s="234" t="s">
        <v>377</v>
      </c>
      <c r="AD48" s="234" t="s">
        <v>378</v>
      </c>
      <c r="AE48" s="234" t="s">
        <v>423</v>
      </c>
      <c r="AF48" s="234" t="s">
        <v>137</v>
      </c>
      <c r="AG48" s="234" t="s">
        <v>379</v>
      </c>
      <c r="AH48" s="234" t="s">
        <v>380</v>
      </c>
      <c r="AJ48" s="234" t="s">
        <v>381</v>
      </c>
      <c r="AK48" s="234">
        <v>0.9</v>
      </c>
      <c r="AL48" s="234" t="s">
        <v>382</v>
      </c>
      <c r="AM48" s="234">
        <v>1</v>
      </c>
    </row>
    <row r="49" spans="2:39" x14ac:dyDescent="0.3">
      <c r="F49" s="234" t="s">
        <v>172</v>
      </c>
      <c r="G49" s="234" t="s">
        <v>385</v>
      </c>
      <c r="I49" s="234">
        <v>0.48</v>
      </c>
      <c r="N49" s="234">
        <v>3.3435600000000001</v>
      </c>
      <c r="O49" s="234">
        <v>4.4699999999999997E-2</v>
      </c>
      <c r="P49" s="234">
        <v>12.4166666666667</v>
      </c>
      <c r="R49" s="234">
        <v>0.9</v>
      </c>
      <c r="T49" s="234">
        <v>25</v>
      </c>
      <c r="U49" s="234">
        <v>1</v>
      </c>
      <c r="V49" s="234">
        <v>75</v>
      </c>
      <c r="W49" s="234">
        <v>315</v>
      </c>
      <c r="X49" s="234">
        <v>0.6</v>
      </c>
      <c r="Z49" s="234">
        <v>0.76</v>
      </c>
      <c r="AA49" s="234">
        <v>51</v>
      </c>
      <c r="AB49" s="234" t="s">
        <v>422</v>
      </c>
      <c r="AC49" s="234" t="s">
        <v>377</v>
      </c>
      <c r="AD49" s="234" t="s">
        <v>378</v>
      </c>
      <c r="AE49" s="234" t="s">
        <v>423</v>
      </c>
      <c r="AF49" s="234" t="s">
        <v>137</v>
      </c>
      <c r="AG49" s="234" t="s">
        <v>379</v>
      </c>
      <c r="AH49" s="234" t="s">
        <v>380</v>
      </c>
      <c r="AJ49" s="234" t="s">
        <v>381</v>
      </c>
      <c r="AK49" s="234">
        <v>0.9</v>
      </c>
      <c r="AL49" s="234" t="s">
        <v>382</v>
      </c>
      <c r="AM49" s="234">
        <v>1</v>
      </c>
    </row>
    <row r="50" spans="2:39" x14ac:dyDescent="0.3">
      <c r="B50" s="234" t="s">
        <v>424</v>
      </c>
      <c r="C50" s="234" t="s">
        <v>425</v>
      </c>
      <c r="D50" s="234" t="s">
        <v>37</v>
      </c>
      <c r="E50" s="234" t="s">
        <v>28</v>
      </c>
      <c r="F50" s="234" t="s">
        <v>172</v>
      </c>
      <c r="G50" s="234" t="s">
        <v>375</v>
      </c>
      <c r="H50" s="234">
        <v>2020</v>
      </c>
      <c r="I50" s="234">
        <v>0.38</v>
      </c>
      <c r="N50" s="234">
        <v>2.9055</v>
      </c>
      <c r="O50" s="234">
        <v>6.0106600000000003E-2</v>
      </c>
      <c r="P50" s="234">
        <v>9.3125</v>
      </c>
      <c r="Q50" s="234">
        <v>3.1536000000000002E-2</v>
      </c>
      <c r="R50" s="234">
        <v>0.98629999999999995</v>
      </c>
      <c r="S50" s="234">
        <v>1</v>
      </c>
      <c r="T50" s="234">
        <v>25</v>
      </c>
      <c r="U50" s="234">
        <v>0.2</v>
      </c>
      <c r="V50" s="234">
        <v>230</v>
      </c>
      <c r="W50" s="234">
        <v>3</v>
      </c>
      <c r="X50" s="234">
        <v>0.6</v>
      </c>
      <c r="Y50" s="234">
        <v>23</v>
      </c>
      <c r="Z50" s="234">
        <v>5</v>
      </c>
      <c r="AA50" s="234">
        <v>53</v>
      </c>
      <c r="AB50" s="234" t="s">
        <v>426</v>
      </c>
      <c r="AC50" s="234" t="s">
        <v>377</v>
      </c>
      <c r="AD50" s="234" t="s">
        <v>378</v>
      </c>
      <c r="AE50" s="234" t="s">
        <v>132</v>
      </c>
      <c r="AF50" s="234" t="s">
        <v>136</v>
      </c>
      <c r="AG50" s="234" t="s">
        <v>379</v>
      </c>
      <c r="AH50" s="234" t="s">
        <v>380</v>
      </c>
      <c r="AJ50" s="234" t="s">
        <v>381</v>
      </c>
      <c r="AL50" s="234" t="s">
        <v>382</v>
      </c>
      <c r="AM50" s="234">
        <v>2</v>
      </c>
    </row>
    <row r="51" spans="2:39" x14ac:dyDescent="0.3">
      <c r="F51" s="234" t="s">
        <v>172</v>
      </c>
      <c r="G51" s="234" t="s">
        <v>383</v>
      </c>
      <c r="I51" s="234">
        <v>0.39</v>
      </c>
      <c r="N51" s="234">
        <v>2.8183349999999998</v>
      </c>
      <c r="O51" s="234">
        <v>6.0106600000000003E-2</v>
      </c>
      <c r="P51" s="234">
        <v>9.3125</v>
      </c>
      <c r="R51" s="234">
        <v>0.98629999999999995</v>
      </c>
      <c r="T51" s="234">
        <v>25</v>
      </c>
      <c r="U51" s="234">
        <v>0.2</v>
      </c>
      <c r="V51" s="234">
        <v>230</v>
      </c>
      <c r="W51" s="234">
        <v>3</v>
      </c>
      <c r="X51" s="234">
        <v>0.6</v>
      </c>
      <c r="Y51" s="234">
        <v>23</v>
      </c>
      <c r="Z51" s="234">
        <v>5</v>
      </c>
      <c r="AA51" s="234">
        <v>53</v>
      </c>
      <c r="AB51" s="234" t="s">
        <v>426</v>
      </c>
      <c r="AC51" s="234" t="s">
        <v>377</v>
      </c>
      <c r="AD51" s="234" t="s">
        <v>378</v>
      </c>
      <c r="AE51" s="234" t="s">
        <v>132</v>
      </c>
      <c r="AF51" s="234" t="s">
        <v>136</v>
      </c>
      <c r="AG51" s="234" t="s">
        <v>379</v>
      </c>
      <c r="AH51" s="234" t="s">
        <v>380</v>
      </c>
      <c r="AJ51" s="234" t="s">
        <v>381</v>
      </c>
      <c r="AL51" s="234" t="s">
        <v>382</v>
      </c>
      <c r="AM51" s="234">
        <v>2</v>
      </c>
    </row>
    <row r="52" spans="2:39" x14ac:dyDescent="0.3">
      <c r="F52" s="234" t="s">
        <v>172</v>
      </c>
      <c r="G52" s="234" t="s">
        <v>384</v>
      </c>
      <c r="I52" s="234">
        <v>0.4</v>
      </c>
      <c r="N52" s="234">
        <v>2.702115</v>
      </c>
      <c r="O52" s="234">
        <v>5.7702336E-2</v>
      </c>
      <c r="P52" s="234">
        <v>9.3125</v>
      </c>
      <c r="R52" s="234">
        <v>0.98629999999999995</v>
      </c>
      <c r="T52" s="234">
        <v>25</v>
      </c>
      <c r="U52" s="234">
        <v>0.2</v>
      </c>
      <c r="V52" s="234">
        <v>230</v>
      </c>
      <c r="W52" s="234">
        <v>3</v>
      </c>
      <c r="X52" s="234">
        <v>0.6</v>
      </c>
      <c r="Y52" s="234">
        <v>23</v>
      </c>
      <c r="Z52" s="234">
        <v>5</v>
      </c>
      <c r="AA52" s="234">
        <v>53</v>
      </c>
      <c r="AB52" s="234" t="s">
        <v>426</v>
      </c>
      <c r="AC52" s="234" t="s">
        <v>377</v>
      </c>
      <c r="AD52" s="234" t="s">
        <v>378</v>
      </c>
      <c r="AE52" s="234" t="s">
        <v>132</v>
      </c>
      <c r="AF52" s="234" t="s">
        <v>136</v>
      </c>
      <c r="AG52" s="234" t="s">
        <v>379</v>
      </c>
      <c r="AH52" s="234" t="s">
        <v>380</v>
      </c>
      <c r="AJ52" s="234" t="s">
        <v>381</v>
      </c>
      <c r="AL52" s="234" t="s">
        <v>382</v>
      </c>
      <c r="AM52" s="234">
        <v>2</v>
      </c>
    </row>
    <row r="53" spans="2:39" x14ac:dyDescent="0.3">
      <c r="F53" s="234" t="s">
        <v>172</v>
      </c>
      <c r="G53" s="234" t="s">
        <v>385</v>
      </c>
      <c r="I53" s="234">
        <v>0.42</v>
      </c>
      <c r="N53" s="234">
        <v>2.5568399999999998</v>
      </c>
      <c r="O53" s="234">
        <v>5.5298071999999997E-2</v>
      </c>
      <c r="P53" s="234">
        <v>9.3125</v>
      </c>
      <c r="R53" s="234">
        <v>0.98629999999999995</v>
      </c>
      <c r="T53" s="234">
        <v>25</v>
      </c>
      <c r="U53" s="234">
        <v>0.2</v>
      </c>
      <c r="V53" s="234">
        <v>230</v>
      </c>
      <c r="W53" s="234">
        <v>3</v>
      </c>
      <c r="X53" s="234">
        <v>0.6</v>
      </c>
      <c r="Y53" s="234">
        <v>23</v>
      </c>
      <c r="Z53" s="234">
        <v>5</v>
      </c>
      <c r="AA53" s="234">
        <v>53</v>
      </c>
      <c r="AB53" s="234" t="s">
        <v>426</v>
      </c>
      <c r="AC53" s="234" t="s">
        <v>377</v>
      </c>
      <c r="AD53" s="234" t="s">
        <v>378</v>
      </c>
      <c r="AE53" s="234" t="s">
        <v>132</v>
      </c>
      <c r="AF53" s="234" t="s">
        <v>136</v>
      </c>
      <c r="AG53" s="234" t="s">
        <v>379</v>
      </c>
      <c r="AH53" s="234" t="s">
        <v>380</v>
      </c>
      <c r="AJ53" s="234" t="s">
        <v>381</v>
      </c>
      <c r="AL53" s="234" t="s">
        <v>382</v>
      </c>
      <c r="AM53" s="234">
        <v>2</v>
      </c>
    </row>
    <row r="54" spans="2:39" x14ac:dyDescent="0.3">
      <c r="B54" s="234" t="s">
        <v>427</v>
      </c>
      <c r="C54" s="234" t="s">
        <v>428</v>
      </c>
      <c r="D54" s="234" t="s">
        <v>351</v>
      </c>
      <c r="E54" s="234" t="s">
        <v>28</v>
      </c>
      <c r="F54" s="234" t="s">
        <v>172</v>
      </c>
      <c r="G54" s="234" t="s">
        <v>375</v>
      </c>
      <c r="H54" s="234">
        <v>2020</v>
      </c>
      <c r="I54" s="234">
        <v>0.39</v>
      </c>
      <c r="N54" s="234">
        <v>3.4866000000000001</v>
      </c>
      <c r="O54" s="234">
        <v>6.0106600000000003E-2</v>
      </c>
      <c r="P54" s="234">
        <v>9.3125</v>
      </c>
      <c r="Q54" s="234">
        <v>3.1536000000000002E-2</v>
      </c>
      <c r="R54" s="234">
        <v>0.98629999999999995</v>
      </c>
      <c r="S54" s="234">
        <v>1</v>
      </c>
      <c r="T54" s="234">
        <v>25</v>
      </c>
      <c r="U54" s="234">
        <v>0.2</v>
      </c>
      <c r="V54" s="234">
        <v>48</v>
      </c>
      <c r="W54" s="234">
        <v>1.7</v>
      </c>
      <c r="X54" s="234">
        <v>1</v>
      </c>
      <c r="Y54" s="234">
        <v>0.43</v>
      </c>
      <c r="Z54" s="234">
        <v>0.1</v>
      </c>
      <c r="AA54" s="234">
        <v>52</v>
      </c>
      <c r="AB54" s="234" t="s">
        <v>429</v>
      </c>
      <c r="AC54" s="234" t="s">
        <v>377</v>
      </c>
      <c r="AD54" s="234" t="s">
        <v>378</v>
      </c>
      <c r="AE54" s="234" t="s">
        <v>423</v>
      </c>
      <c r="AF54" s="234" t="s">
        <v>137</v>
      </c>
      <c r="AG54" s="234" t="s">
        <v>379</v>
      </c>
      <c r="AH54" s="234" t="s">
        <v>380</v>
      </c>
      <c r="AJ54" s="234" t="s">
        <v>381</v>
      </c>
      <c r="AK54" s="234">
        <v>0.98629999999999995</v>
      </c>
      <c r="AL54" s="234" t="s">
        <v>382</v>
      </c>
      <c r="AM54" s="234">
        <v>2</v>
      </c>
    </row>
    <row r="55" spans="2:39" x14ac:dyDescent="0.3">
      <c r="F55" s="234" t="s">
        <v>172</v>
      </c>
      <c r="G55" s="234" t="s">
        <v>383</v>
      </c>
      <c r="I55" s="234">
        <v>0.4</v>
      </c>
      <c r="N55" s="234">
        <v>3.382002</v>
      </c>
      <c r="O55" s="234">
        <v>6.0106600000000003E-2</v>
      </c>
      <c r="P55" s="234">
        <v>9.3125</v>
      </c>
      <c r="R55" s="234">
        <v>0.98629999999999995</v>
      </c>
      <c r="T55" s="234">
        <v>25</v>
      </c>
      <c r="U55" s="234">
        <v>0.2</v>
      </c>
      <c r="V55" s="234">
        <v>48</v>
      </c>
      <c r="W55" s="234">
        <v>1.7</v>
      </c>
      <c r="X55" s="234">
        <v>1</v>
      </c>
      <c r="Y55" s="234">
        <v>0.43</v>
      </c>
      <c r="Z55" s="234">
        <v>0.1</v>
      </c>
      <c r="AA55" s="234">
        <v>52</v>
      </c>
      <c r="AB55" s="234" t="s">
        <v>429</v>
      </c>
      <c r="AC55" s="234" t="s">
        <v>377</v>
      </c>
      <c r="AD55" s="234" t="s">
        <v>378</v>
      </c>
      <c r="AE55" s="234" t="s">
        <v>423</v>
      </c>
      <c r="AF55" s="234" t="s">
        <v>137</v>
      </c>
      <c r="AG55" s="234" t="s">
        <v>379</v>
      </c>
      <c r="AH55" s="234" t="s">
        <v>380</v>
      </c>
      <c r="AJ55" s="234" t="s">
        <v>381</v>
      </c>
      <c r="AK55" s="234">
        <v>0.98629999999999995</v>
      </c>
      <c r="AL55" s="234" t="s">
        <v>382</v>
      </c>
      <c r="AM55" s="234">
        <v>2</v>
      </c>
    </row>
    <row r="56" spans="2:39" x14ac:dyDescent="0.3">
      <c r="F56" s="234" t="s">
        <v>172</v>
      </c>
      <c r="G56" s="234" t="s">
        <v>384</v>
      </c>
      <c r="I56" s="234">
        <v>0.41</v>
      </c>
      <c r="N56" s="234">
        <v>3.2425380000000001</v>
      </c>
      <c r="O56" s="234">
        <v>5.7702336E-2</v>
      </c>
      <c r="P56" s="234">
        <v>9.3125</v>
      </c>
      <c r="R56" s="234">
        <v>0.98629999999999995</v>
      </c>
      <c r="T56" s="234">
        <v>25</v>
      </c>
      <c r="U56" s="234">
        <v>0.2</v>
      </c>
      <c r="V56" s="234">
        <v>48</v>
      </c>
      <c r="W56" s="234">
        <v>1.7</v>
      </c>
      <c r="X56" s="234">
        <v>1</v>
      </c>
      <c r="Y56" s="234">
        <v>0.43</v>
      </c>
      <c r="Z56" s="234">
        <v>0.1</v>
      </c>
      <c r="AA56" s="234">
        <v>52</v>
      </c>
      <c r="AB56" s="234" t="s">
        <v>429</v>
      </c>
      <c r="AC56" s="234" t="s">
        <v>377</v>
      </c>
      <c r="AD56" s="234" t="s">
        <v>378</v>
      </c>
      <c r="AE56" s="234" t="s">
        <v>423</v>
      </c>
      <c r="AF56" s="234" t="s">
        <v>137</v>
      </c>
      <c r="AG56" s="234" t="s">
        <v>379</v>
      </c>
      <c r="AH56" s="234" t="s">
        <v>380</v>
      </c>
      <c r="AJ56" s="234" t="s">
        <v>381</v>
      </c>
      <c r="AK56" s="234">
        <v>0.98629999999999995</v>
      </c>
      <c r="AL56" s="234" t="s">
        <v>382</v>
      </c>
      <c r="AM56" s="234">
        <v>2</v>
      </c>
    </row>
    <row r="57" spans="2:39" x14ac:dyDescent="0.3">
      <c r="F57" s="234" t="s">
        <v>172</v>
      </c>
      <c r="G57" s="234" t="s">
        <v>385</v>
      </c>
      <c r="I57" s="234">
        <v>0.43</v>
      </c>
      <c r="N57" s="234">
        <v>3.0682079999999998</v>
      </c>
      <c r="O57" s="234">
        <v>5.5298071999999997E-2</v>
      </c>
      <c r="P57" s="234">
        <v>9.3125</v>
      </c>
      <c r="R57" s="234">
        <v>0.98629999999999995</v>
      </c>
      <c r="T57" s="234">
        <v>25</v>
      </c>
      <c r="U57" s="234">
        <v>0.2</v>
      </c>
      <c r="V57" s="234">
        <v>48</v>
      </c>
      <c r="W57" s="234">
        <v>1.7</v>
      </c>
      <c r="X57" s="234">
        <v>1</v>
      </c>
      <c r="Y57" s="234">
        <v>0.43</v>
      </c>
      <c r="Z57" s="234">
        <v>0.1</v>
      </c>
      <c r="AA57" s="234">
        <v>52</v>
      </c>
      <c r="AB57" s="234" t="s">
        <v>429</v>
      </c>
      <c r="AC57" s="234" t="s">
        <v>377</v>
      </c>
      <c r="AD57" s="234" t="s">
        <v>378</v>
      </c>
      <c r="AE57" s="234" t="s">
        <v>423</v>
      </c>
      <c r="AF57" s="234" t="s">
        <v>137</v>
      </c>
      <c r="AG57" s="234" t="s">
        <v>379</v>
      </c>
      <c r="AH57" s="234" t="s">
        <v>380</v>
      </c>
      <c r="AJ57" s="234" t="s">
        <v>381</v>
      </c>
      <c r="AK57" s="234">
        <v>0.98629999999999995</v>
      </c>
      <c r="AL57" s="234" t="s">
        <v>382</v>
      </c>
      <c r="AM57" s="234">
        <v>2</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D59AB-D7AD-48CA-B817-21C4E9512B37}">
  <dimension ref="B1:AM138"/>
  <sheetViews>
    <sheetView topLeftCell="A85" workbookViewId="0">
      <selection activeCell="L11" sqref="L11"/>
    </sheetView>
  </sheetViews>
  <sheetFormatPr defaultColWidth="8.88671875" defaultRowHeight="14.4" x14ac:dyDescent="0.3"/>
  <cols>
    <col min="1" max="1" width="8.88671875" style="234"/>
    <col min="2" max="2" width="15.6640625" style="234" bestFit="1" customWidth="1"/>
    <col min="3" max="3" width="49.109375" style="234" bestFit="1" customWidth="1"/>
    <col min="4" max="16384" width="8.88671875" style="234"/>
  </cols>
  <sheetData>
    <row r="1" spans="2:39" x14ac:dyDescent="0.3">
      <c r="V1" s="234" t="s">
        <v>582</v>
      </c>
      <c r="W1" s="234" t="s">
        <v>583</v>
      </c>
      <c r="X1" s="234" t="s">
        <v>584</v>
      </c>
      <c r="Y1" s="234" t="s">
        <v>585</v>
      </c>
      <c r="Z1" s="234" t="s">
        <v>586</v>
      </c>
    </row>
    <row r="2" spans="2:39" x14ac:dyDescent="0.3">
      <c r="B2" s="234" t="s">
        <v>2</v>
      </c>
      <c r="C2" s="234" t="s">
        <v>3</v>
      </c>
      <c r="D2" s="234" t="s">
        <v>5</v>
      </c>
      <c r="E2" s="234" t="s">
        <v>6</v>
      </c>
      <c r="F2" s="234" t="s">
        <v>171</v>
      </c>
      <c r="G2" s="234" t="s">
        <v>354</v>
      </c>
      <c r="H2" s="234" t="s">
        <v>347</v>
      </c>
      <c r="I2" s="234" t="s">
        <v>7</v>
      </c>
      <c r="J2" s="234" t="s">
        <v>348</v>
      </c>
      <c r="K2" s="234" t="s">
        <v>349</v>
      </c>
      <c r="L2" s="234" t="s">
        <v>8</v>
      </c>
      <c r="M2" s="234" t="s">
        <v>10</v>
      </c>
      <c r="N2" s="234" t="s">
        <v>343</v>
      </c>
      <c r="O2" s="234" t="s">
        <v>17</v>
      </c>
      <c r="P2" s="234" t="s">
        <v>18</v>
      </c>
      <c r="Q2" s="234" t="s">
        <v>19</v>
      </c>
      <c r="R2" s="234" t="s">
        <v>20</v>
      </c>
      <c r="S2" s="234" t="s">
        <v>21</v>
      </c>
      <c r="T2" s="234" t="s">
        <v>39</v>
      </c>
      <c r="U2" s="234" t="s">
        <v>350</v>
      </c>
      <c r="V2" s="234" t="s">
        <v>355</v>
      </c>
      <c r="W2" s="234" t="s">
        <v>356</v>
      </c>
      <c r="X2" s="234" t="s">
        <v>357</v>
      </c>
      <c r="Y2" s="234" t="s">
        <v>358</v>
      </c>
      <c r="Z2" s="234" t="s">
        <v>359</v>
      </c>
      <c r="AA2" s="234" t="s">
        <v>360</v>
      </c>
      <c r="AB2" s="234" t="s">
        <v>361</v>
      </c>
      <c r="AC2" s="234" t="s">
        <v>362</v>
      </c>
      <c r="AD2" s="234" t="s">
        <v>363</v>
      </c>
      <c r="AE2" s="234" t="s">
        <v>364</v>
      </c>
      <c r="AF2" s="234" t="s">
        <v>365</v>
      </c>
      <c r="AG2" s="234" t="s">
        <v>366</v>
      </c>
      <c r="AH2" s="234" t="s">
        <v>367</v>
      </c>
      <c r="AI2" s="234" t="s">
        <v>368</v>
      </c>
      <c r="AJ2" s="234" t="s">
        <v>369</v>
      </c>
      <c r="AK2" s="234" t="s">
        <v>370</v>
      </c>
      <c r="AL2" s="234" t="s">
        <v>371</v>
      </c>
      <c r="AM2" s="234" t="s">
        <v>372</v>
      </c>
    </row>
    <row r="3" spans="2:39" x14ac:dyDescent="0.3">
      <c r="B3" s="234" t="s">
        <v>430</v>
      </c>
      <c r="C3" s="234" t="s">
        <v>431</v>
      </c>
      <c r="D3" s="234" t="s">
        <v>31</v>
      </c>
      <c r="E3" s="234" t="s">
        <v>28</v>
      </c>
      <c r="F3" s="234" t="s">
        <v>172</v>
      </c>
      <c r="G3" s="234" t="s">
        <v>375</v>
      </c>
      <c r="H3" s="234">
        <v>2020</v>
      </c>
      <c r="I3" s="234">
        <v>0.44</v>
      </c>
      <c r="L3" s="234">
        <v>1.3333333333333299</v>
      </c>
      <c r="M3" s="234">
        <v>0.15</v>
      </c>
      <c r="N3" s="234">
        <v>14.378500000000001</v>
      </c>
      <c r="O3" s="234">
        <v>0.23467499999999999</v>
      </c>
      <c r="P3" s="234">
        <v>6.1048611111111102</v>
      </c>
      <c r="Q3" s="234">
        <v>3.1536000000000002E-2</v>
      </c>
      <c r="R3" s="234">
        <v>0.95</v>
      </c>
      <c r="S3" s="234">
        <v>1</v>
      </c>
      <c r="T3" s="234">
        <v>25</v>
      </c>
      <c r="U3" s="234">
        <v>4.5</v>
      </c>
      <c r="V3" s="234">
        <v>38</v>
      </c>
      <c r="W3" s="234">
        <v>1.5</v>
      </c>
      <c r="X3" s="234">
        <v>0.8</v>
      </c>
      <c r="Y3" s="234">
        <v>8.1000000000000192</v>
      </c>
      <c r="AA3" s="234">
        <v>1</v>
      </c>
      <c r="AB3" s="234" t="s">
        <v>432</v>
      </c>
      <c r="AC3" s="234" t="s">
        <v>64</v>
      </c>
      <c r="AD3" s="234" t="s">
        <v>433</v>
      </c>
      <c r="AE3" s="234" t="s">
        <v>129</v>
      </c>
      <c r="AF3" s="234" t="s">
        <v>134</v>
      </c>
      <c r="AG3" s="234" t="s">
        <v>434</v>
      </c>
      <c r="AH3" s="234" t="s">
        <v>435</v>
      </c>
      <c r="AJ3" s="234" t="s">
        <v>436</v>
      </c>
      <c r="AK3" s="234">
        <v>0.95</v>
      </c>
      <c r="AL3" s="234" t="s">
        <v>437</v>
      </c>
      <c r="AM3" s="234">
        <v>1</v>
      </c>
    </row>
    <row r="4" spans="2:39" x14ac:dyDescent="0.3">
      <c r="E4" s="234" t="s">
        <v>32</v>
      </c>
      <c r="F4" s="234" t="s">
        <v>172</v>
      </c>
      <c r="G4" s="234" t="s">
        <v>383</v>
      </c>
      <c r="I4" s="234">
        <v>0.46</v>
      </c>
      <c r="L4" s="234">
        <v>1.19047619047619</v>
      </c>
      <c r="M4" s="234">
        <v>0.15</v>
      </c>
      <c r="N4" s="234">
        <v>14.154999999999999</v>
      </c>
      <c r="O4" s="234">
        <v>0.23094999999999999</v>
      </c>
      <c r="P4" s="234">
        <v>6.00138888888889</v>
      </c>
      <c r="R4" s="234">
        <v>0.95</v>
      </c>
      <c r="T4" s="234">
        <v>25</v>
      </c>
      <c r="U4" s="234">
        <v>4.5</v>
      </c>
      <c r="V4" s="234">
        <v>35</v>
      </c>
      <c r="W4" s="234">
        <v>1.5</v>
      </c>
      <c r="X4" s="234">
        <v>0.8</v>
      </c>
      <c r="Y4" s="234">
        <v>8.1000000000000192</v>
      </c>
      <c r="AA4" s="234">
        <v>1</v>
      </c>
      <c r="AB4" s="234" t="s">
        <v>432</v>
      </c>
      <c r="AC4" s="234" t="s">
        <v>64</v>
      </c>
      <c r="AD4" s="234" t="s">
        <v>433</v>
      </c>
      <c r="AE4" s="234" t="s">
        <v>129</v>
      </c>
      <c r="AF4" s="234" t="s">
        <v>134</v>
      </c>
      <c r="AG4" s="234" t="s">
        <v>434</v>
      </c>
      <c r="AH4" s="234" t="s">
        <v>435</v>
      </c>
      <c r="AJ4" s="234" t="s">
        <v>436</v>
      </c>
      <c r="AK4" s="234">
        <v>0.95</v>
      </c>
      <c r="AL4" s="234" t="s">
        <v>437</v>
      </c>
      <c r="AM4" s="234">
        <v>1</v>
      </c>
    </row>
    <row r="5" spans="2:39" x14ac:dyDescent="0.3">
      <c r="F5" s="234" t="s">
        <v>172</v>
      </c>
      <c r="G5" s="234" t="s">
        <v>384</v>
      </c>
      <c r="I5" s="234">
        <v>0.52</v>
      </c>
      <c r="L5" s="234">
        <v>0.99009900990098998</v>
      </c>
      <c r="M5" s="234">
        <v>0.15</v>
      </c>
      <c r="N5" s="234">
        <v>13.8605383866804</v>
      </c>
      <c r="O5" s="234">
        <v>0.22614562630899601</v>
      </c>
      <c r="P5" s="234">
        <v>5.8765440528323403</v>
      </c>
      <c r="R5" s="234">
        <v>0.95</v>
      </c>
      <c r="T5" s="234">
        <v>25</v>
      </c>
      <c r="U5" s="234">
        <v>4.5</v>
      </c>
      <c r="V5" s="234">
        <v>35</v>
      </c>
      <c r="W5" s="234">
        <v>1.5</v>
      </c>
      <c r="X5" s="234">
        <v>0.8</v>
      </c>
      <c r="Y5" s="234">
        <v>8.1000000000000192</v>
      </c>
      <c r="AA5" s="234">
        <v>1</v>
      </c>
      <c r="AB5" s="234" t="s">
        <v>432</v>
      </c>
      <c r="AC5" s="234" t="s">
        <v>64</v>
      </c>
      <c r="AD5" s="234" t="s">
        <v>433</v>
      </c>
      <c r="AE5" s="234" t="s">
        <v>129</v>
      </c>
      <c r="AF5" s="234" t="s">
        <v>134</v>
      </c>
      <c r="AG5" s="234" t="s">
        <v>434</v>
      </c>
      <c r="AH5" s="234" t="s">
        <v>435</v>
      </c>
      <c r="AJ5" s="234" t="s">
        <v>436</v>
      </c>
      <c r="AK5" s="234">
        <v>0.95</v>
      </c>
      <c r="AL5" s="234" t="s">
        <v>437</v>
      </c>
      <c r="AM5" s="234">
        <v>1</v>
      </c>
    </row>
    <row r="6" spans="2:39" x14ac:dyDescent="0.3">
      <c r="F6" s="234" t="s">
        <v>172</v>
      </c>
      <c r="G6" s="234" t="s">
        <v>385</v>
      </c>
      <c r="I6" s="234">
        <v>0.52</v>
      </c>
      <c r="L6" s="234">
        <v>0.99009900990098998</v>
      </c>
      <c r="M6" s="234">
        <v>0.15</v>
      </c>
      <c r="N6" s="234">
        <v>13.2898644836587</v>
      </c>
      <c r="O6" s="234">
        <v>0.216834631049168</v>
      </c>
      <c r="P6" s="234">
        <v>5.6345916670482801</v>
      </c>
      <c r="R6" s="234">
        <v>0.95</v>
      </c>
      <c r="T6" s="234">
        <v>25</v>
      </c>
      <c r="U6" s="234">
        <v>4.5</v>
      </c>
      <c r="V6" s="234">
        <v>35</v>
      </c>
      <c r="W6" s="234">
        <v>1.5</v>
      </c>
      <c r="X6" s="234">
        <v>0.8</v>
      </c>
      <c r="Y6" s="234">
        <v>8.1000000000000192</v>
      </c>
      <c r="AA6" s="234">
        <v>1</v>
      </c>
      <c r="AB6" s="234" t="s">
        <v>432</v>
      </c>
      <c r="AC6" s="234" t="s">
        <v>64</v>
      </c>
      <c r="AD6" s="234" t="s">
        <v>433</v>
      </c>
      <c r="AE6" s="234" t="s">
        <v>129</v>
      </c>
      <c r="AF6" s="234" t="s">
        <v>134</v>
      </c>
      <c r="AG6" s="234" t="s">
        <v>434</v>
      </c>
      <c r="AH6" s="234" t="s">
        <v>435</v>
      </c>
      <c r="AJ6" s="234" t="s">
        <v>436</v>
      </c>
      <c r="AK6" s="234">
        <v>0.95</v>
      </c>
      <c r="AL6" s="234" t="s">
        <v>437</v>
      </c>
      <c r="AM6" s="234">
        <v>1</v>
      </c>
    </row>
    <row r="7" spans="2:39" x14ac:dyDescent="0.3">
      <c r="B7" s="234" t="s">
        <v>438</v>
      </c>
      <c r="C7" s="234" t="s">
        <v>439</v>
      </c>
      <c r="D7" s="234" t="s">
        <v>351</v>
      </c>
      <c r="E7" s="234" t="s">
        <v>28</v>
      </c>
      <c r="F7" s="234" t="s">
        <v>172</v>
      </c>
      <c r="G7" s="234" t="s">
        <v>375</v>
      </c>
      <c r="H7" s="234">
        <v>2020</v>
      </c>
      <c r="I7" s="234">
        <v>0.28000000000000003</v>
      </c>
      <c r="L7" s="234">
        <v>1.6666666666666701</v>
      </c>
      <c r="N7" s="234">
        <v>8.94</v>
      </c>
      <c r="P7" s="234">
        <v>31.0416666666667</v>
      </c>
      <c r="Q7" s="234">
        <v>3.1536000000000002E-2</v>
      </c>
      <c r="R7" s="234">
        <v>0.95</v>
      </c>
      <c r="S7" s="234">
        <v>1</v>
      </c>
      <c r="T7" s="234">
        <v>15</v>
      </c>
      <c r="U7" s="234">
        <v>0.5</v>
      </c>
      <c r="V7" s="234">
        <v>10</v>
      </c>
      <c r="W7" s="234">
        <v>6</v>
      </c>
      <c r="Y7" s="234">
        <v>270</v>
      </c>
      <c r="AA7" s="234">
        <v>9</v>
      </c>
      <c r="AB7" s="234" t="s">
        <v>440</v>
      </c>
      <c r="AC7" s="234" t="s">
        <v>64</v>
      </c>
      <c r="AD7" s="234" t="s">
        <v>433</v>
      </c>
      <c r="AE7" s="234" t="s">
        <v>423</v>
      </c>
      <c r="AF7" s="234" t="s">
        <v>137</v>
      </c>
      <c r="AG7" s="234" t="s">
        <v>441</v>
      </c>
      <c r="AH7" s="234" t="s">
        <v>435</v>
      </c>
      <c r="AJ7" s="234" t="s">
        <v>442</v>
      </c>
      <c r="AK7" s="234">
        <v>0.95</v>
      </c>
      <c r="AL7" s="234" t="s">
        <v>437</v>
      </c>
      <c r="AM7" s="234">
        <v>1</v>
      </c>
    </row>
    <row r="8" spans="2:39" x14ac:dyDescent="0.3">
      <c r="E8" s="234" t="s">
        <v>32</v>
      </c>
      <c r="F8" s="234" t="s">
        <v>172</v>
      </c>
      <c r="G8" s="234" t="s">
        <v>383</v>
      </c>
      <c r="I8" s="234">
        <v>0.28000000000000003</v>
      </c>
      <c r="L8" s="234">
        <v>1.6666666666666701</v>
      </c>
      <c r="N8" s="234">
        <v>8.94</v>
      </c>
      <c r="P8" s="234">
        <v>31.0416666666667</v>
      </c>
      <c r="R8" s="234">
        <v>0.95</v>
      </c>
      <c r="T8" s="234">
        <v>15</v>
      </c>
      <c r="U8" s="234">
        <v>0.5</v>
      </c>
      <c r="V8" s="234">
        <v>10</v>
      </c>
      <c r="W8" s="234">
        <v>6</v>
      </c>
      <c r="Y8" s="234">
        <v>270</v>
      </c>
      <c r="AA8" s="234">
        <v>9</v>
      </c>
      <c r="AB8" s="234" t="s">
        <v>440</v>
      </c>
      <c r="AC8" s="234" t="s">
        <v>64</v>
      </c>
      <c r="AD8" s="234" t="s">
        <v>433</v>
      </c>
      <c r="AE8" s="234" t="s">
        <v>423</v>
      </c>
      <c r="AF8" s="234" t="s">
        <v>137</v>
      </c>
      <c r="AG8" s="234" t="s">
        <v>441</v>
      </c>
      <c r="AH8" s="234" t="s">
        <v>435</v>
      </c>
      <c r="AJ8" s="234" t="s">
        <v>442</v>
      </c>
      <c r="AK8" s="234">
        <v>0.95</v>
      </c>
      <c r="AL8" s="234" t="s">
        <v>437</v>
      </c>
      <c r="AM8" s="234">
        <v>1</v>
      </c>
    </row>
    <row r="9" spans="2:39" x14ac:dyDescent="0.3">
      <c r="F9" s="234" t="s">
        <v>172</v>
      </c>
      <c r="G9" s="234" t="s">
        <v>384</v>
      </c>
      <c r="I9" s="234">
        <v>0.28000000000000003</v>
      </c>
      <c r="L9" s="234">
        <v>1.6666666666666701</v>
      </c>
      <c r="N9" s="234">
        <v>8.1950000000000003</v>
      </c>
      <c r="P9" s="234">
        <v>28.9722222222222</v>
      </c>
      <c r="R9" s="234">
        <v>0.95</v>
      </c>
      <c r="T9" s="234">
        <v>15</v>
      </c>
      <c r="U9" s="234">
        <v>0.5</v>
      </c>
      <c r="V9" s="234">
        <v>10</v>
      </c>
      <c r="W9" s="234">
        <v>6</v>
      </c>
      <c r="Y9" s="234">
        <v>270</v>
      </c>
      <c r="AA9" s="234">
        <v>9</v>
      </c>
      <c r="AB9" s="234" t="s">
        <v>440</v>
      </c>
      <c r="AC9" s="234" t="s">
        <v>64</v>
      </c>
      <c r="AD9" s="234" t="s">
        <v>433</v>
      </c>
      <c r="AE9" s="234" t="s">
        <v>423</v>
      </c>
      <c r="AF9" s="234" t="s">
        <v>137</v>
      </c>
      <c r="AG9" s="234" t="s">
        <v>441</v>
      </c>
      <c r="AH9" s="234" t="s">
        <v>435</v>
      </c>
      <c r="AJ9" s="234" t="s">
        <v>442</v>
      </c>
      <c r="AK9" s="234">
        <v>0.95</v>
      </c>
      <c r="AL9" s="234" t="s">
        <v>437</v>
      </c>
      <c r="AM9" s="234">
        <v>1</v>
      </c>
    </row>
    <row r="10" spans="2:39" x14ac:dyDescent="0.3">
      <c r="F10" s="234" t="s">
        <v>172</v>
      </c>
      <c r="G10" s="234" t="s">
        <v>385</v>
      </c>
      <c r="I10" s="234">
        <v>0.28000000000000003</v>
      </c>
      <c r="L10" s="234">
        <v>1.6666666666666701</v>
      </c>
      <c r="N10" s="234">
        <v>7.45</v>
      </c>
      <c r="P10" s="234">
        <v>26.9027777777778</v>
      </c>
      <c r="R10" s="234">
        <v>0.95</v>
      </c>
      <c r="T10" s="234">
        <v>15</v>
      </c>
      <c r="U10" s="234">
        <v>0.5</v>
      </c>
      <c r="V10" s="234">
        <v>10</v>
      </c>
      <c r="W10" s="234">
        <v>6</v>
      </c>
      <c r="Y10" s="234">
        <v>270</v>
      </c>
      <c r="AA10" s="234">
        <v>9</v>
      </c>
      <c r="AB10" s="234" t="s">
        <v>440</v>
      </c>
      <c r="AC10" s="234" t="s">
        <v>64</v>
      </c>
      <c r="AD10" s="234" t="s">
        <v>433</v>
      </c>
      <c r="AE10" s="234" t="s">
        <v>423</v>
      </c>
      <c r="AF10" s="234" t="s">
        <v>137</v>
      </c>
      <c r="AG10" s="234" t="s">
        <v>441</v>
      </c>
      <c r="AH10" s="234" t="s">
        <v>435</v>
      </c>
      <c r="AJ10" s="234" t="s">
        <v>442</v>
      </c>
      <c r="AK10" s="234">
        <v>0.95</v>
      </c>
      <c r="AL10" s="234" t="s">
        <v>437</v>
      </c>
      <c r="AM10" s="234">
        <v>1</v>
      </c>
    </row>
    <row r="11" spans="2:39" x14ac:dyDescent="0.3">
      <c r="B11" s="234" t="s">
        <v>443</v>
      </c>
      <c r="C11" s="234" t="s">
        <v>444</v>
      </c>
      <c r="D11" s="234" t="s">
        <v>351</v>
      </c>
      <c r="E11" s="234" t="s">
        <v>28</v>
      </c>
      <c r="F11" s="234" t="s">
        <v>172</v>
      </c>
      <c r="G11" s="234" t="s">
        <v>375</v>
      </c>
      <c r="H11" s="234">
        <v>2020</v>
      </c>
      <c r="I11" s="234">
        <v>0.34</v>
      </c>
      <c r="L11" s="234">
        <v>1.40845070422535</v>
      </c>
      <c r="N11" s="234">
        <v>5.5875000000000004</v>
      </c>
      <c r="O11" s="234">
        <v>0.14899999999999999</v>
      </c>
      <c r="P11" s="234">
        <v>11.3819444444444</v>
      </c>
      <c r="Q11" s="234">
        <v>3.1536000000000002E-2</v>
      </c>
      <c r="R11" s="234">
        <v>0.98</v>
      </c>
      <c r="S11" s="234">
        <v>1</v>
      </c>
      <c r="T11" s="234">
        <v>25</v>
      </c>
      <c r="U11" s="234">
        <v>1.5</v>
      </c>
      <c r="V11" s="234">
        <v>20</v>
      </c>
      <c r="W11" s="234">
        <v>1.5</v>
      </c>
      <c r="X11" s="234">
        <v>1</v>
      </c>
      <c r="Y11" s="234">
        <v>270</v>
      </c>
      <c r="AA11" s="234">
        <v>8</v>
      </c>
      <c r="AB11" s="234" t="s">
        <v>445</v>
      </c>
      <c r="AC11" s="234" t="s">
        <v>64</v>
      </c>
      <c r="AD11" s="234" t="s">
        <v>433</v>
      </c>
      <c r="AE11" s="234" t="s">
        <v>423</v>
      </c>
      <c r="AF11" s="234" t="s">
        <v>137</v>
      </c>
      <c r="AG11" s="234" t="s">
        <v>441</v>
      </c>
      <c r="AH11" s="234" t="s">
        <v>435</v>
      </c>
      <c r="AJ11" s="234" t="s">
        <v>442</v>
      </c>
      <c r="AK11" s="234">
        <v>0.98</v>
      </c>
      <c r="AL11" s="234" t="s">
        <v>437</v>
      </c>
      <c r="AM11" s="234">
        <v>2</v>
      </c>
    </row>
    <row r="12" spans="2:39" x14ac:dyDescent="0.3">
      <c r="E12" s="234" t="s">
        <v>32</v>
      </c>
      <c r="F12" s="234" t="s">
        <v>172</v>
      </c>
      <c r="G12" s="234" t="s">
        <v>383</v>
      </c>
      <c r="I12" s="234">
        <v>0.35</v>
      </c>
      <c r="L12" s="234">
        <v>1.3698630136986301</v>
      </c>
      <c r="N12" s="234">
        <v>5.4385000000000003</v>
      </c>
      <c r="O12" s="234">
        <v>0.14527499999999999</v>
      </c>
      <c r="P12" s="234">
        <v>11.175000000000001</v>
      </c>
      <c r="R12" s="234">
        <v>0.98</v>
      </c>
      <c r="T12" s="234">
        <v>25</v>
      </c>
      <c r="U12" s="234">
        <v>1.5</v>
      </c>
      <c r="V12" s="234">
        <v>15</v>
      </c>
      <c r="W12" s="234">
        <v>1.5</v>
      </c>
      <c r="X12" s="234">
        <v>1</v>
      </c>
      <c r="Y12" s="234">
        <v>270</v>
      </c>
      <c r="AA12" s="234">
        <v>8</v>
      </c>
      <c r="AB12" s="234" t="s">
        <v>445</v>
      </c>
      <c r="AC12" s="234" t="s">
        <v>64</v>
      </c>
      <c r="AD12" s="234" t="s">
        <v>433</v>
      </c>
      <c r="AE12" s="234" t="s">
        <v>423</v>
      </c>
      <c r="AF12" s="234" t="s">
        <v>137</v>
      </c>
      <c r="AG12" s="234" t="s">
        <v>441</v>
      </c>
      <c r="AH12" s="234" t="s">
        <v>435</v>
      </c>
      <c r="AJ12" s="234" t="s">
        <v>442</v>
      </c>
      <c r="AK12" s="234">
        <v>0.98</v>
      </c>
      <c r="AL12" s="234" t="s">
        <v>437</v>
      </c>
      <c r="AM12" s="234">
        <v>2</v>
      </c>
    </row>
    <row r="13" spans="2:39" x14ac:dyDescent="0.3">
      <c r="F13" s="234" t="s">
        <v>172</v>
      </c>
      <c r="G13" s="234" t="s">
        <v>384</v>
      </c>
      <c r="I13" s="234">
        <v>0.37</v>
      </c>
      <c r="L13" s="234">
        <v>1.25</v>
      </c>
      <c r="N13" s="234">
        <v>5.2149999999999999</v>
      </c>
      <c r="O13" s="234">
        <v>0.13857</v>
      </c>
      <c r="P13" s="234">
        <v>10.554166666666699</v>
      </c>
      <c r="R13" s="234">
        <v>0.98</v>
      </c>
      <c r="T13" s="234">
        <v>25</v>
      </c>
      <c r="U13" s="234">
        <v>1.5</v>
      </c>
      <c r="V13" s="234">
        <v>10</v>
      </c>
      <c r="W13" s="234">
        <v>1.5</v>
      </c>
      <c r="X13" s="234">
        <v>1</v>
      </c>
      <c r="Y13" s="234">
        <v>270</v>
      </c>
      <c r="AA13" s="234">
        <v>8</v>
      </c>
      <c r="AB13" s="234" t="s">
        <v>445</v>
      </c>
      <c r="AC13" s="234" t="s">
        <v>64</v>
      </c>
      <c r="AD13" s="234" t="s">
        <v>433</v>
      </c>
      <c r="AE13" s="234" t="s">
        <v>423</v>
      </c>
      <c r="AF13" s="234" t="s">
        <v>137</v>
      </c>
      <c r="AG13" s="234" t="s">
        <v>441</v>
      </c>
      <c r="AH13" s="234" t="s">
        <v>435</v>
      </c>
      <c r="AJ13" s="234" t="s">
        <v>442</v>
      </c>
      <c r="AK13" s="234">
        <v>0.98</v>
      </c>
      <c r="AL13" s="234" t="s">
        <v>437</v>
      </c>
      <c r="AM13" s="234">
        <v>2</v>
      </c>
    </row>
    <row r="14" spans="2:39" x14ac:dyDescent="0.3">
      <c r="F14" s="234" t="s">
        <v>172</v>
      </c>
      <c r="G14" s="234" t="s">
        <v>385</v>
      </c>
      <c r="I14" s="234">
        <v>0.38</v>
      </c>
      <c r="L14" s="234">
        <v>1.25</v>
      </c>
      <c r="N14" s="234">
        <v>5.0659999999999998</v>
      </c>
      <c r="O14" s="234">
        <v>0.1341</v>
      </c>
      <c r="P14" s="234">
        <v>9.5194444444444404</v>
      </c>
      <c r="R14" s="234">
        <v>0.98</v>
      </c>
      <c r="T14" s="234">
        <v>25</v>
      </c>
      <c r="U14" s="234">
        <v>1.5</v>
      </c>
      <c r="V14" s="234">
        <v>10</v>
      </c>
      <c r="W14" s="234">
        <v>1.5</v>
      </c>
      <c r="X14" s="234">
        <v>1</v>
      </c>
      <c r="Y14" s="234">
        <v>270</v>
      </c>
      <c r="AA14" s="234">
        <v>8</v>
      </c>
      <c r="AB14" s="234" t="s">
        <v>445</v>
      </c>
      <c r="AC14" s="234" t="s">
        <v>64</v>
      </c>
      <c r="AD14" s="234" t="s">
        <v>433</v>
      </c>
      <c r="AE14" s="234" t="s">
        <v>423</v>
      </c>
      <c r="AF14" s="234" t="s">
        <v>137</v>
      </c>
      <c r="AG14" s="234" t="s">
        <v>441</v>
      </c>
      <c r="AH14" s="234" t="s">
        <v>435</v>
      </c>
      <c r="AJ14" s="234" t="s">
        <v>442</v>
      </c>
      <c r="AK14" s="234">
        <v>0.98</v>
      </c>
      <c r="AL14" s="234" t="s">
        <v>437</v>
      </c>
      <c r="AM14" s="234">
        <v>2</v>
      </c>
    </row>
    <row r="15" spans="2:39" x14ac:dyDescent="0.3">
      <c r="B15" s="234" t="s">
        <v>446</v>
      </c>
      <c r="C15" s="234" t="s">
        <v>447</v>
      </c>
      <c r="D15" s="234" t="s">
        <v>351</v>
      </c>
      <c r="E15" s="234" t="s">
        <v>28</v>
      </c>
      <c r="F15" s="234" t="s">
        <v>172</v>
      </c>
      <c r="G15" s="234" t="s">
        <v>375</v>
      </c>
      <c r="H15" s="234">
        <v>2020</v>
      </c>
      <c r="I15" s="234">
        <v>0.39</v>
      </c>
      <c r="L15" s="234">
        <v>1.0526315789473699</v>
      </c>
      <c r="N15" s="234">
        <v>4.47</v>
      </c>
      <c r="O15" s="234">
        <v>0.14899999999999999</v>
      </c>
      <c r="P15" s="234">
        <v>9.3125</v>
      </c>
      <c r="Q15" s="234">
        <v>3.1536000000000002E-2</v>
      </c>
      <c r="R15" s="234">
        <v>0.98</v>
      </c>
      <c r="S15" s="234">
        <v>1</v>
      </c>
      <c r="T15" s="234">
        <v>25</v>
      </c>
      <c r="U15" s="234">
        <v>1.5</v>
      </c>
      <c r="V15" s="234">
        <v>20</v>
      </c>
      <c r="W15" s="234">
        <v>1.5</v>
      </c>
      <c r="X15" s="234">
        <v>1</v>
      </c>
      <c r="Y15" s="234">
        <v>270</v>
      </c>
      <c r="AA15" s="234">
        <v>7</v>
      </c>
      <c r="AB15" s="234" t="s">
        <v>448</v>
      </c>
      <c r="AC15" s="234" t="s">
        <v>64</v>
      </c>
      <c r="AD15" s="234" t="s">
        <v>433</v>
      </c>
      <c r="AE15" s="234" t="s">
        <v>423</v>
      </c>
      <c r="AF15" s="234" t="s">
        <v>137</v>
      </c>
      <c r="AG15" s="234" t="s">
        <v>434</v>
      </c>
      <c r="AH15" s="234" t="s">
        <v>435</v>
      </c>
      <c r="AJ15" s="234" t="s">
        <v>442</v>
      </c>
      <c r="AK15" s="234">
        <v>0.98</v>
      </c>
      <c r="AL15" s="234" t="s">
        <v>437</v>
      </c>
      <c r="AM15" s="234">
        <v>3</v>
      </c>
    </row>
    <row r="16" spans="2:39" x14ac:dyDescent="0.3">
      <c r="E16" s="234" t="s">
        <v>32</v>
      </c>
      <c r="F16" s="234" t="s">
        <v>172</v>
      </c>
      <c r="G16" s="234" t="s">
        <v>383</v>
      </c>
      <c r="I16" s="234">
        <v>0.4</v>
      </c>
      <c r="L16" s="234">
        <v>1.0416666666666701</v>
      </c>
      <c r="N16" s="234">
        <v>4.3955000000000002</v>
      </c>
      <c r="O16" s="234">
        <v>0.14527499999999999</v>
      </c>
      <c r="P16" s="234">
        <v>9.1055555555555596</v>
      </c>
      <c r="R16" s="234">
        <v>0.98</v>
      </c>
      <c r="T16" s="234">
        <v>25</v>
      </c>
      <c r="U16" s="234">
        <v>1.5</v>
      </c>
      <c r="V16" s="234">
        <v>15</v>
      </c>
      <c r="W16" s="234">
        <v>1.5</v>
      </c>
      <c r="X16" s="234">
        <v>1</v>
      </c>
      <c r="Y16" s="234">
        <v>270</v>
      </c>
      <c r="AA16" s="234">
        <v>7</v>
      </c>
      <c r="AB16" s="234" t="s">
        <v>448</v>
      </c>
      <c r="AC16" s="234" t="s">
        <v>64</v>
      </c>
      <c r="AD16" s="234" t="s">
        <v>433</v>
      </c>
      <c r="AE16" s="234" t="s">
        <v>423</v>
      </c>
      <c r="AF16" s="234" t="s">
        <v>137</v>
      </c>
      <c r="AG16" s="234" t="s">
        <v>434</v>
      </c>
      <c r="AH16" s="234" t="s">
        <v>435</v>
      </c>
      <c r="AJ16" s="234" t="s">
        <v>442</v>
      </c>
      <c r="AK16" s="234">
        <v>0.98</v>
      </c>
      <c r="AL16" s="234" t="s">
        <v>437</v>
      </c>
      <c r="AM16" s="234">
        <v>3</v>
      </c>
    </row>
    <row r="17" spans="2:39" x14ac:dyDescent="0.3">
      <c r="F17" s="234" t="s">
        <v>172</v>
      </c>
      <c r="G17" s="234" t="s">
        <v>384</v>
      </c>
      <c r="I17" s="234">
        <v>0.41</v>
      </c>
      <c r="L17" s="234">
        <v>1</v>
      </c>
      <c r="N17" s="234">
        <v>4.1719999999999997</v>
      </c>
      <c r="O17" s="234">
        <v>0.13857</v>
      </c>
      <c r="P17" s="234">
        <v>8.69166666666667</v>
      </c>
      <c r="R17" s="234">
        <v>0.98</v>
      </c>
      <c r="T17" s="234">
        <v>25</v>
      </c>
      <c r="U17" s="234">
        <v>1.5</v>
      </c>
      <c r="V17" s="234">
        <v>10</v>
      </c>
      <c r="W17" s="234">
        <v>1.5</v>
      </c>
      <c r="X17" s="234">
        <v>1</v>
      </c>
      <c r="Y17" s="234">
        <v>270</v>
      </c>
      <c r="AA17" s="234">
        <v>7</v>
      </c>
      <c r="AB17" s="234" t="s">
        <v>448</v>
      </c>
      <c r="AC17" s="234" t="s">
        <v>64</v>
      </c>
      <c r="AD17" s="234" t="s">
        <v>433</v>
      </c>
      <c r="AE17" s="234" t="s">
        <v>423</v>
      </c>
      <c r="AF17" s="234" t="s">
        <v>137</v>
      </c>
      <c r="AG17" s="234" t="s">
        <v>434</v>
      </c>
      <c r="AH17" s="234" t="s">
        <v>435</v>
      </c>
      <c r="AJ17" s="234" t="s">
        <v>442</v>
      </c>
      <c r="AK17" s="234">
        <v>0.98</v>
      </c>
      <c r="AL17" s="234" t="s">
        <v>437</v>
      </c>
      <c r="AM17" s="234">
        <v>3</v>
      </c>
    </row>
    <row r="18" spans="2:39" x14ac:dyDescent="0.3">
      <c r="F18" s="234" t="s">
        <v>172</v>
      </c>
      <c r="G18" s="234" t="s">
        <v>385</v>
      </c>
      <c r="I18" s="234">
        <v>0.43</v>
      </c>
      <c r="L18" s="234">
        <v>1</v>
      </c>
      <c r="N18" s="234">
        <v>3.8740000000000001</v>
      </c>
      <c r="O18" s="234">
        <v>0.1341</v>
      </c>
      <c r="P18" s="234">
        <v>8.2777777777777803</v>
      </c>
      <c r="R18" s="234">
        <v>0.98</v>
      </c>
      <c r="T18" s="234">
        <v>25</v>
      </c>
      <c r="U18" s="234">
        <v>1.5</v>
      </c>
      <c r="V18" s="234">
        <v>10</v>
      </c>
      <c r="W18" s="234">
        <v>1.5</v>
      </c>
      <c r="X18" s="234">
        <v>1</v>
      </c>
      <c r="Y18" s="234">
        <v>270</v>
      </c>
      <c r="AA18" s="234">
        <v>7</v>
      </c>
      <c r="AB18" s="234" t="s">
        <v>448</v>
      </c>
      <c r="AC18" s="234" t="s">
        <v>64</v>
      </c>
      <c r="AD18" s="234" t="s">
        <v>433</v>
      </c>
      <c r="AE18" s="234" t="s">
        <v>423</v>
      </c>
      <c r="AF18" s="234" t="s">
        <v>137</v>
      </c>
      <c r="AG18" s="234" t="s">
        <v>434</v>
      </c>
      <c r="AH18" s="234" t="s">
        <v>435</v>
      </c>
      <c r="AJ18" s="234" t="s">
        <v>442</v>
      </c>
      <c r="AK18" s="234">
        <v>0.98</v>
      </c>
      <c r="AL18" s="234" t="s">
        <v>437</v>
      </c>
      <c r="AM18" s="234">
        <v>3</v>
      </c>
    </row>
    <row r="19" spans="2:39" x14ac:dyDescent="0.3">
      <c r="B19" s="234" t="s">
        <v>449</v>
      </c>
      <c r="C19" s="234" t="s">
        <v>450</v>
      </c>
      <c r="D19" s="234" t="s">
        <v>351</v>
      </c>
      <c r="E19" s="234" t="s">
        <v>28</v>
      </c>
      <c r="F19" s="234" t="s">
        <v>172</v>
      </c>
      <c r="G19" s="234" t="s">
        <v>375</v>
      </c>
      <c r="H19" s="234">
        <v>2020</v>
      </c>
      <c r="I19" s="234">
        <v>0.47</v>
      </c>
      <c r="L19" s="234">
        <v>0.83333333333333304</v>
      </c>
      <c r="N19" s="234">
        <v>9.6850000000000005</v>
      </c>
      <c r="O19" s="234">
        <v>0.2235</v>
      </c>
      <c r="P19" s="234">
        <v>9.3125</v>
      </c>
      <c r="Q19" s="234">
        <v>3.1536000000000002E-2</v>
      </c>
      <c r="R19" s="234">
        <v>0.97</v>
      </c>
      <c r="S19" s="234">
        <v>1</v>
      </c>
      <c r="T19" s="234">
        <v>25</v>
      </c>
      <c r="U19" s="234">
        <v>2.5</v>
      </c>
      <c r="V19" s="234">
        <v>20</v>
      </c>
      <c r="W19" s="234">
        <v>1.5</v>
      </c>
      <c r="X19" s="234">
        <v>1</v>
      </c>
      <c r="Y19" s="234">
        <v>270</v>
      </c>
      <c r="AA19" s="234">
        <v>11</v>
      </c>
      <c r="AB19" s="234" t="s">
        <v>451</v>
      </c>
      <c r="AC19" s="234" t="s">
        <v>64</v>
      </c>
      <c r="AD19" s="234" t="s">
        <v>433</v>
      </c>
      <c r="AE19" s="234" t="s">
        <v>423</v>
      </c>
      <c r="AF19" s="234" t="s">
        <v>137</v>
      </c>
      <c r="AG19" s="234" t="s">
        <v>441</v>
      </c>
      <c r="AH19" s="234" t="s">
        <v>435</v>
      </c>
      <c r="AJ19" s="234" t="s">
        <v>442</v>
      </c>
      <c r="AK19" s="234">
        <v>0.97</v>
      </c>
      <c r="AL19" s="234" t="s">
        <v>437</v>
      </c>
      <c r="AM19" s="234">
        <v>4</v>
      </c>
    </row>
    <row r="20" spans="2:39" x14ac:dyDescent="0.3">
      <c r="E20" s="234" t="s">
        <v>32</v>
      </c>
      <c r="F20" s="234" t="s">
        <v>172</v>
      </c>
      <c r="G20" s="234" t="s">
        <v>383</v>
      </c>
      <c r="I20" s="234">
        <v>0.48</v>
      </c>
      <c r="L20" s="234">
        <v>0.76923076923076905</v>
      </c>
      <c r="N20" s="234">
        <v>9.6850000000000005</v>
      </c>
      <c r="O20" s="234">
        <v>0.21828500000000001</v>
      </c>
      <c r="P20" s="234">
        <v>9.1055555555555596</v>
      </c>
      <c r="R20" s="234">
        <v>0.97</v>
      </c>
      <c r="T20" s="234">
        <v>25</v>
      </c>
      <c r="U20" s="234">
        <v>2</v>
      </c>
      <c r="V20" s="234">
        <v>15</v>
      </c>
      <c r="W20" s="234">
        <v>1.5</v>
      </c>
      <c r="X20" s="234">
        <v>1</v>
      </c>
      <c r="Y20" s="234">
        <v>270</v>
      </c>
      <c r="AA20" s="234">
        <v>11</v>
      </c>
      <c r="AB20" s="234" t="s">
        <v>451</v>
      </c>
      <c r="AC20" s="234" t="s">
        <v>64</v>
      </c>
      <c r="AD20" s="234" t="s">
        <v>433</v>
      </c>
      <c r="AE20" s="234" t="s">
        <v>423</v>
      </c>
      <c r="AF20" s="234" t="s">
        <v>137</v>
      </c>
      <c r="AG20" s="234" t="s">
        <v>441</v>
      </c>
      <c r="AH20" s="234" t="s">
        <v>435</v>
      </c>
      <c r="AJ20" s="234" t="s">
        <v>442</v>
      </c>
      <c r="AK20" s="234">
        <v>0.97</v>
      </c>
      <c r="AL20" s="234" t="s">
        <v>437</v>
      </c>
      <c r="AM20" s="234">
        <v>4</v>
      </c>
    </row>
    <row r="21" spans="2:39" x14ac:dyDescent="0.3">
      <c r="F21" s="234" t="s">
        <v>172</v>
      </c>
      <c r="G21" s="234" t="s">
        <v>384</v>
      </c>
      <c r="I21" s="234">
        <v>0.5</v>
      </c>
      <c r="L21" s="234">
        <v>0.71428571428571397</v>
      </c>
      <c r="N21" s="234">
        <v>8.94</v>
      </c>
      <c r="O21" s="234">
        <v>0.20710999999999999</v>
      </c>
      <c r="P21" s="234">
        <v>8.69166666666667</v>
      </c>
      <c r="R21" s="234">
        <v>0.97</v>
      </c>
      <c r="T21" s="234">
        <v>25</v>
      </c>
      <c r="U21" s="234">
        <v>2</v>
      </c>
      <c r="V21" s="234">
        <v>10</v>
      </c>
      <c r="W21" s="234">
        <v>1.5</v>
      </c>
      <c r="X21" s="234">
        <v>1</v>
      </c>
      <c r="Y21" s="234">
        <v>270</v>
      </c>
      <c r="AA21" s="234">
        <v>11</v>
      </c>
      <c r="AB21" s="234" t="s">
        <v>451</v>
      </c>
      <c r="AC21" s="234" t="s">
        <v>64</v>
      </c>
      <c r="AD21" s="234" t="s">
        <v>433</v>
      </c>
      <c r="AE21" s="234" t="s">
        <v>423</v>
      </c>
      <c r="AF21" s="234" t="s">
        <v>137</v>
      </c>
      <c r="AG21" s="234" t="s">
        <v>441</v>
      </c>
      <c r="AH21" s="234" t="s">
        <v>435</v>
      </c>
      <c r="AJ21" s="234" t="s">
        <v>442</v>
      </c>
      <c r="AK21" s="234">
        <v>0.97</v>
      </c>
      <c r="AL21" s="234" t="s">
        <v>437</v>
      </c>
      <c r="AM21" s="234">
        <v>4</v>
      </c>
    </row>
    <row r="22" spans="2:39" x14ac:dyDescent="0.3">
      <c r="F22" s="234" t="s">
        <v>172</v>
      </c>
      <c r="G22" s="234" t="s">
        <v>385</v>
      </c>
      <c r="I22" s="234">
        <v>0.52</v>
      </c>
      <c r="L22" s="234">
        <v>0.64516129032258096</v>
      </c>
      <c r="N22" s="234">
        <v>8.1950000000000003</v>
      </c>
      <c r="O22" s="234">
        <v>0.19370000000000001</v>
      </c>
      <c r="P22" s="234">
        <v>8.2777777777777803</v>
      </c>
      <c r="R22" s="234">
        <v>0.97</v>
      </c>
      <c r="T22" s="234">
        <v>25</v>
      </c>
      <c r="U22" s="234">
        <v>2</v>
      </c>
      <c r="V22" s="234">
        <v>8</v>
      </c>
      <c r="W22" s="234">
        <v>1.5</v>
      </c>
      <c r="X22" s="234">
        <v>1</v>
      </c>
      <c r="Y22" s="234">
        <v>270</v>
      </c>
      <c r="AA22" s="234">
        <v>11</v>
      </c>
      <c r="AB22" s="234" t="s">
        <v>451</v>
      </c>
      <c r="AC22" s="234" t="s">
        <v>64</v>
      </c>
      <c r="AD22" s="234" t="s">
        <v>433</v>
      </c>
      <c r="AE22" s="234" t="s">
        <v>423</v>
      </c>
      <c r="AF22" s="234" t="s">
        <v>137</v>
      </c>
      <c r="AG22" s="234" t="s">
        <v>441</v>
      </c>
      <c r="AH22" s="234" t="s">
        <v>435</v>
      </c>
      <c r="AJ22" s="234" t="s">
        <v>442</v>
      </c>
      <c r="AK22" s="234">
        <v>0.97</v>
      </c>
      <c r="AL22" s="234" t="s">
        <v>437</v>
      </c>
      <c r="AM22" s="234">
        <v>4</v>
      </c>
    </row>
    <row r="23" spans="2:39" x14ac:dyDescent="0.3">
      <c r="B23" s="234" t="s">
        <v>452</v>
      </c>
      <c r="C23" s="234" t="s">
        <v>453</v>
      </c>
      <c r="D23" s="234" t="s">
        <v>351</v>
      </c>
      <c r="E23" s="234" t="s">
        <v>28</v>
      </c>
      <c r="F23" s="234" t="s">
        <v>172</v>
      </c>
      <c r="G23" s="234" t="s">
        <v>375</v>
      </c>
      <c r="H23" s="234">
        <v>2020</v>
      </c>
      <c r="I23" s="234">
        <v>0.55000000000000004</v>
      </c>
      <c r="L23" s="234">
        <v>0.58823529411764697</v>
      </c>
      <c r="M23" s="234">
        <v>0.15</v>
      </c>
      <c r="N23" s="234">
        <v>6.7050000000000001</v>
      </c>
      <c r="O23" s="234">
        <v>0.2235</v>
      </c>
      <c r="P23" s="234">
        <v>9.3125</v>
      </c>
      <c r="Q23" s="234">
        <v>3.1536000000000002E-2</v>
      </c>
      <c r="R23" s="234">
        <v>0.97</v>
      </c>
      <c r="S23" s="234">
        <v>1</v>
      </c>
      <c r="T23" s="234">
        <v>25</v>
      </c>
      <c r="U23" s="234">
        <v>2.5</v>
      </c>
      <c r="V23" s="234">
        <v>20</v>
      </c>
      <c r="W23" s="234">
        <v>1.5</v>
      </c>
      <c r="X23" s="234">
        <v>1</v>
      </c>
      <c r="Y23" s="234">
        <v>270</v>
      </c>
      <c r="AA23" s="234">
        <v>10</v>
      </c>
      <c r="AB23" s="234" t="s">
        <v>454</v>
      </c>
      <c r="AC23" s="234" t="s">
        <v>64</v>
      </c>
      <c r="AD23" s="234" t="s">
        <v>433</v>
      </c>
      <c r="AE23" s="234" t="s">
        <v>423</v>
      </c>
      <c r="AF23" s="234" t="s">
        <v>137</v>
      </c>
      <c r="AG23" s="234" t="s">
        <v>441</v>
      </c>
      <c r="AH23" s="234" t="s">
        <v>435</v>
      </c>
      <c r="AJ23" s="234" t="s">
        <v>436</v>
      </c>
      <c r="AK23" s="234">
        <v>0.97</v>
      </c>
      <c r="AL23" s="234" t="s">
        <v>437</v>
      </c>
      <c r="AM23" s="234">
        <v>1</v>
      </c>
    </row>
    <row r="24" spans="2:39" x14ac:dyDescent="0.3">
      <c r="E24" s="234" t="s">
        <v>32</v>
      </c>
      <c r="F24" s="234" t="s">
        <v>172</v>
      </c>
      <c r="G24" s="234" t="s">
        <v>383</v>
      </c>
      <c r="I24" s="234">
        <v>0.56000000000000005</v>
      </c>
      <c r="L24" s="234">
        <v>0.55555555555555602</v>
      </c>
      <c r="M24" s="234">
        <v>0.15</v>
      </c>
      <c r="N24" s="234">
        <v>6.556</v>
      </c>
      <c r="O24" s="234">
        <v>0.21828500000000001</v>
      </c>
      <c r="P24" s="234">
        <v>9.1055555555555596</v>
      </c>
      <c r="R24" s="234">
        <v>0.97</v>
      </c>
      <c r="T24" s="234">
        <v>25</v>
      </c>
      <c r="U24" s="234">
        <v>2.5</v>
      </c>
      <c r="V24" s="234">
        <v>15</v>
      </c>
      <c r="W24" s="234">
        <v>1.5</v>
      </c>
      <c r="X24" s="234">
        <v>1</v>
      </c>
      <c r="Y24" s="234">
        <v>270</v>
      </c>
      <c r="AA24" s="234">
        <v>10</v>
      </c>
      <c r="AB24" s="234" t="s">
        <v>454</v>
      </c>
      <c r="AC24" s="234" t="s">
        <v>64</v>
      </c>
      <c r="AD24" s="234" t="s">
        <v>433</v>
      </c>
      <c r="AE24" s="234" t="s">
        <v>423</v>
      </c>
      <c r="AF24" s="234" t="s">
        <v>137</v>
      </c>
      <c r="AG24" s="234" t="s">
        <v>441</v>
      </c>
      <c r="AH24" s="234" t="s">
        <v>435</v>
      </c>
      <c r="AJ24" s="234" t="s">
        <v>436</v>
      </c>
      <c r="AK24" s="234">
        <v>0.97</v>
      </c>
      <c r="AL24" s="234" t="s">
        <v>437</v>
      </c>
      <c r="AM24" s="234">
        <v>1</v>
      </c>
    </row>
    <row r="25" spans="2:39" x14ac:dyDescent="0.3">
      <c r="F25" s="234" t="s">
        <v>172</v>
      </c>
      <c r="G25" s="234" t="s">
        <v>384</v>
      </c>
      <c r="I25" s="234">
        <v>0.57999999999999996</v>
      </c>
      <c r="L25" s="234">
        <v>0.5</v>
      </c>
      <c r="M25" s="234">
        <v>0.15</v>
      </c>
      <c r="N25" s="234">
        <v>6.1835000000000004</v>
      </c>
      <c r="O25" s="234">
        <v>0.20710999999999999</v>
      </c>
      <c r="P25" s="234">
        <v>8.69166666666667</v>
      </c>
      <c r="R25" s="234">
        <v>0.97</v>
      </c>
      <c r="T25" s="234">
        <v>25</v>
      </c>
      <c r="U25" s="234">
        <v>2.5</v>
      </c>
      <c r="V25" s="234">
        <v>10</v>
      </c>
      <c r="W25" s="234">
        <v>1.5</v>
      </c>
      <c r="X25" s="234">
        <v>1</v>
      </c>
      <c r="Y25" s="234">
        <v>270</v>
      </c>
      <c r="AA25" s="234">
        <v>10</v>
      </c>
      <c r="AB25" s="234" t="s">
        <v>454</v>
      </c>
      <c r="AC25" s="234" t="s">
        <v>64</v>
      </c>
      <c r="AD25" s="234" t="s">
        <v>433</v>
      </c>
      <c r="AE25" s="234" t="s">
        <v>423</v>
      </c>
      <c r="AF25" s="234" t="s">
        <v>137</v>
      </c>
      <c r="AG25" s="234" t="s">
        <v>441</v>
      </c>
      <c r="AH25" s="234" t="s">
        <v>435</v>
      </c>
      <c r="AJ25" s="234" t="s">
        <v>436</v>
      </c>
      <c r="AK25" s="234">
        <v>0.97</v>
      </c>
      <c r="AL25" s="234" t="s">
        <v>437</v>
      </c>
      <c r="AM25" s="234">
        <v>1</v>
      </c>
    </row>
    <row r="26" spans="2:39" x14ac:dyDescent="0.3">
      <c r="F26" s="234" t="s">
        <v>172</v>
      </c>
      <c r="G26" s="234" t="s">
        <v>385</v>
      </c>
      <c r="I26" s="234">
        <v>0.6</v>
      </c>
      <c r="L26" s="234">
        <v>0.45454545454545497</v>
      </c>
      <c r="M26" s="234">
        <v>0.15</v>
      </c>
      <c r="N26" s="234">
        <v>5.96</v>
      </c>
      <c r="O26" s="234">
        <v>0.19370000000000001</v>
      </c>
      <c r="P26" s="234">
        <v>8.2777777777777803</v>
      </c>
      <c r="R26" s="234">
        <v>0.97</v>
      </c>
      <c r="T26" s="234">
        <v>25</v>
      </c>
      <c r="U26" s="234">
        <v>2.5</v>
      </c>
      <c r="V26" s="234">
        <v>8</v>
      </c>
      <c r="W26" s="234">
        <v>1.5</v>
      </c>
      <c r="X26" s="234">
        <v>1</v>
      </c>
      <c r="Y26" s="234">
        <v>270</v>
      </c>
      <c r="AA26" s="234">
        <v>10</v>
      </c>
      <c r="AB26" s="234" t="s">
        <v>454</v>
      </c>
      <c r="AC26" s="234" t="s">
        <v>64</v>
      </c>
      <c r="AD26" s="234" t="s">
        <v>433</v>
      </c>
      <c r="AE26" s="234" t="s">
        <v>423</v>
      </c>
      <c r="AF26" s="234" t="s">
        <v>137</v>
      </c>
      <c r="AG26" s="234" t="s">
        <v>441</v>
      </c>
      <c r="AH26" s="234" t="s">
        <v>435</v>
      </c>
      <c r="AJ26" s="234" t="s">
        <v>436</v>
      </c>
      <c r="AK26" s="234">
        <v>0.97</v>
      </c>
      <c r="AL26" s="234" t="s">
        <v>437</v>
      </c>
      <c r="AM26" s="234">
        <v>1</v>
      </c>
    </row>
    <row r="27" spans="2:39" x14ac:dyDescent="0.3">
      <c r="B27" s="234" t="s">
        <v>455</v>
      </c>
      <c r="C27" s="234" t="s">
        <v>456</v>
      </c>
      <c r="D27" s="234" t="s">
        <v>36</v>
      </c>
      <c r="E27" s="234" t="s">
        <v>28</v>
      </c>
      <c r="F27" s="234" t="s">
        <v>172</v>
      </c>
      <c r="G27" s="234" t="s">
        <v>375</v>
      </c>
      <c r="H27" s="234">
        <v>2020</v>
      </c>
      <c r="I27" s="234">
        <v>0.4</v>
      </c>
      <c r="L27" s="234">
        <v>1.2195121951219501</v>
      </c>
      <c r="N27" s="234">
        <v>7.45</v>
      </c>
      <c r="O27" s="234">
        <v>7.4499999999999997E-2</v>
      </c>
      <c r="P27" s="234">
        <v>16.5555555555556</v>
      </c>
      <c r="Q27" s="234">
        <v>3.1536000000000002E-2</v>
      </c>
      <c r="R27" s="234">
        <v>0.97</v>
      </c>
      <c r="S27" s="234">
        <v>1</v>
      </c>
      <c r="T27" s="234">
        <v>25</v>
      </c>
      <c r="U27" s="234">
        <v>1</v>
      </c>
      <c r="V27" s="234">
        <v>100</v>
      </c>
      <c r="W27" s="234">
        <v>300</v>
      </c>
      <c r="X27" s="234">
        <v>1</v>
      </c>
      <c r="AA27" s="234">
        <v>13</v>
      </c>
      <c r="AB27" s="234" t="s">
        <v>457</v>
      </c>
      <c r="AC27" s="234" t="s">
        <v>64</v>
      </c>
      <c r="AD27" s="234" t="s">
        <v>433</v>
      </c>
      <c r="AE27" s="234" t="s">
        <v>152</v>
      </c>
      <c r="AF27" s="234" t="s">
        <v>138</v>
      </c>
      <c r="AG27" s="234" t="s">
        <v>441</v>
      </c>
      <c r="AH27" s="234" t="s">
        <v>435</v>
      </c>
      <c r="AJ27" s="234" t="s">
        <v>442</v>
      </c>
      <c r="AK27" s="234">
        <v>0.97</v>
      </c>
      <c r="AL27" s="234" t="s">
        <v>437</v>
      </c>
      <c r="AM27" s="234">
        <v>1</v>
      </c>
    </row>
    <row r="28" spans="2:39" x14ac:dyDescent="0.3">
      <c r="E28" s="234" t="s">
        <v>32</v>
      </c>
      <c r="F28" s="234" t="s">
        <v>172</v>
      </c>
      <c r="G28" s="234" t="s">
        <v>383</v>
      </c>
      <c r="I28" s="234">
        <v>0.41</v>
      </c>
      <c r="L28" s="234">
        <v>1.16279069767442</v>
      </c>
      <c r="N28" s="234">
        <v>7.0774999999999997</v>
      </c>
      <c r="O28" s="234">
        <v>7.2637499999999994E-2</v>
      </c>
      <c r="P28" s="234">
        <v>15.5208333333333</v>
      </c>
      <c r="R28" s="234">
        <v>0.97</v>
      </c>
      <c r="T28" s="234">
        <v>25</v>
      </c>
      <c r="U28" s="234">
        <v>1</v>
      </c>
      <c r="V28" s="234">
        <v>100</v>
      </c>
      <c r="W28" s="234">
        <v>300</v>
      </c>
      <c r="X28" s="234">
        <v>1</v>
      </c>
      <c r="AA28" s="234">
        <v>13</v>
      </c>
      <c r="AB28" s="234" t="s">
        <v>457</v>
      </c>
      <c r="AC28" s="234" t="s">
        <v>64</v>
      </c>
      <c r="AD28" s="234" t="s">
        <v>433</v>
      </c>
      <c r="AE28" s="234" t="s">
        <v>152</v>
      </c>
      <c r="AF28" s="234" t="s">
        <v>138</v>
      </c>
      <c r="AG28" s="234" t="s">
        <v>441</v>
      </c>
      <c r="AH28" s="234" t="s">
        <v>435</v>
      </c>
      <c r="AJ28" s="234" t="s">
        <v>442</v>
      </c>
      <c r="AK28" s="234">
        <v>0.97</v>
      </c>
      <c r="AL28" s="234" t="s">
        <v>437</v>
      </c>
      <c r="AM28" s="234">
        <v>1</v>
      </c>
    </row>
    <row r="29" spans="2:39" x14ac:dyDescent="0.3">
      <c r="F29" s="234" t="s">
        <v>172</v>
      </c>
      <c r="G29" s="234" t="s">
        <v>384</v>
      </c>
      <c r="I29" s="234">
        <v>0.43</v>
      </c>
      <c r="L29" s="234">
        <v>1.0869565217391299</v>
      </c>
      <c r="N29" s="234">
        <v>6.7050000000000001</v>
      </c>
      <c r="O29" s="234">
        <v>6.9284999999999999E-2</v>
      </c>
      <c r="P29" s="234">
        <v>14.4861111111111</v>
      </c>
      <c r="R29" s="234">
        <v>0.97</v>
      </c>
      <c r="T29" s="234">
        <v>25</v>
      </c>
      <c r="U29" s="234">
        <v>1</v>
      </c>
      <c r="V29" s="234">
        <v>100</v>
      </c>
      <c r="W29" s="234">
        <v>300</v>
      </c>
      <c r="X29" s="234">
        <v>1</v>
      </c>
      <c r="AA29" s="234">
        <v>13</v>
      </c>
      <c r="AB29" s="234" t="s">
        <v>457</v>
      </c>
      <c r="AC29" s="234" t="s">
        <v>64</v>
      </c>
      <c r="AD29" s="234" t="s">
        <v>433</v>
      </c>
      <c r="AE29" s="234" t="s">
        <v>152</v>
      </c>
      <c r="AF29" s="234" t="s">
        <v>138</v>
      </c>
      <c r="AG29" s="234" t="s">
        <v>441</v>
      </c>
      <c r="AH29" s="234" t="s">
        <v>435</v>
      </c>
      <c r="AJ29" s="234" t="s">
        <v>442</v>
      </c>
      <c r="AK29" s="234">
        <v>0.97</v>
      </c>
      <c r="AL29" s="234" t="s">
        <v>437</v>
      </c>
      <c r="AM29" s="234">
        <v>1</v>
      </c>
    </row>
    <row r="30" spans="2:39" x14ac:dyDescent="0.3">
      <c r="F30" s="234" t="s">
        <v>172</v>
      </c>
      <c r="G30" s="234" t="s">
        <v>385</v>
      </c>
      <c r="I30" s="234">
        <v>0.45</v>
      </c>
      <c r="L30" s="234">
        <v>1</v>
      </c>
      <c r="N30" s="234">
        <v>6.3324999999999996</v>
      </c>
      <c r="O30" s="234">
        <v>6.3325000000000006E-2</v>
      </c>
      <c r="P30" s="234">
        <v>12.4166666666667</v>
      </c>
      <c r="R30" s="234">
        <v>0.97</v>
      </c>
      <c r="T30" s="234">
        <v>25</v>
      </c>
      <c r="U30" s="234">
        <v>1</v>
      </c>
      <c r="V30" s="234">
        <v>100</v>
      </c>
      <c r="W30" s="234">
        <v>300</v>
      </c>
      <c r="X30" s="234">
        <v>1</v>
      </c>
      <c r="AA30" s="234">
        <v>13</v>
      </c>
      <c r="AB30" s="234" t="s">
        <v>457</v>
      </c>
      <c r="AC30" s="234" t="s">
        <v>64</v>
      </c>
      <c r="AD30" s="234" t="s">
        <v>433</v>
      </c>
      <c r="AE30" s="234" t="s">
        <v>152</v>
      </c>
      <c r="AF30" s="234" t="s">
        <v>138</v>
      </c>
      <c r="AG30" s="234" t="s">
        <v>441</v>
      </c>
      <c r="AH30" s="234" t="s">
        <v>435</v>
      </c>
      <c r="AJ30" s="234" t="s">
        <v>442</v>
      </c>
      <c r="AK30" s="234">
        <v>0.97</v>
      </c>
      <c r="AL30" s="234" t="s">
        <v>437</v>
      </c>
      <c r="AM30" s="234">
        <v>1</v>
      </c>
    </row>
    <row r="31" spans="2:39" x14ac:dyDescent="0.3">
      <c r="B31" s="234" t="s">
        <v>458</v>
      </c>
      <c r="C31" s="234" t="s">
        <v>459</v>
      </c>
      <c r="D31" s="234" t="s">
        <v>351</v>
      </c>
      <c r="E31" s="234" t="s">
        <v>28</v>
      </c>
      <c r="F31" s="234" t="s">
        <v>172</v>
      </c>
      <c r="G31" s="234" t="s">
        <v>375</v>
      </c>
      <c r="H31" s="234">
        <v>2020</v>
      </c>
      <c r="I31" s="234">
        <v>0.44</v>
      </c>
      <c r="L31" s="234">
        <v>1.1111111111111101</v>
      </c>
      <c r="N31" s="234">
        <v>7.45</v>
      </c>
      <c r="O31" s="234">
        <v>7.4499999999999997E-2</v>
      </c>
      <c r="P31" s="234">
        <v>11.175000000000001</v>
      </c>
      <c r="Q31" s="234">
        <v>3.1536000000000002E-2</v>
      </c>
      <c r="R31" s="234">
        <v>0.97</v>
      </c>
      <c r="S31" s="234">
        <v>1</v>
      </c>
      <c r="T31" s="234">
        <v>25</v>
      </c>
      <c r="U31" s="234">
        <v>1</v>
      </c>
      <c r="V31" s="234">
        <v>75</v>
      </c>
      <c r="W31" s="234">
        <v>315</v>
      </c>
      <c r="X31" s="234">
        <v>0.6</v>
      </c>
      <c r="Y31" s="234">
        <v>270</v>
      </c>
      <c r="AA31" s="234">
        <v>12</v>
      </c>
      <c r="AB31" s="234" t="s">
        <v>460</v>
      </c>
      <c r="AC31" s="234" t="s">
        <v>64</v>
      </c>
      <c r="AD31" s="234" t="s">
        <v>433</v>
      </c>
      <c r="AE31" s="234" t="s">
        <v>423</v>
      </c>
      <c r="AF31" s="234" t="s">
        <v>137</v>
      </c>
      <c r="AG31" s="234" t="s">
        <v>441</v>
      </c>
      <c r="AH31" s="234" t="s">
        <v>435</v>
      </c>
      <c r="AJ31" s="234" t="s">
        <v>442</v>
      </c>
      <c r="AK31" s="234">
        <v>0.97</v>
      </c>
      <c r="AL31" s="234" t="s">
        <v>437</v>
      </c>
      <c r="AM31" s="234">
        <v>5</v>
      </c>
    </row>
    <row r="32" spans="2:39" x14ac:dyDescent="0.3">
      <c r="E32" s="234" t="s">
        <v>32</v>
      </c>
      <c r="F32" s="234" t="s">
        <v>172</v>
      </c>
      <c r="G32" s="234" t="s">
        <v>383</v>
      </c>
      <c r="I32" s="234">
        <v>0.45</v>
      </c>
      <c r="L32" s="234">
        <v>1.0526315789473699</v>
      </c>
      <c r="N32" s="234">
        <v>7.0774999999999997</v>
      </c>
      <c r="O32" s="234">
        <v>7.2637499999999994E-2</v>
      </c>
      <c r="P32" s="234">
        <v>11.175000000000001</v>
      </c>
      <c r="R32" s="234">
        <v>0.97</v>
      </c>
      <c r="T32" s="234">
        <v>25</v>
      </c>
      <c r="U32" s="234">
        <v>1</v>
      </c>
      <c r="V32" s="234">
        <v>60</v>
      </c>
      <c r="W32" s="234">
        <v>315</v>
      </c>
      <c r="X32" s="234">
        <v>0.6</v>
      </c>
      <c r="Y32" s="234">
        <v>270</v>
      </c>
      <c r="AA32" s="234">
        <v>12</v>
      </c>
      <c r="AB32" s="234" t="s">
        <v>460</v>
      </c>
      <c r="AC32" s="234" t="s">
        <v>64</v>
      </c>
      <c r="AD32" s="234" t="s">
        <v>433</v>
      </c>
      <c r="AE32" s="234" t="s">
        <v>423</v>
      </c>
      <c r="AF32" s="234" t="s">
        <v>137</v>
      </c>
      <c r="AG32" s="234" t="s">
        <v>441</v>
      </c>
      <c r="AH32" s="234" t="s">
        <v>435</v>
      </c>
      <c r="AJ32" s="234" t="s">
        <v>442</v>
      </c>
      <c r="AK32" s="234">
        <v>0.97</v>
      </c>
      <c r="AL32" s="234" t="s">
        <v>437</v>
      </c>
      <c r="AM32" s="234">
        <v>5</v>
      </c>
    </row>
    <row r="33" spans="2:39" x14ac:dyDescent="0.3">
      <c r="F33" s="234" t="s">
        <v>172</v>
      </c>
      <c r="G33" s="234" t="s">
        <v>384</v>
      </c>
      <c r="I33" s="234">
        <v>0.47</v>
      </c>
      <c r="L33" s="234">
        <v>1.0101010101010099</v>
      </c>
      <c r="N33" s="234">
        <v>6.7050000000000001</v>
      </c>
      <c r="O33" s="234">
        <v>6.9284999999999999E-2</v>
      </c>
      <c r="P33" s="234">
        <v>10.554166666666699</v>
      </c>
      <c r="R33" s="234">
        <v>0.97</v>
      </c>
      <c r="T33" s="234">
        <v>25</v>
      </c>
      <c r="U33" s="234">
        <v>1</v>
      </c>
      <c r="V33" s="234">
        <v>60</v>
      </c>
      <c r="W33" s="234">
        <v>280</v>
      </c>
      <c r="X33" s="234">
        <v>0.6</v>
      </c>
      <c r="Y33" s="234">
        <v>270</v>
      </c>
      <c r="AA33" s="234">
        <v>12</v>
      </c>
      <c r="AB33" s="234" t="s">
        <v>460</v>
      </c>
      <c r="AC33" s="234" t="s">
        <v>64</v>
      </c>
      <c r="AD33" s="234" t="s">
        <v>433</v>
      </c>
      <c r="AE33" s="234" t="s">
        <v>423</v>
      </c>
      <c r="AF33" s="234" t="s">
        <v>137</v>
      </c>
      <c r="AG33" s="234" t="s">
        <v>441</v>
      </c>
      <c r="AH33" s="234" t="s">
        <v>435</v>
      </c>
      <c r="AJ33" s="234" t="s">
        <v>442</v>
      </c>
      <c r="AK33" s="234">
        <v>0.97</v>
      </c>
      <c r="AL33" s="234" t="s">
        <v>437</v>
      </c>
      <c r="AM33" s="234">
        <v>5</v>
      </c>
    </row>
    <row r="34" spans="2:39" x14ac:dyDescent="0.3">
      <c r="F34" s="234" t="s">
        <v>172</v>
      </c>
      <c r="G34" s="234" t="s">
        <v>385</v>
      </c>
      <c r="I34" s="234">
        <v>0.48</v>
      </c>
      <c r="L34" s="234">
        <v>0.96153846153846101</v>
      </c>
      <c r="N34" s="234">
        <v>6.3324999999999996</v>
      </c>
      <c r="O34" s="234">
        <v>6.3325000000000006E-2</v>
      </c>
      <c r="P34" s="234">
        <v>10.140277777777801</v>
      </c>
      <c r="R34" s="234">
        <v>0.97</v>
      </c>
      <c r="T34" s="234">
        <v>25</v>
      </c>
      <c r="U34" s="234">
        <v>1</v>
      </c>
      <c r="V34" s="234">
        <v>60</v>
      </c>
      <c r="W34" s="234">
        <v>250</v>
      </c>
      <c r="X34" s="234">
        <v>0.6</v>
      </c>
      <c r="Y34" s="234">
        <v>270</v>
      </c>
      <c r="AA34" s="234">
        <v>12</v>
      </c>
      <c r="AB34" s="234" t="s">
        <v>460</v>
      </c>
      <c r="AC34" s="234" t="s">
        <v>64</v>
      </c>
      <c r="AD34" s="234" t="s">
        <v>433</v>
      </c>
      <c r="AE34" s="234" t="s">
        <v>423</v>
      </c>
      <c r="AF34" s="234" t="s">
        <v>137</v>
      </c>
      <c r="AG34" s="234" t="s">
        <v>441</v>
      </c>
      <c r="AH34" s="234" t="s">
        <v>435</v>
      </c>
      <c r="AJ34" s="234" t="s">
        <v>442</v>
      </c>
      <c r="AK34" s="234">
        <v>0.97</v>
      </c>
      <c r="AL34" s="234" t="s">
        <v>437</v>
      </c>
      <c r="AM34" s="234">
        <v>5</v>
      </c>
    </row>
    <row r="35" spans="2:39" x14ac:dyDescent="0.3">
      <c r="B35" s="234" t="s">
        <v>461</v>
      </c>
      <c r="C35" s="234" t="s">
        <v>462</v>
      </c>
      <c r="D35" s="234" t="s">
        <v>35</v>
      </c>
      <c r="E35" s="234" t="s">
        <v>28</v>
      </c>
      <c r="F35" s="234" t="s">
        <v>172</v>
      </c>
      <c r="G35" s="234" t="s">
        <v>375</v>
      </c>
      <c r="H35" s="234">
        <v>2020</v>
      </c>
      <c r="I35" s="234">
        <v>0.221</v>
      </c>
      <c r="L35" s="234">
        <v>3.3333333333333299</v>
      </c>
      <c r="M35" s="234">
        <v>1</v>
      </c>
      <c r="N35" s="234">
        <v>59.6</v>
      </c>
      <c r="O35" s="234">
        <v>1.7261649999999999</v>
      </c>
      <c r="P35" s="234">
        <v>51.322222222222202</v>
      </c>
      <c r="Q35" s="234">
        <v>3.1536000000000002E-2</v>
      </c>
      <c r="R35" s="234">
        <v>0.99</v>
      </c>
      <c r="S35" s="234">
        <v>1</v>
      </c>
      <c r="T35" s="234">
        <v>25</v>
      </c>
      <c r="U35" s="234">
        <v>3</v>
      </c>
      <c r="V35" s="234">
        <v>90</v>
      </c>
      <c r="W35" s="234">
        <v>0.3</v>
      </c>
      <c r="X35" s="234">
        <v>1.2</v>
      </c>
      <c r="Y35" s="234">
        <v>0.54000000000002002</v>
      </c>
      <c r="Z35" s="234">
        <v>0.3</v>
      </c>
      <c r="AA35" s="234">
        <v>15</v>
      </c>
      <c r="AB35" s="234" t="s">
        <v>463</v>
      </c>
      <c r="AC35" s="234" t="s">
        <v>64</v>
      </c>
      <c r="AD35" s="234" t="s">
        <v>433</v>
      </c>
      <c r="AE35" s="234" t="s">
        <v>131</v>
      </c>
      <c r="AF35" s="234" t="s">
        <v>141</v>
      </c>
      <c r="AG35" s="234" t="s">
        <v>434</v>
      </c>
      <c r="AH35" s="234" t="s">
        <v>435</v>
      </c>
      <c r="AJ35" s="234" t="s">
        <v>436</v>
      </c>
      <c r="AK35" s="234">
        <v>0.99</v>
      </c>
      <c r="AL35" s="234" t="s">
        <v>437</v>
      </c>
      <c r="AM35" s="234">
        <v>1</v>
      </c>
    </row>
    <row r="36" spans="2:39" x14ac:dyDescent="0.3">
      <c r="E36" s="234" t="s">
        <v>32</v>
      </c>
      <c r="F36" s="234" t="s">
        <v>172</v>
      </c>
      <c r="G36" s="234" t="s">
        <v>383</v>
      </c>
      <c r="I36" s="234">
        <v>0.221</v>
      </c>
      <c r="L36" s="234">
        <v>3.3333333333333299</v>
      </c>
      <c r="M36" s="234">
        <v>1</v>
      </c>
      <c r="N36" s="234">
        <v>58.11</v>
      </c>
      <c r="O36" s="234">
        <v>1.4028350000000001</v>
      </c>
      <c r="P36" s="234">
        <v>51.322222222222202</v>
      </c>
      <c r="R36" s="234">
        <v>0.99</v>
      </c>
      <c r="T36" s="234">
        <v>25</v>
      </c>
      <c r="U36" s="234">
        <v>3</v>
      </c>
      <c r="V36" s="234">
        <v>56</v>
      </c>
      <c r="W36" s="234">
        <v>0.1</v>
      </c>
      <c r="X36" s="234">
        <v>1</v>
      </c>
      <c r="Y36" s="234">
        <v>0.54000000000002002</v>
      </c>
      <c r="Z36" s="234">
        <v>0.3</v>
      </c>
      <c r="AA36" s="234">
        <v>15</v>
      </c>
      <c r="AB36" s="234" t="s">
        <v>463</v>
      </c>
      <c r="AC36" s="234" t="s">
        <v>64</v>
      </c>
      <c r="AD36" s="234" t="s">
        <v>433</v>
      </c>
      <c r="AE36" s="234" t="s">
        <v>131</v>
      </c>
      <c r="AF36" s="234" t="s">
        <v>141</v>
      </c>
      <c r="AG36" s="234" t="s">
        <v>434</v>
      </c>
      <c r="AH36" s="234" t="s">
        <v>435</v>
      </c>
      <c r="AJ36" s="234" t="s">
        <v>436</v>
      </c>
      <c r="AK36" s="234">
        <v>0.99</v>
      </c>
      <c r="AL36" s="234" t="s">
        <v>437</v>
      </c>
      <c r="AM36" s="234">
        <v>1</v>
      </c>
    </row>
    <row r="37" spans="2:39" x14ac:dyDescent="0.3">
      <c r="F37" s="234" t="s">
        <v>172</v>
      </c>
      <c r="G37" s="234" t="s">
        <v>384</v>
      </c>
      <c r="I37" s="234">
        <v>0.22700000000000001</v>
      </c>
      <c r="L37" s="234">
        <v>3.2258064516128999</v>
      </c>
      <c r="M37" s="234">
        <v>1</v>
      </c>
      <c r="N37" s="234">
        <v>55.13</v>
      </c>
      <c r="O37" s="234">
        <v>1.3082199999999999</v>
      </c>
      <c r="P37" s="234">
        <v>50.080555555555598</v>
      </c>
      <c r="R37" s="234">
        <v>0.99</v>
      </c>
      <c r="T37" s="234">
        <v>25</v>
      </c>
      <c r="U37" s="234">
        <v>3</v>
      </c>
      <c r="V37" s="234">
        <v>17</v>
      </c>
      <c r="W37" s="234">
        <v>0.1</v>
      </c>
      <c r="X37" s="234">
        <v>1</v>
      </c>
      <c r="Y37" s="234">
        <v>0.54000000000002002</v>
      </c>
      <c r="Z37" s="234">
        <v>0.3</v>
      </c>
      <c r="AA37" s="234">
        <v>15</v>
      </c>
      <c r="AB37" s="234" t="s">
        <v>463</v>
      </c>
      <c r="AC37" s="234" t="s">
        <v>64</v>
      </c>
      <c r="AD37" s="234" t="s">
        <v>433</v>
      </c>
      <c r="AE37" s="234" t="s">
        <v>131</v>
      </c>
      <c r="AF37" s="234" t="s">
        <v>141</v>
      </c>
      <c r="AG37" s="234" t="s">
        <v>434</v>
      </c>
      <c r="AH37" s="234" t="s">
        <v>435</v>
      </c>
      <c r="AJ37" s="234" t="s">
        <v>436</v>
      </c>
      <c r="AK37" s="234">
        <v>0.99</v>
      </c>
      <c r="AL37" s="234" t="s">
        <v>437</v>
      </c>
      <c r="AM37" s="234">
        <v>1</v>
      </c>
    </row>
    <row r="38" spans="2:39" x14ac:dyDescent="0.3">
      <c r="F38" s="234" t="s">
        <v>172</v>
      </c>
      <c r="G38" s="234" t="s">
        <v>385</v>
      </c>
      <c r="I38" s="234">
        <v>0.23499999999999999</v>
      </c>
      <c r="L38" s="234">
        <v>3.125</v>
      </c>
      <c r="M38" s="234">
        <v>1</v>
      </c>
      <c r="N38" s="234">
        <v>48.424999999999997</v>
      </c>
      <c r="O38" s="234">
        <v>1.11452</v>
      </c>
      <c r="P38" s="234">
        <v>48.218055555555601</v>
      </c>
      <c r="R38" s="234">
        <v>0.99</v>
      </c>
      <c r="T38" s="234">
        <v>25</v>
      </c>
      <c r="U38" s="234">
        <v>3</v>
      </c>
      <c r="V38" s="234">
        <v>11</v>
      </c>
      <c r="W38" s="234">
        <v>0.1</v>
      </c>
      <c r="X38" s="234">
        <v>1</v>
      </c>
      <c r="Y38" s="234">
        <v>0.54000000000002002</v>
      </c>
      <c r="Z38" s="234">
        <v>0.3</v>
      </c>
      <c r="AA38" s="234">
        <v>15</v>
      </c>
      <c r="AB38" s="234" t="s">
        <v>463</v>
      </c>
      <c r="AC38" s="234" t="s">
        <v>64</v>
      </c>
      <c r="AD38" s="234" t="s">
        <v>433</v>
      </c>
      <c r="AE38" s="234" t="s">
        <v>131</v>
      </c>
      <c r="AF38" s="234" t="s">
        <v>141</v>
      </c>
      <c r="AG38" s="234" t="s">
        <v>434</v>
      </c>
      <c r="AH38" s="234" t="s">
        <v>435</v>
      </c>
      <c r="AJ38" s="234" t="s">
        <v>436</v>
      </c>
      <c r="AK38" s="234">
        <v>0.99</v>
      </c>
      <c r="AL38" s="234" t="s">
        <v>437</v>
      </c>
      <c r="AM38" s="234">
        <v>1</v>
      </c>
    </row>
    <row r="39" spans="2:39" x14ac:dyDescent="0.3">
      <c r="B39" s="234" t="s">
        <v>464</v>
      </c>
      <c r="C39" s="234" t="s">
        <v>465</v>
      </c>
      <c r="D39" s="234" t="s">
        <v>35</v>
      </c>
      <c r="E39" s="234" t="s">
        <v>28</v>
      </c>
      <c r="F39" s="234" t="s">
        <v>172</v>
      </c>
      <c r="G39" s="234" t="s">
        <v>375</v>
      </c>
      <c r="H39" s="234">
        <v>2020</v>
      </c>
      <c r="I39" s="234">
        <v>0.219</v>
      </c>
      <c r="L39" s="234">
        <v>3.3333333333333299</v>
      </c>
      <c r="M39" s="234">
        <v>1</v>
      </c>
      <c r="N39" s="234">
        <v>69.284999999999997</v>
      </c>
      <c r="O39" s="234">
        <v>2.2402150000000001</v>
      </c>
      <c r="P39" s="234">
        <v>51.7361111111111</v>
      </c>
      <c r="Q39" s="234">
        <v>3.1536000000000002E-2</v>
      </c>
      <c r="R39" s="234">
        <v>0.99</v>
      </c>
      <c r="S39" s="234">
        <v>1</v>
      </c>
      <c r="T39" s="234">
        <v>25</v>
      </c>
      <c r="U39" s="234">
        <v>2.5</v>
      </c>
      <c r="V39" s="234">
        <v>90</v>
      </c>
      <c r="W39" s="234">
        <v>0.3</v>
      </c>
      <c r="X39" s="234">
        <v>1.2</v>
      </c>
      <c r="Y39" s="234">
        <v>0.54000000000002002</v>
      </c>
      <c r="Z39" s="234">
        <v>0.3</v>
      </c>
      <c r="AA39" s="234">
        <v>16</v>
      </c>
      <c r="AB39" s="234" t="s">
        <v>466</v>
      </c>
      <c r="AC39" s="234" t="s">
        <v>64</v>
      </c>
      <c r="AD39" s="234" t="s">
        <v>433</v>
      </c>
      <c r="AE39" s="234" t="s">
        <v>131</v>
      </c>
      <c r="AF39" s="234" t="s">
        <v>141</v>
      </c>
      <c r="AG39" s="234" t="s">
        <v>441</v>
      </c>
      <c r="AH39" s="234" t="s">
        <v>435</v>
      </c>
      <c r="AJ39" s="234" t="s">
        <v>436</v>
      </c>
      <c r="AK39" s="234">
        <v>0.99</v>
      </c>
      <c r="AL39" s="234" t="s">
        <v>437</v>
      </c>
      <c r="AM39" s="234">
        <v>2</v>
      </c>
    </row>
    <row r="40" spans="2:39" x14ac:dyDescent="0.3">
      <c r="E40" s="234" t="s">
        <v>32</v>
      </c>
      <c r="F40" s="234" t="s">
        <v>172</v>
      </c>
      <c r="G40" s="234" t="s">
        <v>383</v>
      </c>
      <c r="I40" s="234">
        <v>0.219</v>
      </c>
      <c r="L40" s="234">
        <v>3.3333333333333299</v>
      </c>
      <c r="M40" s="234">
        <v>1</v>
      </c>
      <c r="N40" s="234">
        <v>67.795000000000002</v>
      </c>
      <c r="O40" s="234">
        <v>1.9727600000000001</v>
      </c>
      <c r="P40" s="234">
        <v>51.7361111111111</v>
      </c>
      <c r="R40" s="234">
        <v>0.99</v>
      </c>
      <c r="T40" s="234">
        <v>25</v>
      </c>
      <c r="U40" s="234">
        <v>2.5</v>
      </c>
      <c r="V40" s="234">
        <v>56</v>
      </c>
      <c r="W40" s="234">
        <v>0.1</v>
      </c>
      <c r="X40" s="234">
        <v>1</v>
      </c>
      <c r="Y40" s="234">
        <v>0.54000000000002002</v>
      </c>
      <c r="Z40" s="234">
        <v>0.3</v>
      </c>
      <c r="AA40" s="234">
        <v>16</v>
      </c>
      <c r="AB40" s="234" t="s">
        <v>466</v>
      </c>
      <c r="AC40" s="234" t="s">
        <v>64</v>
      </c>
      <c r="AD40" s="234" t="s">
        <v>433</v>
      </c>
      <c r="AE40" s="234" t="s">
        <v>131</v>
      </c>
      <c r="AF40" s="234" t="s">
        <v>141</v>
      </c>
      <c r="AG40" s="234" t="s">
        <v>441</v>
      </c>
      <c r="AH40" s="234" t="s">
        <v>435</v>
      </c>
      <c r="AJ40" s="234" t="s">
        <v>436</v>
      </c>
      <c r="AK40" s="234">
        <v>0.99</v>
      </c>
      <c r="AL40" s="234" t="s">
        <v>437</v>
      </c>
      <c r="AM40" s="234">
        <v>2</v>
      </c>
    </row>
    <row r="41" spans="2:39" x14ac:dyDescent="0.3">
      <c r="F41" s="234" t="s">
        <v>172</v>
      </c>
      <c r="G41" s="234" t="s">
        <v>384</v>
      </c>
      <c r="I41" s="234">
        <v>0.224</v>
      </c>
      <c r="L41" s="234">
        <v>3.3333333333333299</v>
      </c>
      <c r="M41" s="234">
        <v>1</v>
      </c>
      <c r="N41" s="234">
        <v>64.814999999999998</v>
      </c>
      <c r="O41" s="234">
        <v>1.837915</v>
      </c>
      <c r="P41" s="234">
        <v>50.7013888888889</v>
      </c>
      <c r="R41" s="234">
        <v>0.99</v>
      </c>
      <c r="T41" s="234">
        <v>25</v>
      </c>
      <c r="U41" s="234">
        <v>2.5</v>
      </c>
      <c r="V41" s="234">
        <v>45</v>
      </c>
      <c r="W41" s="234">
        <v>0.1</v>
      </c>
      <c r="X41" s="234">
        <v>1</v>
      </c>
      <c r="Y41" s="234">
        <v>0.54000000000002002</v>
      </c>
      <c r="Z41" s="234">
        <v>0.3</v>
      </c>
      <c r="AA41" s="234">
        <v>16</v>
      </c>
      <c r="AB41" s="234" t="s">
        <v>466</v>
      </c>
      <c r="AC41" s="234" t="s">
        <v>64</v>
      </c>
      <c r="AD41" s="234" t="s">
        <v>433</v>
      </c>
      <c r="AE41" s="234" t="s">
        <v>131</v>
      </c>
      <c r="AF41" s="234" t="s">
        <v>141</v>
      </c>
      <c r="AG41" s="234" t="s">
        <v>441</v>
      </c>
      <c r="AH41" s="234" t="s">
        <v>435</v>
      </c>
      <c r="AJ41" s="234" t="s">
        <v>436</v>
      </c>
      <c r="AK41" s="234">
        <v>0.99</v>
      </c>
      <c r="AL41" s="234" t="s">
        <v>437</v>
      </c>
      <c r="AM41" s="234">
        <v>2</v>
      </c>
    </row>
    <row r="42" spans="2:39" x14ac:dyDescent="0.3">
      <c r="F42" s="234" t="s">
        <v>172</v>
      </c>
      <c r="G42" s="234" t="s">
        <v>385</v>
      </c>
      <c r="I42" s="234">
        <v>0.23200000000000001</v>
      </c>
      <c r="L42" s="234">
        <v>3.125</v>
      </c>
      <c r="M42" s="234">
        <v>1</v>
      </c>
      <c r="N42" s="234">
        <v>56.62</v>
      </c>
      <c r="O42" s="234">
        <v>1.56897</v>
      </c>
      <c r="P42" s="234">
        <v>49.045833333333299</v>
      </c>
      <c r="R42" s="234">
        <v>0.99</v>
      </c>
      <c r="T42" s="234">
        <v>25</v>
      </c>
      <c r="U42" s="234">
        <v>2.5</v>
      </c>
      <c r="V42" s="234">
        <v>11</v>
      </c>
      <c r="W42" s="234">
        <v>0.1</v>
      </c>
      <c r="X42" s="234">
        <v>1</v>
      </c>
      <c r="Y42" s="234">
        <v>0.54000000000002002</v>
      </c>
      <c r="Z42" s="234">
        <v>0.3</v>
      </c>
      <c r="AA42" s="234">
        <v>16</v>
      </c>
      <c r="AB42" s="234" t="s">
        <v>466</v>
      </c>
      <c r="AC42" s="234" t="s">
        <v>64</v>
      </c>
      <c r="AD42" s="234" t="s">
        <v>433</v>
      </c>
      <c r="AE42" s="234" t="s">
        <v>131</v>
      </c>
      <c r="AF42" s="234" t="s">
        <v>141</v>
      </c>
      <c r="AG42" s="234" t="s">
        <v>441</v>
      </c>
      <c r="AH42" s="234" t="s">
        <v>435</v>
      </c>
      <c r="AJ42" s="234" t="s">
        <v>436</v>
      </c>
      <c r="AK42" s="234">
        <v>0.99</v>
      </c>
      <c r="AL42" s="234" t="s">
        <v>437</v>
      </c>
      <c r="AM42" s="234">
        <v>2</v>
      </c>
    </row>
    <row r="43" spans="2:39" x14ac:dyDescent="0.3">
      <c r="B43" s="234" t="s">
        <v>467</v>
      </c>
      <c r="C43" s="234" t="s">
        <v>468</v>
      </c>
      <c r="D43" s="234" t="s">
        <v>35</v>
      </c>
      <c r="E43" s="234" t="s">
        <v>28</v>
      </c>
      <c r="F43" s="234" t="s">
        <v>172</v>
      </c>
      <c r="G43" s="234" t="s">
        <v>375</v>
      </c>
      <c r="H43" s="234">
        <v>2020</v>
      </c>
      <c r="I43" s="234">
        <v>0.214</v>
      </c>
      <c r="L43" s="234">
        <v>3.4482758620689702</v>
      </c>
      <c r="M43" s="234">
        <v>1</v>
      </c>
      <c r="N43" s="234">
        <v>79.715000000000003</v>
      </c>
      <c r="O43" s="234">
        <v>3.1871100000000001</v>
      </c>
      <c r="P43" s="234">
        <v>52.977777777777803</v>
      </c>
      <c r="Q43" s="234">
        <v>3.1536000000000002E-2</v>
      </c>
      <c r="R43" s="234">
        <v>0.99</v>
      </c>
      <c r="S43" s="234">
        <v>1</v>
      </c>
      <c r="T43" s="234">
        <v>25</v>
      </c>
      <c r="U43" s="234">
        <v>2.5</v>
      </c>
      <c r="V43" s="234">
        <v>90</v>
      </c>
      <c r="W43" s="234">
        <v>0.3</v>
      </c>
      <c r="X43" s="234">
        <v>1.2</v>
      </c>
      <c r="Y43" s="234">
        <v>0.54000000000002002</v>
      </c>
      <c r="Z43" s="234">
        <v>0.3</v>
      </c>
      <c r="AA43" s="234">
        <v>17</v>
      </c>
      <c r="AB43" s="234" t="s">
        <v>469</v>
      </c>
      <c r="AC43" s="234" t="s">
        <v>64</v>
      </c>
      <c r="AD43" s="234" t="s">
        <v>433</v>
      </c>
      <c r="AE43" s="234" t="s">
        <v>131</v>
      </c>
      <c r="AF43" s="234" t="s">
        <v>141</v>
      </c>
      <c r="AG43" s="234" t="s">
        <v>441</v>
      </c>
      <c r="AH43" s="234" t="s">
        <v>435</v>
      </c>
      <c r="AJ43" s="234" t="s">
        <v>436</v>
      </c>
      <c r="AK43" s="234">
        <v>0.99</v>
      </c>
      <c r="AL43" s="234" t="s">
        <v>437</v>
      </c>
      <c r="AM43" s="234">
        <v>3</v>
      </c>
    </row>
    <row r="44" spans="2:39" x14ac:dyDescent="0.3">
      <c r="E44" s="234" t="s">
        <v>32</v>
      </c>
      <c r="F44" s="234" t="s">
        <v>172</v>
      </c>
      <c r="G44" s="234" t="s">
        <v>383</v>
      </c>
      <c r="I44" s="234">
        <v>0.214</v>
      </c>
      <c r="L44" s="234">
        <v>3.4482758620689702</v>
      </c>
      <c r="M44" s="234">
        <v>1</v>
      </c>
      <c r="N44" s="234">
        <v>78.224999999999994</v>
      </c>
      <c r="O44" s="234">
        <v>3.0813199999999998</v>
      </c>
      <c r="P44" s="234">
        <v>52.977777777777803</v>
      </c>
      <c r="R44" s="234">
        <v>0.99</v>
      </c>
      <c r="T44" s="234">
        <v>25</v>
      </c>
      <c r="U44" s="234">
        <v>2.5</v>
      </c>
      <c r="V44" s="234">
        <v>67</v>
      </c>
      <c r="W44" s="234">
        <v>0.1</v>
      </c>
      <c r="X44" s="234">
        <v>1</v>
      </c>
      <c r="Y44" s="234">
        <v>0.54000000000002002</v>
      </c>
      <c r="Z44" s="234">
        <v>0.3</v>
      </c>
      <c r="AA44" s="234">
        <v>17</v>
      </c>
      <c r="AB44" s="234" t="s">
        <v>469</v>
      </c>
      <c r="AC44" s="234" t="s">
        <v>64</v>
      </c>
      <c r="AD44" s="234" t="s">
        <v>433</v>
      </c>
      <c r="AE44" s="234" t="s">
        <v>131</v>
      </c>
      <c r="AF44" s="234" t="s">
        <v>141</v>
      </c>
      <c r="AG44" s="234" t="s">
        <v>441</v>
      </c>
      <c r="AH44" s="234" t="s">
        <v>435</v>
      </c>
      <c r="AJ44" s="234" t="s">
        <v>436</v>
      </c>
      <c r="AK44" s="234">
        <v>0.99</v>
      </c>
      <c r="AL44" s="234" t="s">
        <v>437</v>
      </c>
      <c r="AM44" s="234">
        <v>3</v>
      </c>
    </row>
    <row r="45" spans="2:39" x14ac:dyDescent="0.3">
      <c r="F45" s="234" t="s">
        <v>172</v>
      </c>
      <c r="G45" s="234" t="s">
        <v>384</v>
      </c>
      <c r="I45" s="234">
        <v>0.223</v>
      </c>
      <c r="L45" s="234">
        <v>3.3333333333333299</v>
      </c>
      <c r="M45" s="234">
        <v>1</v>
      </c>
      <c r="N45" s="234">
        <v>71.52</v>
      </c>
      <c r="O45" s="234">
        <v>2.7743799999999998</v>
      </c>
      <c r="P45" s="234">
        <v>50.908333333333303</v>
      </c>
      <c r="R45" s="234">
        <v>0.99</v>
      </c>
      <c r="T45" s="234">
        <v>25</v>
      </c>
      <c r="U45" s="234">
        <v>2.5</v>
      </c>
      <c r="V45" s="234">
        <v>56</v>
      </c>
      <c r="W45" s="234">
        <v>0.1</v>
      </c>
      <c r="X45" s="234">
        <v>1</v>
      </c>
      <c r="Y45" s="234">
        <v>0.54000000000002002</v>
      </c>
      <c r="Z45" s="234">
        <v>0.3</v>
      </c>
      <c r="AA45" s="234">
        <v>17</v>
      </c>
      <c r="AB45" s="234" t="s">
        <v>469</v>
      </c>
      <c r="AC45" s="234" t="s">
        <v>64</v>
      </c>
      <c r="AD45" s="234" t="s">
        <v>433</v>
      </c>
      <c r="AE45" s="234" t="s">
        <v>131</v>
      </c>
      <c r="AF45" s="234" t="s">
        <v>141</v>
      </c>
      <c r="AG45" s="234" t="s">
        <v>441</v>
      </c>
      <c r="AH45" s="234" t="s">
        <v>435</v>
      </c>
      <c r="AJ45" s="234" t="s">
        <v>436</v>
      </c>
      <c r="AK45" s="234">
        <v>0.99</v>
      </c>
      <c r="AL45" s="234" t="s">
        <v>437</v>
      </c>
      <c r="AM45" s="234">
        <v>3</v>
      </c>
    </row>
    <row r="46" spans="2:39" x14ac:dyDescent="0.3">
      <c r="F46" s="234" t="s">
        <v>172</v>
      </c>
      <c r="G46" s="234" t="s">
        <v>385</v>
      </c>
      <c r="I46" s="234">
        <v>0.22500000000000001</v>
      </c>
      <c r="L46" s="234">
        <v>3.3333333333333299</v>
      </c>
      <c r="M46" s="234">
        <v>1</v>
      </c>
      <c r="N46" s="234">
        <v>65.56</v>
      </c>
      <c r="O46" s="234">
        <v>2.4547750000000002</v>
      </c>
      <c r="P46" s="234">
        <v>50.494444444444397</v>
      </c>
      <c r="R46" s="234">
        <v>0.99</v>
      </c>
      <c r="T46" s="234">
        <v>25</v>
      </c>
      <c r="U46" s="234">
        <v>2.5</v>
      </c>
      <c r="V46" s="234">
        <v>22</v>
      </c>
      <c r="W46" s="234">
        <v>0.1</v>
      </c>
      <c r="X46" s="234">
        <v>1</v>
      </c>
      <c r="Y46" s="234">
        <v>0.54000000000002002</v>
      </c>
      <c r="Z46" s="234">
        <v>0.3</v>
      </c>
      <c r="AA46" s="234">
        <v>17</v>
      </c>
      <c r="AB46" s="234" t="s">
        <v>469</v>
      </c>
      <c r="AC46" s="234" t="s">
        <v>64</v>
      </c>
      <c r="AD46" s="234" t="s">
        <v>433</v>
      </c>
      <c r="AE46" s="234" t="s">
        <v>131</v>
      </c>
      <c r="AF46" s="234" t="s">
        <v>141</v>
      </c>
      <c r="AG46" s="234" t="s">
        <v>441</v>
      </c>
      <c r="AH46" s="234" t="s">
        <v>435</v>
      </c>
      <c r="AJ46" s="234" t="s">
        <v>436</v>
      </c>
      <c r="AK46" s="234">
        <v>0.99</v>
      </c>
      <c r="AL46" s="234" t="s">
        <v>437</v>
      </c>
      <c r="AM46" s="234">
        <v>3</v>
      </c>
    </row>
    <row r="47" spans="2:39" x14ac:dyDescent="0.3">
      <c r="B47" s="234" t="s">
        <v>470</v>
      </c>
      <c r="C47" s="234" t="s">
        <v>471</v>
      </c>
      <c r="D47" s="234" t="s">
        <v>35</v>
      </c>
      <c r="E47" s="234" t="s">
        <v>32</v>
      </c>
      <c r="F47" s="234" t="s">
        <v>172</v>
      </c>
      <c r="G47" s="234" t="s">
        <v>375</v>
      </c>
      <c r="H47" s="234">
        <v>2020</v>
      </c>
      <c r="I47" s="234">
        <v>1.0469999999999999</v>
      </c>
      <c r="N47" s="234">
        <v>13.41</v>
      </c>
      <c r="O47" s="234">
        <v>0.60568500000000003</v>
      </c>
      <c r="P47" s="234">
        <v>11.3819444444444</v>
      </c>
      <c r="Q47" s="234">
        <v>3.1536000000000002E-2</v>
      </c>
      <c r="R47" s="234">
        <v>0.99</v>
      </c>
      <c r="S47" s="234">
        <v>1</v>
      </c>
      <c r="T47" s="234">
        <v>25</v>
      </c>
      <c r="U47" s="234">
        <v>2</v>
      </c>
      <c r="V47" s="234">
        <v>90</v>
      </c>
      <c r="W47" s="234">
        <v>0.3</v>
      </c>
      <c r="X47" s="234">
        <v>1.2</v>
      </c>
      <c r="Y47" s="234">
        <v>0.54000000000002002</v>
      </c>
      <c r="Z47" s="234">
        <v>0.3</v>
      </c>
      <c r="AA47" s="234">
        <v>18</v>
      </c>
      <c r="AB47" s="234" t="s">
        <v>472</v>
      </c>
      <c r="AC47" s="234" t="s">
        <v>160</v>
      </c>
      <c r="AD47" s="234" t="s">
        <v>473</v>
      </c>
      <c r="AE47" s="234" t="s">
        <v>131</v>
      </c>
      <c r="AF47" s="234" t="s">
        <v>141</v>
      </c>
      <c r="AG47" s="234" t="s">
        <v>441</v>
      </c>
      <c r="AH47" s="234" t="s">
        <v>474</v>
      </c>
      <c r="AJ47" s="234" t="s">
        <v>475</v>
      </c>
      <c r="AK47" s="234">
        <v>0.99</v>
      </c>
      <c r="AL47" s="234" t="s">
        <v>437</v>
      </c>
      <c r="AM47" s="234">
        <v>1</v>
      </c>
    </row>
    <row r="48" spans="2:39" x14ac:dyDescent="0.3">
      <c r="F48" s="234" t="s">
        <v>172</v>
      </c>
      <c r="G48" s="234" t="s">
        <v>383</v>
      </c>
      <c r="I48" s="234">
        <v>1.0469999999999999</v>
      </c>
      <c r="N48" s="234">
        <v>13.0375</v>
      </c>
      <c r="O48" s="234">
        <v>0.58557000000000003</v>
      </c>
      <c r="P48" s="234">
        <v>11.3819444444444</v>
      </c>
      <c r="R48" s="234">
        <v>0.99</v>
      </c>
      <c r="T48" s="234">
        <v>25</v>
      </c>
      <c r="U48" s="234">
        <v>2</v>
      </c>
      <c r="V48" s="234">
        <v>67</v>
      </c>
      <c r="W48" s="234">
        <v>0.1</v>
      </c>
      <c r="X48" s="234">
        <v>1</v>
      </c>
      <c r="Y48" s="234">
        <v>0.54000000000002002</v>
      </c>
      <c r="Z48" s="234">
        <v>0.3</v>
      </c>
      <c r="AA48" s="234">
        <v>18</v>
      </c>
      <c r="AB48" s="234" t="s">
        <v>472</v>
      </c>
      <c r="AC48" s="234" t="s">
        <v>160</v>
      </c>
      <c r="AD48" s="234" t="s">
        <v>473</v>
      </c>
      <c r="AE48" s="234" t="s">
        <v>131</v>
      </c>
      <c r="AF48" s="234" t="s">
        <v>141</v>
      </c>
      <c r="AG48" s="234" t="s">
        <v>441</v>
      </c>
      <c r="AH48" s="234" t="s">
        <v>474</v>
      </c>
      <c r="AJ48" s="234" t="s">
        <v>475</v>
      </c>
      <c r="AK48" s="234">
        <v>0.99</v>
      </c>
      <c r="AL48" s="234" t="s">
        <v>437</v>
      </c>
      <c r="AM48" s="234">
        <v>1</v>
      </c>
    </row>
    <row r="49" spans="2:39" x14ac:dyDescent="0.3">
      <c r="F49" s="234" t="s">
        <v>172</v>
      </c>
      <c r="G49" s="234" t="s">
        <v>384</v>
      </c>
      <c r="I49" s="234">
        <v>1.05</v>
      </c>
      <c r="N49" s="234">
        <v>12.367000000000001</v>
      </c>
      <c r="O49" s="234">
        <v>0.54608500000000004</v>
      </c>
      <c r="P49" s="234">
        <v>11.3819444444444</v>
      </c>
      <c r="R49" s="234">
        <v>0.99</v>
      </c>
      <c r="T49" s="234">
        <v>25</v>
      </c>
      <c r="U49" s="234">
        <v>2</v>
      </c>
      <c r="V49" s="234">
        <v>56</v>
      </c>
      <c r="W49" s="234">
        <v>0.1</v>
      </c>
      <c r="X49" s="234">
        <v>1</v>
      </c>
      <c r="Y49" s="234">
        <v>0.54000000000002002</v>
      </c>
      <c r="Z49" s="234">
        <v>0.3</v>
      </c>
      <c r="AA49" s="234">
        <v>18</v>
      </c>
      <c r="AB49" s="234" t="s">
        <v>472</v>
      </c>
      <c r="AC49" s="234" t="s">
        <v>160</v>
      </c>
      <c r="AD49" s="234" t="s">
        <v>473</v>
      </c>
      <c r="AE49" s="234" t="s">
        <v>131</v>
      </c>
      <c r="AF49" s="234" t="s">
        <v>141</v>
      </c>
      <c r="AG49" s="234" t="s">
        <v>441</v>
      </c>
      <c r="AH49" s="234" t="s">
        <v>474</v>
      </c>
      <c r="AJ49" s="234" t="s">
        <v>475</v>
      </c>
      <c r="AK49" s="234">
        <v>0.99</v>
      </c>
      <c r="AL49" s="234" t="s">
        <v>437</v>
      </c>
      <c r="AM49" s="234">
        <v>1</v>
      </c>
    </row>
    <row r="50" spans="2:39" x14ac:dyDescent="0.3">
      <c r="F50" s="234" t="s">
        <v>172</v>
      </c>
      <c r="G50" s="234" t="s">
        <v>385</v>
      </c>
      <c r="I50" s="234">
        <v>1.0549999999999999</v>
      </c>
      <c r="N50" s="234">
        <v>11.547499999999999</v>
      </c>
      <c r="O50" s="234">
        <v>0.486485</v>
      </c>
      <c r="P50" s="234">
        <v>11.3819444444444</v>
      </c>
      <c r="R50" s="234">
        <v>0.99</v>
      </c>
      <c r="T50" s="234">
        <v>25</v>
      </c>
      <c r="U50" s="234">
        <v>2</v>
      </c>
      <c r="V50" s="234">
        <v>22</v>
      </c>
      <c r="W50" s="234">
        <v>0.1</v>
      </c>
      <c r="X50" s="234">
        <v>1</v>
      </c>
      <c r="Y50" s="234">
        <v>0.54000000000002002</v>
      </c>
      <c r="Z50" s="234">
        <v>0.3</v>
      </c>
      <c r="AA50" s="234">
        <v>18</v>
      </c>
      <c r="AB50" s="234" t="s">
        <v>472</v>
      </c>
      <c r="AC50" s="234" t="s">
        <v>160</v>
      </c>
      <c r="AD50" s="234" t="s">
        <v>473</v>
      </c>
      <c r="AE50" s="234" t="s">
        <v>131</v>
      </c>
      <c r="AF50" s="234" t="s">
        <v>141</v>
      </c>
      <c r="AG50" s="234" t="s">
        <v>441</v>
      </c>
      <c r="AH50" s="234" t="s">
        <v>474</v>
      </c>
      <c r="AJ50" s="234" t="s">
        <v>475</v>
      </c>
      <c r="AK50" s="234">
        <v>0.99</v>
      </c>
      <c r="AL50" s="234" t="s">
        <v>437</v>
      </c>
      <c r="AM50" s="234">
        <v>1</v>
      </c>
    </row>
    <row r="51" spans="2:39" x14ac:dyDescent="0.3">
      <c r="B51" s="234" t="s">
        <v>476</v>
      </c>
      <c r="C51" s="234" t="s">
        <v>477</v>
      </c>
      <c r="D51" s="234" t="s">
        <v>185</v>
      </c>
      <c r="E51" s="234" t="s">
        <v>32</v>
      </c>
      <c r="F51" s="234" t="s">
        <v>172</v>
      </c>
      <c r="G51" s="234" t="s">
        <v>375</v>
      </c>
      <c r="H51" s="234">
        <v>2020</v>
      </c>
      <c r="I51" s="234">
        <v>1.0209999999999999</v>
      </c>
      <c r="N51" s="234">
        <v>6.7794999999999996</v>
      </c>
      <c r="O51" s="234">
        <v>0.39410499999999998</v>
      </c>
      <c r="P51" s="234">
        <v>1.24166666666667</v>
      </c>
      <c r="Q51" s="234">
        <v>3.1536000000000002E-2</v>
      </c>
      <c r="R51" s="234">
        <v>0.96</v>
      </c>
      <c r="S51" s="234">
        <v>1</v>
      </c>
      <c r="T51" s="234">
        <v>25</v>
      </c>
      <c r="U51" s="234">
        <v>1</v>
      </c>
      <c r="V51" s="234">
        <v>90</v>
      </c>
      <c r="W51" s="234">
        <v>16</v>
      </c>
      <c r="X51" s="234">
        <v>4</v>
      </c>
      <c r="Y51" s="234">
        <v>12.15</v>
      </c>
      <c r="Z51" s="234">
        <v>2</v>
      </c>
      <c r="AA51" s="234">
        <v>30</v>
      </c>
      <c r="AB51" s="234" t="s">
        <v>478</v>
      </c>
      <c r="AC51" s="234" t="s">
        <v>160</v>
      </c>
      <c r="AD51" s="234" t="s">
        <v>473</v>
      </c>
      <c r="AE51" s="234" t="s">
        <v>479</v>
      </c>
      <c r="AF51" s="234" t="s">
        <v>204</v>
      </c>
      <c r="AG51" s="234" t="s">
        <v>441</v>
      </c>
      <c r="AH51" s="234" t="s">
        <v>474</v>
      </c>
      <c r="AJ51" s="234" t="s">
        <v>475</v>
      </c>
      <c r="AK51" s="234">
        <v>0.96</v>
      </c>
      <c r="AL51" s="234" t="s">
        <v>437</v>
      </c>
      <c r="AM51" s="234">
        <v>1</v>
      </c>
    </row>
    <row r="52" spans="2:39" x14ac:dyDescent="0.3">
      <c r="F52" s="234" t="s">
        <v>172</v>
      </c>
      <c r="G52" s="234" t="s">
        <v>383</v>
      </c>
      <c r="I52" s="234">
        <v>1.0209999999999999</v>
      </c>
      <c r="N52" s="234">
        <v>6.6304999999999996</v>
      </c>
      <c r="O52" s="234">
        <v>0.382185</v>
      </c>
      <c r="P52" s="234">
        <v>1.24166666666667</v>
      </c>
      <c r="R52" s="234">
        <v>0.96</v>
      </c>
      <c r="T52" s="234">
        <v>25</v>
      </c>
      <c r="U52" s="234">
        <v>1</v>
      </c>
      <c r="V52" s="234">
        <v>72</v>
      </c>
      <c r="W52" s="234">
        <v>11</v>
      </c>
      <c r="X52" s="234">
        <v>3</v>
      </c>
      <c r="Y52" s="234">
        <v>9.7199999999999704</v>
      </c>
      <c r="Z52" s="234">
        <v>0.3</v>
      </c>
      <c r="AA52" s="234">
        <v>30</v>
      </c>
      <c r="AB52" s="234" t="s">
        <v>478</v>
      </c>
      <c r="AC52" s="234" t="s">
        <v>160</v>
      </c>
      <c r="AD52" s="234" t="s">
        <v>473</v>
      </c>
      <c r="AE52" s="234" t="s">
        <v>479</v>
      </c>
      <c r="AF52" s="234" t="s">
        <v>204</v>
      </c>
      <c r="AG52" s="234" t="s">
        <v>441</v>
      </c>
      <c r="AH52" s="234" t="s">
        <v>474</v>
      </c>
      <c r="AJ52" s="234" t="s">
        <v>475</v>
      </c>
      <c r="AK52" s="234">
        <v>0.96</v>
      </c>
      <c r="AL52" s="234" t="s">
        <v>437</v>
      </c>
      <c r="AM52" s="234">
        <v>1</v>
      </c>
    </row>
    <row r="53" spans="2:39" x14ac:dyDescent="0.3">
      <c r="F53" s="234" t="s">
        <v>172</v>
      </c>
      <c r="G53" s="234" t="s">
        <v>384</v>
      </c>
      <c r="I53" s="234">
        <v>1.0209999999999999</v>
      </c>
      <c r="N53" s="234">
        <v>6.258</v>
      </c>
      <c r="O53" s="234">
        <v>0.36058000000000001</v>
      </c>
      <c r="P53" s="234">
        <v>1.24166666666667</v>
      </c>
      <c r="R53" s="234">
        <v>0.96</v>
      </c>
      <c r="T53" s="234">
        <v>25</v>
      </c>
      <c r="U53" s="234">
        <v>1</v>
      </c>
      <c r="V53" s="234">
        <v>73</v>
      </c>
      <c r="W53" s="234">
        <v>8</v>
      </c>
      <c r="X53" s="234">
        <v>2</v>
      </c>
      <c r="Y53" s="234">
        <v>2.4300000000000099</v>
      </c>
      <c r="Z53" s="234">
        <v>0.3</v>
      </c>
      <c r="AA53" s="234">
        <v>30</v>
      </c>
      <c r="AB53" s="234" t="s">
        <v>478</v>
      </c>
      <c r="AC53" s="234" t="s">
        <v>160</v>
      </c>
      <c r="AD53" s="234" t="s">
        <v>473</v>
      </c>
      <c r="AE53" s="234" t="s">
        <v>479</v>
      </c>
      <c r="AF53" s="234" t="s">
        <v>204</v>
      </c>
      <c r="AG53" s="234" t="s">
        <v>441</v>
      </c>
      <c r="AH53" s="234" t="s">
        <v>474</v>
      </c>
      <c r="AJ53" s="234" t="s">
        <v>475</v>
      </c>
      <c r="AK53" s="234">
        <v>0.96</v>
      </c>
      <c r="AL53" s="234" t="s">
        <v>437</v>
      </c>
      <c r="AM53" s="234">
        <v>1</v>
      </c>
    </row>
    <row r="54" spans="2:39" x14ac:dyDescent="0.3">
      <c r="F54" s="234" t="s">
        <v>172</v>
      </c>
      <c r="G54" s="234" t="s">
        <v>385</v>
      </c>
      <c r="I54" s="234">
        <v>1.0209999999999999</v>
      </c>
      <c r="N54" s="234">
        <v>5.6619999999999999</v>
      </c>
      <c r="O54" s="234">
        <v>0.32258500000000001</v>
      </c>
      <c r="P54" s="234">
        <v>1.24166666666667</v>
      </c>
      <c r="R54" s="234">
        <v>0.96</v>
      </c>
      <c r="T54" s="234">
        <v>25</v>
      </c>
      <c r="U54" s="234">
        <v>1</v>
      </c>
      <c r="V54" s="234">
        <v>73</v>
      </c>
      <c r="W54" s="234">
        <v>4</v>
      </c>
      <c r="X54" s="234">
        <v>1</v>
      </c>
      <c r="Y54" s="234">
        <v>0.54000000000002002</v>
      </c>
      <c r="Z54" s="234">
        <v>0.3</v>
      </c>
      <c r="AA54" s="234">
        <v>30</v>
      </c>
      <c r="AB54" s="234" t="s">
        <v>478</v>
      </c>
      <c r="AC54" s="234" t="s">
        <v>160</v>
      </c>
      <c r="AD54" s="234" t="s">
        <v>473</v>
      </c>
      <c r="AE54" s="234" t="s">
        <v>479</v>
      </c>
      <c r="AF54" s="234" t="s">
        <v>204</v>
      </c>
      <c r="AG54" s="234" t="s">
        <v>441</v>
      </c>
      <c r="AH54" s="234" t="s">
        <v>474</v>
      </c>
      <c r="AJ54" s="234" t="s">
        <v>475</v>
      </c>
      <c r="AK54" s="234">
        <v>0.96</v>
      </c>
      <c r="AL54" s="234" t="s">
        <v>437</v>
      </c>
      <c r="AM54" s="234">
        <v>1</v>
      </c>
    </row>
    <row r="55" spans="2:39" x14ac:dyDescent="0.3">
      <c r="B55" s="234" t="s">
        <v>480</v>
      </c>
      <c r="C55" s="234" t="s">
        <v>481</v>
      </c>
      <c r="D55" s="234" t="s">
        <v>185</v>
      </c>
      <c r="E55" s="234" t="s">
        <v>28</v>
      </c>
      <c r="F55" s="234" t="s">
        <v>172</v>
      </c>
      <c r="G55" s="234" t="s">
        <v>375</v>
      </c>
      <c r="H55" s="234">
        <v>2020</v>
      </c>
      <c r="I55" s="234">
        <v>0.29299999999999998</v>
      </c>
      <c r="L55" s="234">
        <v>2.2222222222222201</v>
      </c>
      <c r="M55" s="234">
        <v>1</v>
      </c>
      <c r="N55" s="234">
        <v>26.074999999999999</v>
      </c>
      <c r="O55" s="234">
        <v>0.95881499999999997</v>
      </c>
      <c r="P55" s="234">
        <v>3.93194444444444</v>
      </c>
      <c r="Q55" s="234">
        <v>3.1536000000000002E-2</v>
      </c>
      <c r="R55" s="234">
        <v>0.97</v>
      </c>
      <c r="S55" s="234">
        <v>1</v>
      </c>
      <c r="T55" s="234">
        <v>25</v>
      </c>
      <c r="U55" s="234">
        <v>3</v>
      </c>
      <c r="V55" s="234">
        <v>84</v>
      </c>
      <c r="X55" s="234">
        <v>1</v>
      </c>
      <c r="Y55" s="234">
        <v>12.15</v>
      </c>
      <c r="Z55" s="234">
        <v>0.3</v>
      </c>
      <c r="AA55" s="234">
        <v>25</v>
      </c>
      <c r="AB55" s="234" t="s">
        <v>482</v>
      </c>
      <c r="AC55" s="234" t="s">
        <v>64</v>
      </c>
      <c r="AD55" s="234" t="s">
        <v>433</v>
      </c>
      <c r="AE55" s="234" t="s">
        <v>479</v>
      </c>
      <c r="AF55" s="234" t="s">
        <v>204</v>
      </c>
      <c r="AG55" s="234" t="s">
        <v>434</v>
      </c>
      <c r="AH55" s="234" t="s">
        <v>435</v>
      </c>
      <c r="AJ55" s="234" t="s">
        <v>436</v>
      </c>
      <c r="AK55" s="234">
        <v>0.97</v>
      </c>
      <c r="AL55" s="234" t="s">
        <v>437</v>
      </c>
      <c r="AM55" s="234">
        <v>1</v>
      </c>
    </row>
    <row r="56" spans="2:39" x14ac:dyDescent="0.3">
      <c r="E56" s="234" t="s">
        <v>32</v>
      </c>
      <c r="F56" s="234" t="s">
        <v>172</v>
      </c>
      <c r="G56" s="234" t="s">
        <v>383</v>
      </c>
      <c r="I56" s="234">
        <v>0.29299999999999998</v>
      </c>
      <c r="L56" s="234">
        <v>2.2222222222222201</v>
      </c>
      <c r="M56" s="234">
        <v>1</v>
      </c>
      <c r="N56" s="234">
        <v>26.074999999999999</v>
      </c>
      <c r="O56" s="234">
        <v>0.93050500000000003</v>
      </c>
      <c r="P56" s="234">
        <v>3.93194444444444</v>
      </c>
      <c r="R56" s="234">
        <v>0.97</v>
      </c>
      <c r="T56" s="234">
        <v>25</v>
      </c>
      <c r="U56" s="234">
        <v>3</v>
      </c>
      <c r="V56" s="234">
        <v>67</v>
      </c>
      <c r="X56" s="234">
        <v>1</v>
      </c>
      <c r="Y56" s="234">
        <v>9.7199999999999704</v>
      </c>
      <c r="Z56" s="234">
        <v>0.3</v>
      </c>
      <c r="AA56" s="234">
        <v>25</v>
      </c>
      <c r="AB56" s="234" t="s">
        <v>482</v>
      </c>
      <c r="AC56" s="234" t="s">
        <v>64</v>
      </c>
      <c r="AD56" s="234" t="s">
        <v>433</v>
      </c>
      <c r="AE56" s="234" t="s">
        <v>479</v>
      </c>
      <c r="AF56" s="234" t="s">
        <v>204</v>
      </c>
      <c r="AG56" s="234" t="s">
        <v>434</v>
      </c>
      <c r="AH56" s="234" t="s">
        <v>435</v>
      </c>
      <c r="AJ56" s="234" t="s">
        <v>436</v>
      </c>
      <c r="AK56" s="234">
        <v>0.97</v>
      </c>
      <c r="AL56" s="234" t="s">
        <v>437</v>
      </c>
      <c r="AM56" s="234">
        <v>1</v>
      </c>
    </row>
    <row r="57" spans="2:39" x14ac:dyDescent="0.3">
      <c r="F57" s="234" t="s">
        <v>172</v>
      </c>
      <c r="G57" s="234" t="s">
        <v>384</v>
      </c>
      <c r="I57" s="234">
        <v>0.29399999999999998</v>
      </c>
      <c r="L57" s="234">
        <v>2.1739130434782599</v>
      </c>
      <c r="M57" s="234">
        <v>1</v>
      </c>
      <c r="N57" s="234">
        <v>24.585000000000001</v>
      </c>
      <c r="O57" s="234">
        <v>0.87388500000000002</v>
      </c>
      <c r="P57" s="234">
        <v>3.93194444444444</v>
      </c>
      <c r="R57" s="234">
        <v>0.97</v>
      </c>
      <c r="T57" s="234">
        <v>25</v>
      </c>
      <c r="U57" s="234">
        <v>3</v>
      </c>
      <c r="V57" s="234">
        <v>36</v>
      </c>
      <c r="X57" s="234">
        <v>1</v>
      </c>
      <c r="Y57" s="234">
        <v>2.4300000000000099</v>
      </c>
      <c r="Z57" s="234">
        <v>0.3</v>
      </c>
      <c r="AA57" s="234">
        <v>25</v>
      </c>
      <c r="AB57" s="234" t="s">
        <v>482</v>
      </c>
      <c r="AC57" s="234" t="s">
        <v>64</v>
      </c>
      <c r="AD57" s="234" t="s">
        <v>433</v>
      </c>
      <c r="AE57" s="234" t="s">
        <v>479</v>
      </c>
      <c r="AF57" s="234" t="s">
        <v>204</v>
      </c>
      <c r="AG57" s="234" t="s">
        <v>434</v>
      </c>
      <c r="AH57" s="234" t="s">
        <v>435</v>
      </c>
      <c r="AJ57" s="234" t="s">
        <v>436</v>
      </c>
      <c r="AK57" s="234">
        <v>0.97</v>
      </c>
      <c r="AL57" s="234" t="s">
        <v>437</v>
      </c>
      <c r="AM57" s="234">
        <v>1</v>
      </c>
    </row>
    <row r="58" spans="2:39" x14ac:dyDescent="0.3">
      <c r="F58" s="234" t="s">
        <v>172</v>
      </c>
      <c r="G58" s="234" t="s">
        <v>385</v>
      </c>
      <c r="I58" s="234">
        <v>0.29399999999999998</v>
      </c>
      <c r="L58" s="234">
        <v>2.1739130434782599</v>
      </c>
      <c r="M58" s="234">
        <v>1</v>
      </c>
      <c r="N58" s="234">
        <v>22.35</v>
      </c>
      <c r="O58" s="234">
        <v>0.78001500000000001</v>
      </c>
      <c r="P58" s="234">
        <v>3.93194444444444</v>
      </c>
      <c r="R58" s="234">
        <v>0.97</v>
      </c>
      <c r="T58" s="234">
        <v>25</v>
      </c>
      <c r="U58" s="234">
        <v>3</v>
      </c>
      <c r="V58" s="234">
        <v>18</v>
      </c>
      <c r="X58" s="234">
        <v>1</v>
      </c>
      <c r="Y58" s="234">
        <v>0.54000000000002002</v>
      </c>
      <c r="Z58" s="234">
        <v>0.3</v>
      </c>
      <c r="AA58" s="234">
        <v>25</v>
      </c>
      <c r="AB58" s="234" t="s">
        <v>482</v>
      </c>
      <c r="AC58" s="234" t="s">
        <v>64</v>
      </c>
      <c r="AD58" s="234" t="s">
        <v>433</v>
      </c>
      <c r="AE58" s="234" t="s">
        <v>479</v>
      </c>
      <c r="AF58" s="234" t="s">
        <v>204</v>
      </c>
      <c r="AG58" s="234" t="s">
        <v>434</v>
      </c>
      <c r="AH58" s="234" t="s">
        <v>435</v>
      </c>
      <c r="AJ58" s="234" t="s">
        <v>436</v>
      </c>
      <c r="AK58" s="234">
        <v>0.97</v>
      </c>
      <c r="AL58" s="234" t="s">
        <v>437</v>
      </c>
      <c r="AM58" s="234">
        <v>1</v>
      </c>
    </row>
    <row r="59" spans="2:39" x14ac:dyDescent="0.3">
      <c r="B59" s="234" t="s">
        <v>483</v>
      </c>
      <c r="C59" s="234" t="s">
        <v>484</v>
      </c>
      <c r="D59" s="234" t="s">
        <v>185</v>
      </c>
      <c r="E59" s="234" t="s">
        <v>28</v>
      </c>
      <c r="F59" s="234" t="s">
        <v>172</v>
      </c>
      <c r="G59" s="234" t="s">
        <v>375</v>
      </c>
      <c r="H59" s="234">
        <v>2020</v>
      </c>
      <c r="I59" s="234">
        <v>0.29399999999999998</v>
      </c>
      <c r="L59" s="234">
        <v>2.1739130434782599</v>
      </c>
      <c r="M59" s="234">
        <v>1</v>
      </c>
      <c r="N59" s="234">
        <v>27.565000000000001</v>
      </c>
      <c r="O59" s="234">
        <v>1.1204799999999999</v>
      </c>
      <c r="P59" s="234">
        <v>3.93194444444444</v>
      </c>
      <c r="Q59" s="234">
        <v>3.1536000000000002E-2</v>
      </c>
      <c r="R59" s="234">
        <v>0.96</v>
      </c>
      <c r="S59" s="234">
        <v>1</v>
      </c>
      <c r="T59" s="234">
        <v>25</v>
      </c>
      <c r="U59" s="234">
        <v>2.5</v>
      </c>
      <c r="V59" s="234">
        <v>87</v>
      </c>
      <c r="X59" s="234">
        <v>1</v>
      </c>
      <c r="Y59" s="234">
        <v>12.15</v>
      </c>
      <c r="Z59" s="234">
        <v>2</v>
      </c>
      <c r="AA59" s="234">
        <v>26</v>
      </c>
      <c r="AB59" s="234" t="s">
        <v>485</v>
      </c>
      <c r="AC59" s="234" t="s">
        <v>64</v>
      </c>
      <c r="AD59" s="234" t="s">
        <v>433</v>
      </c>
      <c r="AE59" s="234" t="s">
        <v>479</v>
      </c>
      <c r="AF59" s="234" t="s">
        <v>204</v>
      </c>
      <c r="AG59" s="234" t="s">
        <v>441</v>
      </c>
      <c r="AH59" s="234" t="s">
        <v>435</v>
      </c>
      <c r="AJ59" s="234" t="s">
        <v>436</v>
      </c>
      <c r="AK59" s="234">
        <v>0.96</v>
      </c>
      <c r="AL59" s="234" t="s">
        <v>437</v>
      </c>
      <c r="AM59" s="234">
        <v>2</v>
      </c>
    </row>
    <row r="60" spans="2:39" x14ac:dyDescent="0.3">
      <c r="E60" s="234" t="s">
        <v>32</v>
      </c>
      <c r="F60" s="234" t="s">
        <v>172</v>
      </c>
      <c r="G60" s="234" t="s">
        <v>383</v>
      </c>
      <c r="I60" s="234">
        <v>0.28999999999999998</v>
      </c>
      <c r="L60" s="234">
        <v>2.2222222222222201</v>
      </c>
      <c r="M60" s="234">
        <v>1</v>
      </c>
      <c r="N60" s="234">
        <v>28.31</v>
      </c>
      <c r="O60" s="234">
        <v>1.1167549999999999</v>
      </c>
      <c r="P60" s="234">
        <v>4.1388888888888902</v>
      </c>
      <c r="R60" s="234">
        <v>0.96</v>
      </c>
      <c r="T60" s="234">
        <v>25</v>
      </c>
      <c r="U60" s="234">
        <v>2.5</v>
      </c>
      <c r="V60" s="234">
        <v>70</v>
      </c>
      <c r="X60" s="234">
        <v>1</v>
      </c>
      <c r="Y60" s="234">
        <v>9.7199999999999704</v>
      </c>
      <c r="Z60" s="234">
        <v>0.3</v>
      </c>
      <c r="AA60" s="234">
        <v>26</v>
      </c>
      <c r="AB60" s="234" t="s">
        <v>485</v>
      </c>
      <c r="AC60" s="234" t="s">
        <v>64</v>
      </c>
      <c r="AD60" s="234" t="s">
        <v>433</v>
      </c>
      <c r="AE60" s="234" t="s">
        <v>479</v>
      </c>
      <c r="AF60" s="234" t="s">
        <v>204</v>
      </c>
      <c r="AG60" s="234" t="s">
        <v>441</v>
      </c>
      <c r="AH60" s="234" t="s">
        <v>435</v>
      </c>
      <c r="AJ60" s="234" t="s">
        <v>436</v>
      </c>
      <c r="AK60" s="234">
        <v>0.96</v>
      </c>
      <c r="AL60" s="234" t="s">
        <v>437</v>
      </c>
      <c r="AM60" s="234">
        <v>2</v>
      </c>
    </row>
    <row r="61" spans="2:39" x14ac:dyDescent="0.3">
      <c r="F61" s="234" t="s">
        <v>172</v>
      </c>
      <c r="G61" s="234" t="s">
        <v>384</v>
      </c>
      <c r="I61" s="234">
        <v>0.29099999999999998</v>
      </c>
      <c r="L61" s="234">
        <v>2.2222222222222201</v>
      </c>
      <c r="M61" s="234">
        <v>1</v>
      </c>
      <c r="N61" s="234">
        <v>26.82</v>
      </c>
      <c r="O61" s="234">
        <v>1.0511950000000001</v>
      </c>
      <c r="P61" s="234">
        <v>4.1388888888888902</v>
      </c>
      <c r="R61" s="234">
        <v>0.96</v>
      </c>
      <c r="T61" s="234">
        <v>25</v>
      </c>
      <c r="U61" s="234">
        <v>2.5</v>
      </c>
      <c r="V61" s="234">
        <v>47</v>
      </c>
      <c r="X61" s="234">
        <v>1</v>
      </c>
      <c r="Y61" s="234">
        <v>2.4300000000000099</v>
      </c>
      <c r="Z61" s="234">
        <v>0.3</v>
      </c>
      <c r="AA61" s="234">
        <v>26</v>
      </c>
      <c r="AB61" s="234" t="s">
        <v>485</v>
      </c>
      <c r="AC61" s="234" t="s">
        <v>64</v>
      </c>
      <c r="AD61" s="234" t="s">
        <v>433</v>
      </c>
      <c r="AE61" s="234" t="s">
        <v>479</v>
      </c>
      <c r="AF61" s="234" t="s">
        <v>204</v>
      </c>
      <c r="AG61" s="234" t="s">
        <v>441</v>
      </c>
      <c r="AH61" s="234" t="s">
        <v>435</v>
      </c>
      <c r="AJ61" s="234" t="s">
        <v>436</v>
      </c>
      <c r="AK61" s="234">
        <v>0.96</v>
      </c>
      <c r="AL61" s="234" t="s">
        <v>437</v>
      </c>
      <c r="AM61" s="234">
        <v>2</v>
      </c>
    </row>
    <row r="62" spans="2:39" x14ac:dyDescent="0.3">
      <c r="F62" s="234" t="s">
        <v>172</v>
      </c>
      <c r="G62" s="234" t="s">
        <v>385</v>
      </c>
      <c r="I62" s="234">
        <v>0.29099999999999998</v>
      </c>
      <c r="L62" s="234">
        <v>2.2222222222222201</v>
      </c>
      <c r="M62" s="234">
        <v>1</v>
      </c>
      <c r="N62" s="234">
        <v>24.585000000000001</v>
      </c>
      <c r="O62" s="234">
        <v>0.94093499999999997</v>
      </c>
      <c r="P62" s="234">
        <v>4.1388888888888902</v>
      </c>
      <c r="R62" s="234">
        <v>0.96</v>
      </c>
      <c r="T62" s="234">
        <v>25</v>
      </c>
      <c r="U62" s="234">
        <v>2.5</v>
      </c>
      <c r="V62" s="234">
        <v>29</v>
      </c>
      <c r="X62" s="234">
        <v>1</v>
      </c>
      <c r="Y62" s="234">
        <v>0.54000000000002002</v>
      </c>
      <c r="Z62" s="234">
        <v>0.3</v>
      </c>
      <c r="AA62" s="234">
        <v>26</v>
      </c>
      <c r="AB62" s="234" t="s">
        <v>485</v>
      </c>
      <c r="AC62" s="234" t="s">
        <v>64</v>
      </c>
      <c r="AD62" s="234" t="s">
        <v>433</v>
      </c>
      <c r="AE62" s="234" t="s">
        <v>479</v>
      </c>
      <c r="AF62" s="234" t="s">
        <v>204</v>
      </c>
      <c r="AG62" s="234" t="s">
        <v>441</v>
      </c>
      <c r="AH62" s="234" t="s">
        <v>435</v>
      </c>
      <c r="AJ62" s="234" t="s">
        <v>436</v>
      </c>
      <c r="AK62" s="234">
        <v>0.96</v>
      </c>
      <c r="AL62" s="234" t="s">
        <v>437</v>
      </c>
      <c r="AM62" s="234">
        <v>2</v>
      </c>
    </row>
    <row r="63" spans="2:39" x14ac:dyDescent="0.3">
      <c r="B63" s="234" t="s">
        <v>486</v>
      </c>
      <c r="C63" s="234" t="s">
        <v>487</v>
      </c>
      <c r="D63" s="234" t="s">
        <v>185</v>
      </c>
      <c r="E63" s="234" t="s">
        <v>28</v>
      </c>
      <c r="F63" s="234" t="s">
        <v>172</v>
      </c>
      <c r="G63" s="234" t="s">
        <v>375</v>
      </c>
      <c r="H63" s="234">
        <v>2020</v>
      </c>
      <c r="I63" s="234">
        <v>0.14199999999999999</v>
      </c>
      <c r="L63" s="234">
        <v>5.5555555555555598</v>
      </c>
      <c r="M63" s="234">
        <v>1</v>
      </c>
      <c r="N63" s="234">
        <v>52.15</v>
      </c>
      <c r="O63" s="234">
        <v>2.4123100000000002</v>
      </c>
      <c r="P63" s="234">
        <v>8.2777777777777803</v>
      </c>
      <c r="Q63" s="234">
        <v>3.1536000000000002E-2</v>
      </c>
      <c r="R63" s="234">
        <v>0.96</v>
      </c>
      <c r="S63" s="234">
        <v>1</v>
      </c>
      <c r="T63" s="234">
        <v>25</v>
      </c>
      <c r="U63" s="234">
        <v>1</v>
      </c>
      <c r="V63" s="234">
        <v>90</v>
      </c>
      <c r="W63" s="234">
        <v>16</v>
      </c>
      <c r="X63" s="234">
        <v>1</v>
      </c>
      <c r="Y63" s="234">
        <v>12.15</v>
      </c>
      <c r="Z63" s="234">
        <v>2</v>
      </c>
      <c r="AA63" s="234">
        <v>27</v>
      </c>
      <c r="AB63" s="234" t="s">
        <v>488</v>
      </c>
      <c r="AC63" s="234" t="s">
        <v>64</v>
      </c>
      <c r="AD63" s="234" t="s">
        <v>433</v>
      </c>
      <c r="AE63" s="234" t="s">
        <v>479</v>
      </c>
      <c r="AF63" s="234" t="s">
        <v>204</v>
      </c>
      <c r="AG63" s="234" t="s">
        <v>441</v>
      </c>
      <c r="AH63" s="234" t="s">
        <v>435</v>
      </c>
      <c r="AJ63" s="234" t="s">
        <v>436</v>
      </c>
      <c r="AK63" s="234">
        <v>0.96</v>
      </c>
      <c r="AL63" s="234" t="s">
        <v>437</v>
      </c>
      <c r="AM63" s="234">
        <v>3</v>
      </c>
    </row>
    <row r="64" spans="2:39" x14ac:dyDescent="0.3">
      <c r="E64" s="234" t="s">
        <v>32</v>
      </c>
      <c r="F64" s="234" t="s">
        <v>172</v>
      </c>
      <c r="G64" s="234" t="s">
        <v>383</v>
      </c>
      <c r="I64" s="234">
        <v>0.14199999999999999</v>
      </c>
      <c r="L64" s="234">
        <v>5.5555555555555598</v>
      </c>
      <c r="M64" s="234">
        <v>1</v>
      </c>
      <c r="N64" s="234">
        <v>50.66</v>
      </c>
      <c r="O64" s="234">
        <v>2.37059</v>
      </c>
      <c r="P64" s="234">
        <v>8.2777777777777803</v>
      </c>
      <c r="R64" s="234">
        <v>0.96</v>
      </c>
      <c r="T64" s="234">
        <v>25</v>
      </c>
      <c r="U64" s="234">
        <v>1</v>
      </c>
      <c r="V64" s="234">
        <v>72</v>
      </c>
      <c r="W64" s="234">
        <v>11</v>
      </c>
      <c r="X64" s="234">
        <v>1</v>
      </c>
      <c r="Y64" s="234">
        <v>9.7199999999999704</v>
      </c>
      <c r="Z64" s="234">
        <v>0.3</v>
      </c>
      <c r="AA64" s="234">
        <v>27</v>
      </c>
      <c r="AB64" s="234" t="s">
        <v>488</v>
      </c>
      <c r="AC64" s="234" t="s">
        <v>64</v>
      </c>
      <c r="AD64" s="234" t="s">
        <v>433</v>
      </c>
      <c r="AE64" s="234" t="s">
        <v>479</v>
      </c>
      <c r="AF64" s="234" t="s">
        <v>204</v>
      </c>
      <c r="AG64" s="234" t="s">
        <v>441</v>
      </c>
      <c r="AH64" s="234" t="s">
        <v>435</v>
      </c>
      <c r="AJ64" s="234" t="s">
        <v>436</v>
      </c>
      <c r="AK64" s="234">
        <v>0.96</v>
      </c>
      <c r="AL64" s="234" t="s">
        <v>437</v>
      </c>
      <c r="AM64" s="234">
        <v>3</v>
      </c>
    </row>
    <row r="65" spans="2:39" x14ac:dyDescent="0.3">
      <c r="F65" s="234" t="s">
        <v>172</v>
      </c>
      <c r="G65" s="234" t="s">
        <v>384</v>
      </c>
      <c r="I65" s="234">
        <v>0.14299999999999999</v>
      </c>
      <c r="L65" s="234">
        <v>5.5555555555555598</v>
      </c>
      <c r="M65" s="234">
        <v>1</v>
      </c>
      <c r="N65" s="234">
        <v>47.68</v>
      </c>
      <c r="O65" s="234">
        <v>2.28566</v>
      </c>
      <c r="P65" s="234">
        <v>8.2777777777777803</v>
      </c>
      <c r="R65" s="234">
        <v>0.96</v>
      </c>
      <c r="T65" s="234">
        <v>25</v>
      </c>
      <c r="U65" s="234">
        <v>1</v>
      </c>
      <c r="V65" s="234">
        <v>55</v>
      </c>
      <c r="W65" s="234">
        <v>8</v>
      </c>
      <c r="X65" s="234">
        <v>1</v>
      </c>
      <c r="Y65" s="234">
        <v>2.4300000000000099</v>
      </c>
      <c r="Z65" s="234">
        <v>0.3</v>
      </c>
      <c r="AA65" s="234">
        <v>27</v>
      </c>
      <c r="AB65" s="234" t="s">
        <v>488</v>
      </c>
      <c r="AC65" s="234" t="s">
        <v>64</v>
      </c>
      <c r="AD65" s="234" t="s">
        <v>433</v>
      </c>
      <c r="AE65" s="234" t="s">
        <v>479</v>
      </c>
      <c r="AF65" s="234" t="s">
        <v>204</v>
      </c>
      <c r="AG65" s="234" t="s">
        <v>441</v>
      </c>
      <c r="AH65" s="234" t="s">
        <v>435</v>
      </c>
      <c r="AJ65" s="234" t="s">
        <v>436</v>
      </c>
      <c r="AK65" s="234">
        <v>0.96</v>
      </c>
      <c r="AL65" s="234" t="s">
        <v>437</v>
      </c>
      <c r="AM65" s="234">
        <v>3</v>
      </c>
    </row>
    <row r="66" spans="2:39" x14ac:dyDescent="0.3">
      <c r="F66" s="234" t="s">
        <v>172</v>
      </c>
      <c r="G66" s="234" t="s">
        <v>385</v>
      </c>
      <c r="I66" s="234">
        <v>0.14099999999999999</v>
      </c>
      <c r="L66" s="234">
        <v>5.5555555555555598</v>
      </c>
      <c r="M66" s="234">
        <v>1</v>
      </c>
      <c r="N66" s="234">
        <v>46.19</v>
      </c>
      <c r="O66" s="234">
        <v>2.2201</v>
      </c>
      <c r="P66" s="234">
        <v>8.2777777777777803</v>
      </c>
      <c r="R66" s="234">
        <v>0.96</v>
      </c>
      <c r="T66" s="234">
        <v>25</v>
      </c>
      <c r="U66" s="234">
        <v>1</v>
      </c>
      <c r="V66" s="234">
        <v>44</v>
      </c>
      <c r="W66" s="234">
        <v>4</v>
      </c>
      <c r="X66" s="234">
        <v>1</v>
      </c>
      <c r="Y66" s="234">
        <v>0.54000000000002002</v>
      </c>
      <c r="Z66" s="234">
        <v>0.3</v>
      </c>
      <c r="AA66" s="234">
        <v>27</v>
      </c>
      <c r="AB66" s="234" t="s">
        <v>488</v>
      </c>
      <c r="AC66" s="234" t="s">
        <v>64</v>
      </c>
      <c r="AD66" s="234" t="s">
        <v>433</v>
      </c>
      <c r="AE66" s="234" t="s">
        <v>479</v>
      </c>
      <c r="AF66" s="234" t="s">
        <v>204</v>
      </c>
      <c r="AG66" s="234" t="s">
        <v>441</v>
      </c>
      <c r="AH66" s="234" t="s">
        <v>435</v>
      </c>
      <c r="AJ66" s="234" t="s">
        <v>436</v>
      </c>
      <c r="AK66" s="234">
        <v>0.96</v>
      </c>
      <c r="AL66" s="234" t="s">
        <v>437</v>
      </c>
      <c r="AM66" s="234">
        <v>3</v>
      </c>
    </row>
    <row r="67" spans="2:39" x14ac:dyDescent="0.3">
      <c r="B67" s="234" t="s">
        <v>489</v>
      </c>
      <c r="C67" s="234" t="s">
        <v>490</v>
      </c>
      <c r="D67" s="234" t="s">
        <v>38</v>
      </c>
      <c r="E67" s="234" t="s">
        <v>32</v>
      </c>
      <c r="F67" s="234" t="s">
        <v>172</v>
      </c>
      <c r="G67" s="234" t="s">
        <v>375</v>
      </c>
      <c r="H67" s="234">
        <v>2020</v>
      </c>
      <c r="I67" s="234">
        <v>1.149</v>
      </c>
      <c r="N67" s="234">
        <v>5.2149999999999999</v>
      </c>
      <c r="O67" s="234">
        <v>0.24435999999999999</v>
      </c>
      <c r="P67" s="234">
        <v>2.0694444444444402</v>
      </c>
      <c r="Q67" s="234">
        <v>3.1536000000000002E-2</v>
      </c>
      <c r="R67" s="234">
        <v>0.97</v>
      </c>
      <c r="S67" s="234">
        <v>1</v>
      </c>
      <c r="T67" s="234">
        <v>25</v>
      </c>
      <c r="U67" s="234">
        <v>1</v>
      </c>
      <c r="V67" s="234">
        <v>90</v>
      </c>
      <c r="W67" s="234">
        <v>16</v>
      </c>
      <c r="X67" s="234">
        <v>4</v>
      </c>
      <c r="Y67" s="234">
        <v>5.3999999999999799</v>
      </c>
      <c r="Z67" s="234">
        <v>2</v>
      </c>
      <c r="AA67" s="234">
        <v>28</v>
      </c>
      <c r="AB67" s="234" t="s">
        <v>491</v>
      </c>
      <c r="AC67" s="234" t="s">
        <v>160</v>
      </c>
      <c r="AD67" s="234" t="s">
        <v>473</v>
      </c>
      <c r="AE67" s="234" t="s">
        <v>157</v>
      </c>
      <c r="AF67" s="234" t="s">
        <v>140</v>
      </c>
      <c r="AG67" s="234" t="s">
        <v>441</v>
      </c>
      <c r="AH67" s="234" t="s">
        <v>474</v>
      </c>
      <c r="AJ67" s="234" t="s">
        <v>475</v>
      </c>
      <c r="AK67" s="234">
        <v>0.97</v>
      </c>
      <c r="AL67" s="234" t="s">
        <v>437</v>
      </c>
      <c r="AM67" s="234">
        <v>1</v>
      </c>
    </row>
    <row r="68" spans="2:39" x14ac:dyDescent="0.3">
      <c r="F68" s="234" t="s">
        <v>172</v>
      </c>
      <c r="G68" s="234" t="s">
        <v>383</v>
      </c>
      <c r="I68" s="234">
        <v>1.149</v>
      </c>
      <c r="N68" s="234">
        <v>5.0659999999999998</v>
      </c>
      <c r="O68" s="234">
        <v>0.23988999999999999</v>
      </c>
      <c r="P68" s="234">
        <v>2.0694444444444402</v>
      </c>
      <c r="R68" s="234">
        <v>0.97</v>
      </c>
      <c r="T68" s="234">
        <v>25</v>
      </c>
      <c r="U68" s="234">
        <v>1</v>
      </c>
      <c r="V68" s="234">
        <v>63</v>
      </c>
      <c r="W68" s="234">
        <v>11</v>
      </c>
      <c r="X68" s="234">
        <v>3</v>
      </c>
      <c r="Y68" s="234">
        <v>5.3999999999999799</v>
      </c>
      <c r="Z68" s="234">
        <v>0.3</v>
      </c>
      <c r="AA68" s="234">
        <v>28</v>
      </c>
      <c r="AB68" s="234" t="s">
        <v>491</v>
      </c>
      <c r="AC68" s="234" t="s">
        <v>160</v>
      </c>
      <c r="AD68" s="234" t="s">
        <v>473</v>
      </c>
      <c r="AE68" s="234" t="s">
        <v>157</v>
      </c>
      <c r="AF68" s="234" t="s">
        <v>140</v>
      </c>
      <c r="AG68" s="234" t="s">
        <v>441</v>
      </c>
      <c r="AH68" s="234" t="s">
        <v>474</v>
      </c>
      <c r="AJ68" s="234" t="s">
        <v>475</v>
      </c>
      <c r="AK68" s="234">
        <v>0.97</v>
      </c>
      <c r="AL68" s="234" t="s">
        <v>437</v>
      </c>
      <c r="AM68" s="234">
        <v>1</v>
      </c>
    </row>
    <row r="69" spans="2:39" x14ac:dyDescent="0.3">
      <c r="F69" s="234" t="s">
        <v>172</v>
      </c>
      <c r="G69" s="234" t="s">
        <v>384</v>
      </c>
      <c r="I69" s="234">
        <v>1.149</v>
      </c>
      <c r="N69" s="234">
        <v>4.8425000000000002</v>
      </c>
      <c r="O69" s="234">
        <v>0.23244000000000001</v>
      </c>
      <c r="P69" s="234">
        <v>2.0694444444444402</v>
      </c>
      <c r="R69" s="234">
        <v>0.97</v>
      </c>
      <c r="T69" s="234">
        <v>25</v>
      </c>
      <c r="U69" s="234">
        <v>1</v>
      </c>
      <c r="V69" s="234">
        <v>49</v>
      </c>
      <c r="W69" s="234">
        <v>8</v>
      </c>
      <c r="X69" s="234">
        <v>3</v>
      </c>
      <c r="Y69" s="234">
        <v>5.3999999999999799</v>
      </c>
      <c r="Z69" s="234">
        <v>0.3</v>
      </c>
      <c r="AA69" s="234">
        <v>28</v>
      </c>
      <c r="AB69" s="234" t="s">
        <v>491</v>
      </c>
      <c r="AC69" s="234" t="s">
        <v>160</v>
      </c>
      <c r="AD69" s="234" t="s">
        <v>473</v>
      </c>
      <c r="AE69" s="234" t="s">
        <v>157</v>
      </c>
      <c r="AF69" s="234" t="s">
        <v>140</v>
      </c>
      <c r="AG69" s="234" t="s">
        <v>441</v>
      </c>
      <c r="AH69" s="234" t="s">
        <v>474</v>
      </c>
      <c r="AJ69" s="234" t="s">
        <v>475</v>
      </c>
      <c r="AK69" s="234">
        <v>0.97</v>
      </c>
      <c r="AL69" s="234" t="s">
        <v>437</v>
      </c>
      <c r="AM69" s="234">
        <v>1</v>
      </c>
    </row>
    <row r="70" spans="2:39" x14ac:dyDescent="0.3">
      <c r="F70" s="234" t="s">
        <v>172</v>
      </c>
      <c r="G70" s="234" t="s">
        <v>385</v>
      </c>
      <c r="I70" s="234">
        <v>1.149</v>
      </c>
      <c r="N70" s="234">
        <v>4.3955000000000002</v>
      </c>
      <c r="O70" s="234">
        <v>0.21828500000000001</v>
      </c>
      <c r="P70" s="234">
        <v>2.0694444444444402</v>
      </c>
      <c r="R70" s="234">
        <v>0.97</v>
      </c>
      <c r="T70" s="234">
        <v>25</v>
      </c>
      <c r="U70" s="234">
        <v>1</v>
      </c>
      <c r="V70" s="234">
        <v>41</v>
      </c>
      <c r="W70" s="234">
        <v>4</v>
      </c>
      <c r="X70" s="234">
        <v>1</v>
      </c>
      <c r="Y70" s="234">
        <v>5.3999999999999799</v>
      </c>
      <c r="Z70" s="234">
        <v>0.3</v>
      </c>
      <c r="AA70" s="234">
        <v>28</v>
      </c>
      <c r="AB70" s="234" t="s">
        <v>491</v>
      </c>
      <c r="AC70" s="234" t="s">
        <v>160</v>
      </c>
      <c r="AD70" s="234" t="s">
        <v>473</v>
      </c>
      <c r="AE70" s="234" t="s">
        <v>157</v>
      </c>
      <c r="AF70" s="234" t="s">
        <v>140</v>
      </c>
      <c r="AG70" s="234" t="s">
        <v>441</v>
      </c>
      <c r="AH70" s="234" t="s">
        <v>474</v>
      </c>
      <c r="AJ70" s="234" t="s">
        <v>475</v>
      </c>
      <c r="AK70" s="234">
        <v>0.97</v>
      </c>
      <c r="AL70" s="234" t="s">
        <v>437</v>
      </c>
      <c r="AM70" s="234">
        <v>1</v>
      </c>
    </row>
    <row r="71" spans="2:39" x14ac:dyDescent="0.3">
      <c r="B71" s="234" t="s">
        <v>492</v>
      </c>
      <c r="C71" s="234" t="s">
        <v>493</v>
      </c>
      <c r="D71" s="234" t="s">
        <v>38</v>
      </c>
      <c r="E71" s="234" t="s">
        <v>28</v>
      </c>
      <c r="F71" s="234" t="s">
        <v>172</v>
      </c>
      <c r="G71" s="234" t="s">
        <v>375</v>
      </c>
      <c r="H71" s="234">
        <v>2020</v>
      </c>
      <c r="I71" s="234">
        <v>0.27900000000000003</v>
      </c>
      <c r="L71" s="234">
        <v>2.7777777777777799</v>
      </c>
      <c r="M71" s="234">
        <v>1</v>
      </c>
      <c r="N71" s="234">
        <v>26.074999999999999</v>
      </c>
      <c r="O71" s="234">
        <v>0.74872499999999997</v>
      </c>
      <c r="P71" s="234">
        <v>7.8638888888888898</v>
      </c>
      <c r="Q71" s="234">
        <v>3.1536000000000002E-2</v>
      </c>
      <c r="R71" s="234">
        <v>0.97</v>
      </c>
      <c r="S71" s="234">
        <v>1</v>
      </c>
      <c r="T71" s="234">
        <v>25</v>
      </c>
      <c r="U71" s="234">
        <v>5</v>
      </c>
      <c r="V71" s="234">
        <v>30</v>
      </c>
      <c r="W71" s="234">
        <v>3</v>
      </c>
      <c r="X71" s="234">
        <v>10</v>
      </c>
      <c r="Y71" s="234">
        <v>5.3999999999999799</v>
      </c>
      <c r="Z71" s="234">
        <v>0.3</v>
      </c>
      <c r="AA71" s="234">
        <v>19</v>
      </c>
      <c r="AB71" s="234" t="s">
        <v>494</v>
      </c>
      <c r="AC71" s="234" t="s">
        <v>64</v>
      </c>
      <c r="AD71" s="234" t="s">
        <v>433</v>
      </c>
      <c r="AE71" s="234" t="s">
        <v>157</v>
      </c>
      <c r="AF71" s="234" t="s">
        <v>140</v>
      </c>
      <c r="AG71" s="234" t="s">
        <v>434</v>
      </c>
      <c r="AH71" s="234" t="s">
        <v>435</v>
      </c>
      <c r="AJ71" s="234" t="s">
        <v>436</v>
      </c>
      <c r="AK71" s="234">
        <v>0.97</v>
      </c>
      <c r="AL71" s="234" t="s">
        <v>437</v>
      </c>
      <c r="AM71" s="234">
        <v>1</v>
      </c>
    </row>
    <row r="72" spans="2:39" x14ac:dyDescent="0.3">
      <c r="E72" s="234" t="s">
        <v>32</v>
      </c>
      <c r="F72" s="234" t="s">
        <v>172</v>
      </c>
      <c r="G72" s="234" t="s">
        <v>383</v>
      </c>
      <c r="I72" s="234">
        <v>0.28000000000000003</v>
      </c>
      <c r="L72" s="234">
        <v>2.7777777777777799</v>
      </c>
      <c r="M72" s="234">
        <v>1</v>
      </c>
      <c r="N72" s="234">
        <v>25.33</v>
      </c>
      <c r="O72" s="234">
        <v>0.72711999999999999</v>
      </c>
      <c r="P72" s="234">
        <v>7.8638888888888898</v>
      </c>
      <c r="R72" s="234">
        <v>0.97</v>
      </c>
      <c r="T72" s="234">
        <v>25</v>
      </c>
      <c r="U72" s="234">
        <v>5</v>
      </c>
      <c r="V72" s="234">
        <v>24</v>
      </c>
      <c r="W72" s="234">
        <v>2</v>
      </c>
      <c r="X72" s="234">
        <v>8</v>
      </c>
      <c r="Y72" s="234">
        <v>5.3999999999999799</v>
      </c>
      <c r="Z72" s="234">
        <v>0.3</v>
      </c>
      <c r="AA72" s="234">
        <v>19</v>
      </c>
      <c r="AB72" s="234" t="s">
        <v>494</v>
      </c>
      <c r="AC72" s="234" t="s">
        <v>64</v>
      </c>
      <c r="AD72" s="234" t="s">
        <v>433</v>
      </c>
      <c r="AE72" s="234" t="s">
        <v>157</v>
      </c>
      <c r="AF72" s="234" t="s">
        <v>140</v>
      </c>
      <c r="AG72" s="234" t="s">
        <v>434</v>
      </c>
      <c r="AH72" s="234" t="s">
        <v>435</v>
      </c>
      <c r="AJ72" s="234" t="s">
        <v>436</v>
      </c>
      <c r="AK72" s="234">
        <v>0.97</v>
      </c>
      <c r="AL72" s="234" t="s">
        <v>437</v>
      </c>
      <c r="AM72" s="234">
        <v>1</v>
      </c>
    </row>
    <row r="73" spans="2:39" x14ac:dyDescent="0.3">
      <c r="F73" s="234" t="s">
        <v>172</v>
      </c>
      <c r="G73" s="234" t="s">
        <v>384</v>
      </c>
      <c r="I73" s="234">
        <v>0.28100000000000003</v>
      </c>
      <c r="L73" s="234">
        <v>2.7777777777777799</v>
      </c>
      <c r="M73" s="234">
        <v>1</v>
      </c>
      <c r="N73" s="234">
        <v>23.84</v>
      </c>
      <c r="O73" s="234">
        <v>0.687635</v>
      </c>
      <c r="P73" s="234">
        <v>7.6569444444444503</v>
      </c>
      <c r="R73" s="234">
        <v>0.97</v>
      </c>
      <c r="T73" s="234">
        <v>25</v>
      </c>
      <c r="U73" s="234">
        <v>5</v>
      </c>
      <c r="V73" s="234">
        <v>20</v>
      </c>
      <c r="W73" s="234">
        <v>2</v>
      </c>
      <c r="X73" s="234">
        <v>6</v>
      </c>
      <c r="Y73" s="234">
        <v>5.3999999999999799</v>
      </c>
      <c r="Z73" s="234">
        <v>0.3</v>
      </c>
      <c r="AA73" s="234">
        <v>19</v>
      </c>
      <c r="AB73" s="234" t="s">
        <v>494</v>
      </c>
      <c r="AC73" s="234" t="s">
        <v>64</v>
      </c>
      <c r="AD73" s="234" t="s">
        <v>433</v>
      </c>
      <c r="AE73" s="234" t="s">
        <v>157</v>
      </c>
      <c r="AF73" s="234" t="s">
        <v>140</v>
      </c>
      <c r="AG73" s="234" t="s">
        <v>434</v>
      </c>
      <c r="AH73" s="234" t="s">
        <v>435</v>
      </c>
      <c r="AJ73" s="234" t="s">
        <v>436</v>
      </c>
      <c r="AK73" s="234">
        <v>0.97</v>
      </c>
      <c r="AL73" s="234" t="s">
        <v>437</v>
      </c>
      <c r="AM73" s="234">
        <v>1</v>
      </c>
    </row>
    <row r="74" spans="2:39" x14ac:dyDescent="0.3">
      <c r="F74" s="234" t="s">
        <v>172</v>
      </c>
      <c r="G74" s="234" t="s">
        <v>385</v>
      </c>
      <c r="I74" s="234">
        <v>0.27600000000000002</v>
      </c>
      <c r="L74" s="234">
        <v>2.8571428571428599</v>
      </c>
      <c r="M74" s="234">
        <v>1</v>
      </c>
      <c r="N74" s="234">
        <v>22.35</v>
      </c>
      <c r="O74" s="234">
        <v>0.64293500000000003</v>
      </c>
      <c r="P74" s="234">
        <v>7.8638888888888898</v>
      </c>
      <c r="R74" s="234">
        <v>0.97</v>
      </c>
      <c r="T74" s="234">
        <v>25</v>
      </c>
      <c r="U74" s="234">
        <v>5</v>
      </c>
      <c r="V74" s="234">
        <v>12</v>
      </c>
      <c r="W74" s="234">
        <v>1</v>
      </c>
      <c r="X74" s="234">
        <v>5</v>
      </c>
      <c r="Y74" s="234">
        <v>5.3999999999999799</v>
      </c>
      <c r="Z74" s="234">
        <v>0.3</v>
      </c>
      <c r="AA74" s="234">
        <v>19</v>
      </c>
      <c r="AB74" s="234" t="s">
        <v>494</v>
      </c>
      <c r="AC74" s="234" t="s">
        <v>64</v>
      </c>
      <c r="AD74" s="234" t="s">
        <v>433</v>
      </c>
      <c r="AE74" s="234" t="s">
        <v>157</v>
      </c>
      <c r="AF74" s="234" t="s">
        <v>140</v>
      </c>
      <c r="AG74" s="234" t="s">
        <v>434</v>
      </c>
      <c r="AH74" s="234" t="s">
        <v>435</v>
      </c>
      <c r="AJ74" s="234" t="s">
        <v>436</v>
      </c>
      <c r="AK74" s="234">
        <v>0.97</v>
      </c>
      <c r="AL74" s="234" t="s">
        <v>437</v>
      </c>
      <c r="AM74" s="234">
        <v>1</v>
      </c>
    </row>
    <row r="75" spans="2:39" x14ac:dyDescent="0.3">
      <c r="B75" s="234" t="s">
        <v>495</v>
      </c>
      <c r="C75" s="234" t="s">
        <v>496</v>
      </c>
      <c r="D75" s="234" t="s">
        <v>38</v>
      </c>
      <c r="E75" s="234" t="s">
        <v>28</v>
      </c>
      <c r="F75" s="234" t="s">
        <v>172</v>
      </c>
      <c r="G75" s="234" t="s">
        <v>375</v>
      </c>
      <c r="H75" s="234">
        <v>2020</v>
      </c>
      <c r="I75" s="234">
        <v>0.27400000000000002</v>
      </c>
      <c r="L75" s="234">
        <v>2.8571428571428599</v>
      </c>
      <c r="M75" s="234">
        <v>1</v>
      </c>
      <c r="N75" s="234">
        <v>27.565000000000001</v>
      </c>
      <c r="O75" s="234">
        <v>1.18008</v>
      </c>
      <c r="P75" s="234">
        <v>7.8638888888888898</v>
      </c>
      <c r="Q75" s="234">
        <v>3.1536000000000002E-2</v>
      </c>
      <c r="R75" s="234">
        <v>0.97</v>
      </c>
      <c r="S75" s="234">
        <v>1</v>
      </c>
      <c r="T75" s="234">
        <v>25</v>
      </c>
      <c r="U75" s="234">
        <v>2.5</v>
      </c>
      <c r="V75" s="234">
        <v>90</v>
      </c>
      <c r="W75" s="234">
        <v>3</v>
      </c>
      <c r="X75" s="234">
        <v>1</v>
      </c>
      <c r="Y75" s="234">
        <v>5.3999999999999799</v>
      </c>
      <c r="Z75" s="234">
        <v>2</v>
      </c>
      <c r="AA75" s="234">
        <v>20</v>
      </c>
      <c r="AB75" s="234" t="s">
        <v>497</v>
      </c>
      <c r="AC75" s="234" t="s">
        <v>64</v>
      </c>
      <c r="AD75" s="234" t="s">
        <v>433</v>
      </c>
      <c r="AE75" s="234" t="s">
        <v>157</v>
      </c>
      <c r="AF75" s="234" t="s">
        <v>140</v>
      </c>
      <c r="AG75" s="234" t="s">
        <v>441</v>
      </c>
      <c r="AH75" s="234" t="s">
        <v>435</v>
      </c>
      <c r="AJ75" s="234" t="s">
        <v>436</v>
      </c>
      <c r="AK75" s="234">
        <v>0.97</v>
      </c>
      <c r="AL75" s="234" t="s">
        <v>437</v>
      </c>
      <c r="AM75" s="234">
        <v>2</v>
      </c>
    </row>
    <row r="76" spans="2:39" x14ac:dyDescent="0.3">
      <c r="E76" s="234" t="s">
        <v>32</v>
      </c>
      <c r="F76" s="234" t="s">
        <v>172</v>
      </c>
      <c r="G76" s="234" t="s">
        <v>383</v>
      </c>
      <c r="I76" s="234">
        <v>0.27400000000000002</v>
      </c>
      <c r="L76" s="234">
        <v>2.8571428571428599</v>
      </c>
      <c r="M76" s="234">
        <v>1</v>
      </c>
      <c r="N76" s="234">
        <v>26.82</v>
      </c>
      <c r="O76" s="234">
        <v>1.14432</v>
      </c>
      <c r="P76" s="234">
        <v>7.8638888888888898</v>
      </c>
      <c r="R76" s="234">
        <v>0.97</v>
      </c>
      <c r="T76" s="234">
        <v>25</v>
      </c>
      <c r="U76" s="234">
        <v>2.5</v>
      </c>
      <c r="V76" s="234">
        <v>72</v>
      </c>
      <c r="W76" s="234">
        <v>2</v>
      </c>
      <c r="X76" s="234">
        <v>1</v>
      </c>
      <c r="Y76" s="234">
        <v>5.3999999999999799</v>
      </c>
      <c r="Z76" s="234">
        <v>0.3</v>
      </c>
      <c r="AA76" s="234">
        <v>20</v>
      </c>
      <c r="AB76" s="234" t="s">
        <v>497</v>
      </c>
      <c r="AC76" s="234" t="s">
        <v>64</v>
      </c>
      <c r="AD76" s="234" t="s">
        <v>433</v>
      </c>
      <c r="AE76" s="234" t="s">
        <v>157</v>
      </c>
      <c r="AF76" s="234" t="s">
        <v>140</v>
      </c>
      <c r="AG76" s="234" t="s">
        <v>441</v>
      </c>
      <c r="AH76" s="234" t="s">
        <v>435</v>
      </c>
      <c r="AJ76" s="234" t="s">
        <v>436</v>
      </c>
      <c r="AK76" s="234">
        <v>0.97</v>
      </c>
      <c r="AL76" s="234" t="s">
        <v>437</v>
      </c>
      <c r="AM76" s="234">
        <v>2</v>
      </c>
    </row>
    <row r="77" spans="2:39" x14ac:dyDescent="0.3">
      <c r="F77" s="234" t="s">
        <v>172</v>
      </c>
      <c r="G77" s="234" t="s">
        <v>384</v>
      </c>
      <c r="I77" s="234">
        <v>0.27500000000000002</v>
      </c>
      <c r="L77" s="234">
        <v>2.8571428571428599</v>
      </c>
      <c r="M77" s="234">
        <v>1</v>
      </c>
      <c r="N77" s="234">
        <v>26.074999999999999</v>
      </c>
      <c r="O77" s="234">
        <v>1.0728</v>
      </c>
      <c r="P77" s="234">
        <v>7.8638888888888898</v>
      </c>
      <c r="R77" s="234">
        <v>0.97</v>
      </c>
      <c r="T77" s="234">
        <v>25</v>
      </c>
      <c r="U77" s="234">
        <v>2.5</v>
      </c>
      <c r="V77" s="234">
        <v>41</v>
      </c>
      <c r="W77" s="234">
        <v>2</v>
      </c>
      <c r="X77" s="234">
        <v>1</v>
      </c>
      <c r="Y77" s="234">
        <v>5.3999999999999799</v>
      </c>
      <c r="Z77" s="234">
        <v>0.3</v>
      </c>
      <c r="AA77" s="234">
        <v>20</v>
      </c>
      <c r="AB77" s="234" t="s">
        <v>497</v>
      </c>
      <c r="AC77" s="234" t="s">
        <v>64</v>
      </c>
      <c r="AD77" s="234" t="s">
        <v>433</v>
      </c>
      <c r="AE77" s="234" t="s">
        <v>157</v>
      </c>
      <c r="AF77" s="234" t="s">
        <v>140</v>
      </c>
      <c r="AG77" s="234" t="s">
        <v>441</v>
      </c>
      <c r="AH77" s="234" t="s">
        <v>435</v>
      </c>
      <c r="AJ77" s="234" t="s">
        <v>436</v>
      </c>
      <c r="AK77" s="234">
        <v>0.97</v>
      </c>
      <c r="AL77" s="234" t="s">
        <v>437</v>
      </c>
      <c r="AM77" s="234">
        <v>2</v>
      </c>
    </row>
    <row r="78" spans="2:39" x14ac:dyDescent="0.3">
      <c r="F78" s="234" t="s">
        <v>172</v>
      </c>
      <c r="G78" s="234" t="s">
        <v>385</v>
      </c>
      <c r="I78" s="234">
        <v>0.27</v>
      </c>
      <c r="L78" s="234">
        <v>2.8571428571428599</v>
      </c>
      <c r="M78" s="234">
        <v>1</v>
      </c>
      <c r="N78" s="234">
        <v>24.585000000000001</v>
      </c>
      <c r="O78" s="234">
        <v>0.98936000000000002</v>
      </c>
      <c r="P78" s="234">
        <v>8.0708333333333293</v>
      </c>
      <c r="R78" s="234">
        <v>0.97</v>
      </c>
      <c r="T78" s="234">
        <v>25</v>
      </c>
      <c r="U78" s="234">
        <v>2.5</v>
      </c>
      <c r="V78" s="234">
        <v>24</v>
      </c>
      <c r="W78" s="234">
        <v>1</v>
      </c>
      <c r="X78" s="234">
        <v>1</v>
      </c>
      <c r="Y78" s="234">
        <v>5.3999999999999799</v>
      </c>
      <c r="Z78" s="234">
        <v>0.3</v>
      </c>
      <c r="AA78" s="234">
        <v>20</v>
      </c>
      <c r="AB78" s="234" t="s">
        <v>497</v>
      </c>
      <c r="AC78" s="234" t="s">
        <v>64</v>
      </c>
      <c r="AD78" s="234" t="s">
        <v>433</v>
      </c>
      <c r="AE78" s="234" t="s">
        <v>157</v>
      </c>
      <c r="AF78" s="234" t="s">
        <v>140</v>
      </c>
      <c r="AG78" s="234" t="s">
        <v>441</v>
      </c>
      <c r="AH78" s="234" t="s">
        <v>435</v>
      </c>
      <c r="AJ78" s="234" t="s">
        <v>436</v>
      </c>
      <c r="AK78" s="234">
        <v>0.97</v>
      </c>
      <c r="AL78" s="234" t="s">
        <v>437</v>
      </c>
      <c r="AM78" s="234">
        <v>2</v>
      </c>
    </row>
    <row r="79" spans="2:39" x14ac:dyDescent="0.3">
      <c r="B79" s="234" t="s">
        <v>498</v>
      </c>
      <c r="C79" s="234" t="s">
        <v>499</v>
      </c>
      <c r="D79" s="234" t="s">
        <v>38</v>
      </c>
      <c r="E79" s="234" t="s">
        <v>28</v>
      </c>
      <c r="F79" s="234" t="s">
        <v>172</v>
      </c>
      <c r="G79" s="234" t="s">
        <v>375</v>
      </c>
      <c r="H79" s="234">
        <v>2020</v>
      </c>
      <c r="I79" s="234">
        <v>0.13500000000000001</v>
      </c>
      <c r="L79" s="234">
        <v>6.6666666666666696</v>
      </c>
      <c r="M79" s="234">
        <v>1</v>
      </c>
      <c r="N79" s="234">
        <v>49.914999999999999</v>
      </c>
      <c r="O79" s="234">
        <v>2.180615</v>
      </c>
      <c r="P79" s="234">
        <v>16.141666666666701</v>
      </c>
      <c r="Q79" s="234">
        <v>3.1536000000000002E-2</v>
      </c>
      <c r="R79" s="234">
        <v>0.97</v>
      </c>
      <c r="S79" s="234">
        <v>1</v>
      </c>
      <c r="T79" s="234">
        <v>25</v>
      </c>
      <c r="U79" s="234">
        <v>1</v>
      </c>
      <c r="V79" s="234">
        <v>90</v>
      </c>
      <c r="W79" s="234">
        <v>16</v>
      </c>
      <c r="X79" s="234">
        <v>1</v>
      </c>
      <c r="Y79" s="234">
        <v>5.3999999999999799</v>
      </c>
      <c r="Z79" s="234">
        <v>2</v>
      </c>
      <c r="AA79" s="234">
        <v>21</v>
      </c>
      <c r="AB79" s="234" t="s">
        <v>500</v>
      </c>
      <c r="AC79" s="234" t="s">
        <v>64</v>
      </c>
      <c r="AD79" s="234" t="s">
        <v>433</v>
      </c>
      <c r="AE79" s="234" t="s">
        <v>157</v>
      </c>
      <c r="AF79" s="234" t="s">
        <v>140</v>
      </c>
      <c r="AG79" s="234" t="s">
        <v>441</v>
      </c>
      <c r="AH79" s="234" t="s">
        <v>435</v>
      </c>
      <c r="AJ79" s="234" t="s">
        <v>436</v>
      </c>
      <c r="AK79" s="234">
        <v>0.97</v>
      </c>
      <c r="AL79" s="234" t="s">
        <v>437</v>
      </c>
      <c r="AM79" s="234">
        <v>3</v>
      </c>
    </row>
    <row r="80" spans="2:39" x14ac:dyDescent="0.3">
      <c r="E80" s="234" t="s">
        <v>32</v>
      </c>
      <c r="F80" s="234" t="s">
        <v>172</v>
      </c>
      <c r="G80" s="234" t="s">
        <v>383</v>
      </c>
      <c r="I80" s="234">
        <v>0.13500000000000001</v>
      </c>
      <c r="L80" s="234">
        <v>6.6666666666666696</v>
      </c>
      <c r="M80" s="234">
        <v>1</v>
      </c>
      <c r="N80" s="234">
        <v>48.424999999999997</v>
      </c>
      <c r="O80" s="234">
        <v>2.1523050000000001</v>
      </c>
      <c r="P80" s="234">
        <v>16.141666666666701</v>
      </c>
      <c r="R80" s="234">
        <v>0.97</v>
      </c>
      <c r="T80" s="234">
        <v>25</v>
      </c>
      <c r="U80" s="234">
        <v>1</v>
      </c>
      <c r="V80" s="234">
        <v>63</v>
      </c>
      <c r="W80" s="234">
        <v>11</v>
      </c>
      <c r="X80" s="234">
        <v>1</v>
      </c>
      <c r="Y80" s="234">
        <v>5.3999999999999799</v>
      </c>
      <c r="Z80" s="234">
        <v>0.3</v>
      </c>
      <c r="AA80" s="234">
        <v>21</v>
      </c>
      <c r="AB80" s="234" t="s">
        <v>500</v>
      </c>
      <c r="AC80" s="234" t="s">
        <v>64</v>
      </c>
      <c r="AD80" s="234" t="s">
        <v>433</v>
      </c>
      <c r="AE80" s="234" t="s">
        <v>157</v>
      </c>
      <c r="AF80" s="234" t="s">
        <v>140</v>
      </c>
      <c r="AG80" s="234" t="s">
        <v>441</v>
      </c>
      <c r="AH80" s="234" t="s">
        <v>435</v>
      </c>
      <c r="AJ80" s="234" t="s">
        <v>436</v>
      </c>
      <c r="AK80" s="234">
        <v>0.97</v>
      </c>
      <c r="AL80" s="234" t="s">
        <v>437</v>
      </c>
      <c r="AM80" s="234">
        <v>3</v>
      </c>
    </row>
    <row r="81" spans="2:39" x14ac:dyDescent="0.3">
      <c r="F81" s="234" t="s">
        <v>172</v>
      </c>
      <c r="G81" s="234" t="s">
        <v>384</v>
      </c>
      <c r="I81" s="234">
        <v>0.13600000000000001</v>
      </c>
      <c r="L81" s="234">
        <v>6.6666666666666696</v>
      </c>
      <c r="M81" s="234">
        <v>1</v>
      </c>
      <c r="N81" s="234">
        <v>46.19</v>
      </c>
      <c r="O81" s="234">
        <v>2.0897250000000001</v>
      </c>
      <c r="P81" s="234">
        <v>15.9347222222222</v>
      </c>
      <c r="R81" s="234">
        <v>0.97</v>
      </c>
      <c r="T81" s="234">
        <v>25</v>
      </c>
      <c r="U81" s="234">
        <v>1</v>
      </c>
      <c r="V81" s="234">
        <v>41</v>
      </c>
      <c r="W81" s="234">
        <v>8</v>
      </c>
      <c r="X81" s="234">
        <v>1</v>
      </c>
      <c r="Y81" s="234">
        <v>5.3999999999999799</v>
      </c>
      <c r="Z81" s="234">
        <v>0.3</v>
      </c>
      <c r="AA81" s="234">
        <v>21</v>
      </c>
      <c r="AB81" s="234" t="s">
        <v>500</v>
      </c>
      <c r="AC81" s="234" t="s">
        <v>64</v>
      </c>
      <c r="AD81" s="234" t="s">
        <v>433</v>
      </c>
      <c r="AE81" s="234" t="s">
        <v>157</v>
      </c>
      <c r="AF81" s="234" t="s">
        <v>140</v>
      </c>
      <c r="AG81" s="234" t="s">
        <v>441</v>
      </c>
      <c r="AH81" s="234" t="s">
        <v>435</v>
      </c>
      <c r="AJ81" s="234" t="s">
        <v>436</v>
      </c>
      <c r="AK81" s="234">
        <v>0.97</v>
      </c>
      <c r="AL81" s="234" t="s">
        <v>437</v>
      </c>
      <c r="AM81" s="234">
        <v>3</v>
      </c>
    </row>
    <row r="82" spans="2:39" x14ac:dyDescent="0.3">
      <c r="F82" s="234" t="s">
        <v>172</v>
      </c>
      <c r="G82" s="234" t="s">
        <v>385</v>
      </c>
      <c r="I82" s="234">
        <v>0.13300000000000001</v>
      </c>
      <c r="L82" s="234">
        <v>7.1428571428571397</v>
      </c>
      <c r="M82" s="234">
        <v>1</v>
      </c>
      <c r="N82" s="234">
        <v>44.7</v>
      </c>
      <c r="O82" s="234">
        <v>2.0703550000000002</v>
      </c>
      <c r="P82" s="234">
        <v>16.348611111111101</v>
      </c>
      <c r="R82" s="234">
        <v>0.97</v>
      </c>
      <c r="T82" s="234">
        <v>25</v>
      </c>
      <c r="U82" s="234">
        <v>1</v>
      </c>
      <c r="V82" s="234">
        <v>32</v>
      </c>
      <c r="W82" s="234">
        <v>4</v>
      </c>
      <c r="X82" s="234">
        <v>1</v>
      </c>
      <c r="Y82" s="234">
        <v>5.3999999999999799</v>
      </c>
      <c r="Z82" s="234">
        <v>0.3</v>
      </c>
      <c r="AA82" s="234">
        <v>21</v>
      </c>
      <c r="AB82" s="234" t="s">
        <v>500</v>
      </c>
      <c r="AC82" s="234" t="s">
        <v>64</v>
      </c>
      <c r="AD82" s="234" t="s">
        <v>433</v>
      </c>
      <c r="AE82" s="234" t="s">
        <v>157</v>
      </c>
      <c r="AF82" s="234" t="s">
        <v>140</v>
      </c>
      <c r="AG82" s="234" t="s">
        <v>441</v>
      </c>
      <c r="AH82" s="234" t="s">
        <v>435</v>
      </c>
      <c r="AJ82" s="234" t="s">
        <v>436</v>
      </c>
      <c r="AK82" s="234">
        <v>0.97</v>
      </c>
      <c r="AL82" s="234" t="s">
        <v>437</v>
      </c>
      <c r="AM82" s="234">
        <v>3</v>
      </c>
    </row>
    <row r="83" spans="2:39" x14ac:dyDescent="0.3">
      <c r="B83" s="234" t="s">
        <v>501</v>
      </c>
      <c r="C83" s="234" t="s">
        <v>502</v>
      </c>
      <c r="D83" s="234" t="s">
        <v>33</v>
      </c>
      <c r="E83" s="234" t="s">
        <v>32</v>
      </c>
      <c r="F83" s="234" t="s">
        <v>172</v>
      </c>
      <c r="G83" s="234" t="s">
        <v>375</v>
      </c>
      <c r="H83" s="234">
        <v>2020</v>
      </c>
      <c r="I83" s="234">
        <v>1.0009999999999999</v>
      </c>
      <c r="N83" s="234">
        <v>5.5129999999999999</v>
      </c>
      <c r="O83" s="234">
        <v>0.25330000000000003</v>
      </c>
      <c r="P83" s="234">
        <v>1.0347222222222201</v>
      </c>
      <c r="Q83" s="234">
        <v>3.1536000000000002E-2</v>
      </c>
      <c r="R83" s="234">
        <v>0.97</v>
      </c>
      <c r="S83" s="234">
        <v>1</v>
      </c>
      <c r="T83" s="234">
        <v>25</v>
      </c>
      <c r="U83" s="234">
        <v>1</v>
      </c>
      <c r="V83" s="234">
        <v>90</v>
      </c>
      <c r="X83" s="234">
        <v>1</v>
      </c>
      <c r="Y83" s="234">
        <v>4.5900000000000301</v>
      </c>
      <c r="Z83" s="234">
        <v>2</v>
      </c>
      <c r="AA83" s="234">
        <v>29</v>
      </c>
      <c r="AB83" s="234" t="s">
        <v>503</v>
      </c>
      <c r="AC83" s="234" t="s">
        <v>160</v>
      </c>
      <c r="AD83" s="234" t="s">
        <v>473</v>
      </c>
      <c r="AE83" s="234" t="s">
        <v>153</v>
      </c>
      <c r="AF83" s="234" t="s">
        <v>139</v>
      </c>
      <c r="AG83" s="234" t="s">
        <v>441</v>
      </c>
      <c r="AH83" s="234" t="s">
        <v>474</v>
      </c>
      <c r="AJ83" s="234" t="s">
        <v>475</v>
      </c>
      <c r="AK83" s="234">
        <v>0.97</v>
      </c>
      <c r="AL83" s="234" t="s">
        <v>437</v>
      </c>
      <c r="AM83" s="234">
        <v>1</v>
      </c>
    </row>
    <row r="84" spans="2:39" x14ac:dyDescent="0.3">
      <c r="F84" s="234" t="s">
        <v>172</v>
      </c>
      <c r="G84" s="234" t="s">
        <v>383</v>
      </c>
      <c r="I84" s="234">
        <v>1.0009999999999999</v>
      </c>
      <c r="N84" s="234">
        <v>5.3639999999999999</v>
      </c>
      <c r="O84" s="234">
        <v>0.24585000000000001</v>
      </c>
      <c r="P84" s="234">
        <v>1.0347222222222201</v>
      </c>
      <c r="R84" s="234">
        <v>0.97</v>
      </c>
      <c r="T84" s="234">
        <v>25</v>
      </c>
      <c r="U84" s="234">
        <v>1</v>
      </c>
      <c r="V84" s="234">
        <v>54</v>
      </c>
      <c r="X84" s="234">
        <v>1</v>
      </c>
      <c r="Y84" s="234">
        <v>4.5900000000000301</v>
      </c>
      <c r="Z84" s="234">
        <v>0.3</v>
      </c>
      <c r="AA84" s="234">
        <v>29</v>
      </c>
      <c r="AB84" s="234" t="s">
        <v>503</v>
      </c>
      <c r="AC84" s="234" t="s">
        <v>160</v>
      </c>
      <c r="AD84" s="234" t="s">
        <v>473</v>
      </c>
      <c r="AE84" s="234" t="s">
        <v>153</v>
      </c>
      <c r="AF84" s="234" t="s">
        <v>139</v>
      </c>
      <c r="AG84" s="234" t="s">
        <v>441</v>
      </c>
      <c r="AH84" s="234" t="s">
        <v>474</v>
      </c>
      <c r="AJ84" s="234" t="s">
        <v>475</v>
      </c>
      <c r="AK84" s="234">
        <v>0.97</v>
      </c>
      <c r="AL84" s="234" t="s">
        <v>437</v>
      </c>
      <c r="AM84" s="234">
        <v>1</v>
      </c>
    </row>
    <row r="85" spans="2:39" x14ac:dyDescent="0.3">
      <c r="F85" s="234" t="s">
        <v>172</v>
      </c>
      <c r="G85" s="234" t="s">
        <v>384</v>
      </c>
      <c r="I85" s="234">
        <v>1.0009999999999999</v>
      </c>
      <c r="N85" s="234">
        <v>5.1405000000000003</v>
      </c>
      <c r="O85" s="234">
        <v>0.233185</v>
      </c>
      <c r="P85" s="234">
        <v>1.0347222222222201</v>
      </c>
      <c r="R85" s="234">
        <v>0.97</v>
      </c>
      <c r="T85" s="234">
        <v>25</v>
      </c>
      <c r="U85" s="234">
        <v>1</v>
      </c>
      <c r="V85" s="234">
        <v>42</v>
      </c>
      <c r="X85" s="234">
        <v>1</v>
      </c>
      <c r="Y85" s="234">
        <v>4.5900000000000301</v>
      </c>
      <c r="Z85" s="234">
        <v>0.3</v>
      </c>
      <c r="AA85" s="234">
        <v>29</v>
      </c>
      <c r="AB85" s="234" t="s">
        <v>503</v>
      </c>
      <c r="AC85" s="234" t="s">
        <v>160</v>
      </c>
      <c r="AD85" s="234" t="s">
        <v>473</v>
      </c>
      <c r="AE85" s="234" t="s">
        <v>153</v>
      </c>
      <c r="AF85" s="234" t="s">
        <v>139</v>
      </c>
      <c r="AG85" s="234" t="s">
        <v>441</v>
      </c>
      <c r="AH85" s="234" t="s">
        <v>474</v>
      </c>
      <c r="AJ85" s="234" t="s">
        <v>475</v>
      </c>
      <c r="AK85" s="234">
        <v>0.97</v>
      </c>
      <c r="AL85" s="234" t="s">
        <v>437</v>
      </c>
      <c r="AM85" s="234">
        <v>1</v>
      </c>
    </row>
    <row r="86" spans="2:39" x14ac:dyDescent="0.3">
      <c r="F86" s="234" t="s">
        <v>172</v>
      </c>
      <c r="G86" s="234" t="s">
        <v>385</v>
      </c>
      <c r="I86" s="234">
        <v>1.0009999999999999</v>
      </c>
      <c r="N86" s="234">
        <v>4.9915000000000003</v>
      </c>
      <c r="O86" s="234">
        <v>0.21754000000000001</v>
      </c>
      <c r="P86" s="234">
        <v>1.0347222222222201</v>
      </c>
      <c r="R86" s="234">
        <v>0.97</v>
      </c>
      <c r="T86" s="234">
        <v>25</v>
      </c>
      <c r="U86" s="234">
        <v>1</v>
      </c>
      <c r="V86" s="234">
        <v>35</v>
      </c>
      <c r="X86" s="234">
        <v>1</v>
      </c>
      <c r="Y86" s="234">
        <v>4.5900000000000301</v>
      </c>
      <c r="Z86" s="234">
        <v>0.3</v>
      </c>
      <c r="AA86" s="234">
        <v>29</v>
      </c>
      <c r="AB86" s="234" t="s">
        <v>503</v>
      </c>
      <c r="AC86" s="234" t="s">
        <v>160</v>
      </c>
      <c r="AD86" s="234" t="s">
        <v>473</v>
      </c>
      <c r="AE86" s="234" t="s">
        <v>153</v>
      </c>
      <c r="AF86" s="234" t="s">
        <v>139</v>
      </c>
      <c r="AG86" s="234" t="s">
        <v>441</v>
      </c>
      <c r="AH86" s="234" t="s">
        <v>474</v>
      </c>
      <c r="AJ86" s="234" t="s">
        <v>475</v>
      </c>
      <c r="AK86" s="234">
        <v>0.97</v>
      </c>
      <c r="AL86" s="234" t="s">
        <v>437</v>
      </c>
      <c r="AM86" s="234">
        <v>1</v>
      </c>
    </row>
    <row r="87" spans="2:39" x14ac:dyDescent="0.3">
      <c r="B87" s="234" t="s">
        <v>504</v>
      </c>
      <c r="C87" s="234" t="s">
        <v>505</v>
      </c>
      <c r="D87" s="234" t="s">
        <v>33</v>
      </c>
      <c r="E87" s="234" t="s">
        <v>28</v>
      </c>
      <c r="F87" s="234" t="s">
        <v>172</v>
      </c>
      <c r="G87" s="234" t="s">
        <v>375</v>
      </c>
      <c r="H87" s="234">
        <v>2020</v>
      </c>
      <c r="I87" s="234">
        <v>0.309</v>
      </c>
      <c r="L87" s="234">
        <v>1.9607843137254899</v>
      </c>
      <c r="M87" s="234">
        <v>1</v>
      </c>
      <c r="N87" s="234">
        <v>17.88</v>
      </c>
      <c r="O87" s="234">
        <v>0.48946499999999998</v>
      </c>
      <c r="P87" s="234">
        <v>3.31111111111111</v>
      </c>
      <c r="Q87" s="234">
        <v>3.1536000000000002E-2</v>
      </c>
      <c r="R87" s="234">
        <v>0.97</v>
      </c>
      <c r="S87" s="234">
        <v>1</v>
      </c>
      <c r="T87" s="234">
        <v>25</v>
      </c>
      <c r="U87" s="234">
        <v>1</v>
      </c>
      <c r="V87" s="234">
        <v>20</v>
      </c>
      <c r="X87" s="234">
        <v>1</v>
      </c>
      <c r="Y87" s="234">
        <v>4.5900000000000301</v>
      </c>
      <c r="Z87" s="234">
        <v>0.3</v>
      </c>
      <c r="AA87" s="234">
        <v>22</v>
      </c>
      <c r="AB87" s="234" t="s">
        <v>506</v>
      </c>
      <c r="AC87" s="234" t="s">
        <v>64</v>
      </c>
      <c r="AD87" s="234" t="s">
        <v>433</v>
      </c>
      <c r="AE87" s="234" t="s">
        <v>153</v>
      </c>
      <c r="AF87" s="234" t="s">
        <v>139</v>
      </c>
      <c r="AG87" s="234" t="s">
        <v>434</v>
      </c>
      <c r="AH87" s="234" t="s">
        <v>435</v>
      </c>
      <c r="AJ87" s="234" t="s">
        <v>436</v>
      </c>
      <c r="AK87" s="234">
        <v>0.97</v>
      </c>
      <c r="AL87" s="234" t="s">
        <v>437</v>
      </c>
      <c r="AM87" s="234">
        <v>1</v>
      </c>
    </row>
    <row r="88" spans="2:39" x14ac:dyDescent="0.3">
      <c r="E88" s="234" t="s">
        <v>32</v>
      </c>
      <c r="F88" s="234" t="s">
        <v>172</v>
      </c>
      <c r="G88" s="234" t="s">
        <v>383</v>
      </c>
      <c r="I88" s="234">
        <v>0.31</v>
      </c>
      <c r="L88" s="234">
        <v>1.9607843137254899</v>
      </c>
      <c r="M88" s="234">
        <v>1</v>
      </c>
      <c r="N88" s="234">
        <v>17.135000000000002</v>
      </c>
      <c r="O88" s="234">
        <v>0.4768</v>
      </c>
      <c r="P88" s="234">
        <v>3.31111111111111</v>
      </c>
      <c r="R88" s="234">
        <v>0.97</v>
      </c>
      <c r="T88" s="234">
        <v>25</v>
      </c>
      <c r="U88" s="234">
        <v>1</v>
      </c>
      <c r="V88" s="234">
        <v>21</v>
      </c>
      <c r="X88" s="234">
        <v>1</v>
      </c>
      <c r="Y88" s="234">
        <v>4.5900000000000301</v>
      </c>
      <c r="Z88" s="234">
        <v>0.3</v>
      </c>
      <c r="AA88" s="234">
        <v>22</v>
      </c>
      <c r="AB88" s="234" t="s">
        <v>506</v>
      </c>
      <c r="AC88" s="234" t="s">
        <v>64</v>
      </c>
      <c r="AD88" s="234" t="s">
        <v>433</v>
      </c>
      <c r="AE88" s="234" t="s">
        <v>153</v>
      </c>
      <c r="AF88" s="234" t="s">
        <v>139</v>
      </c>
      <c r="AG88" s="234" t="s">
        <v>434</v>
      </c>
      <c r="AH88" s="234" t="s">
        <v>435</v>
      </c>
      <c r="AJ88" s="234" t="s">
        <v>436</v>
      </c>
      <c r="AK88" s="234">
        <v>0.97</v>
      </c>
      <c r="AL88" s="234" t="s">
        <v>437</v>
      </c>
      <c r="AM88" s="234">
        <v>1</v>
      </c>
    </row>
    <row r="89" spans="2:39" x14ac:dyDescent="0.3">
      <c r="F89" s="234" t="s">
        <v>172</v>
      </c>
      <c r="G89" s="234" t="s">
        <v>384</v>
      </c>
      <c r="I89" s="234">
        <v>0.311</v>
      </c>
      <c r="L89" s="234">
        <v>1.9607843137254899</v>
      </c>
      <c r="M89" s="234">
        <v>1</v>
      </c>
      <c r="N89" s="234">
        <v>16.39</v>
      </c>
      <c r="O89" s="234">
        <v>0.45445000000000002</v>
      </c>
      <c r="P89" s="234">
        <v>3.31111111111111</v>
      </c>
      <c r="R89" s="234">
        <v>0.97</v>
      </c>
      <c r="T89" s="234">
        <v>25</v>
      </c>
      <c r="U89" s="234">
        <v>1</v>
      </c>
      <c r="V89" s="234">
        <v>18</v>
      </c>
      <c r="X89" s="234">
        <v>1</v>
      </c>
      <c r="Y89" s="234">
        <v>4.5900000000000301</v>
      </c>
      <c r="Z89" s="234">
        <v>0.3</v>
      </c>
      <c r="AA89" s="234">
        <v>22</v>
      </c>
      <c r="AB89" s="234" t="s">
        <v>506</v>
      </c>
      <c r="AC89" s="234" t="s">
        <v>64</v>
      </c>
      <c r="AD89" s="234" t="s">
        <v>433</v>
      </c>
      <c r="AE89" s="234" t="s">
        <v>153</v>
      </c>
      <c r="AF89" s="234" t="s">
        <v>139</v>
      </c>
      <c r="AG89" s="234" t="s">
        <v>434</v>
      </c>
      <c r="AH89" s="234" t="s">
        <v>435</v>
      </c>
      <c r="AJ89" s="234" t="s">
        <v>436</v>
      </c>
      <c r="AK89" s="234">
        <v>0.97</v>
      </c>
      <c r="AL89" s="234" t="s">
        <v>437</v>
      </c>
      <c r="AM89" s="234">
        <v>1</v>
      </c>
    </row>
    <row r="90" spans="2:39" x14ac:dyDescent="0.3">
      <c r="F90" s="234" t="s">
        <v>172</v>
      </c>
      <c r="G90" s="234" t="s">
        <v>385</v>
      </c>
      <c r="I90" s="234">
        <v>0.311</v>
      </c>
      <c r="L90" s="234">
        <v>1.9607843137254899</v>
      </c>
      <c r="M90" s="234">
        <v>1</v>
      </c>
      <c r="N90" s="234">
        <v>14.9</v>
      </c>
      <c r="O90" s="234">
        <v>0.41645500000000002</v>
      </c>
      <c r="P90" s="234">
        <v>3.31111111111111</v>
      </c>
      <c r="R90" s="234">
        <v>0.97</v>
      </c>
      <c r="T90" s="234">
        <v>25</v>
      </c>
      <c r="U90" s="234">
        <v>1</v>
      </c>
      <c r="V90" s="234">
        <v>11</v>
      </c>
      <c r="X90" s="234">
        <v>1</v>
      </c>
      <c r="Y90" s="234">
        <v>4.5900000000000301</v>
      </c>
      <c r="Z90" s="234">
        <v>0.3</v>
      </c>
      <c r="AA90" s="234">
        <v>22</v>
      </c>
      <c r="AB90" s="234" t="s">
        <v>506</v>
      </c>
      <c r="AC90" s="234" t="s">
        <v>64</v>
      </c>
      <c r="AD90" s="234" t="s">
        <v>433</v>
      </c>
      <c r="AE90" s="234" t="s">
        <v>153</v>
      </c>
      <c r="AF90" s="234" t="s">
        <v>139</v>
      </c>
      <c r="AG90" s="234" t="s">
        <v>434</v>
      </c>
      <c r="AH90" s="234" t="s">
        <v>435</v>
      </c>
      <c r="AJ90" s="234" t="s">
        <v>436</v>
      </c>
      <c r="AK90" s="234">
        <v>0.97</v>
      </c>
      <c r="AL90" s="234" t="s">
        <v>437</v>
      </c>
      <c r="AM90" s="234">
        <v>1</v>
      </c>
    </row>
    <row r="91" spans="2:39" x14ac:dyDescent="0.3">
      <c r="B91" s="234" t="s">
        <v>507</v>
      </c>
      <c r="C91" s="234" t="s">
        <v>508</v>
      </c>
      <c r="D91" s="234" t="s">
        <v>33</v>
      </c>
      <c r="E91" s="234" t="s">
        <v>28</v>
      </c>
      <c r="F91" s="234" t="s">
        <v>172</v>
      </c>
      <c r="G91" s="234" t="s">
        <v>375</v>
      </c>
      <c r="H91" s="234">
        <v>2020</v>
      </c>
      <c r="I91" s="234">
        <v>0.28599999999999998</v>
      </c>
      <c r="L91" s="234">
        <v>2.2222222222222201</v>
      </c>
      <c r="M91" s="234">
        <v>1</v>
      </c>
      <c r="N91" s="234">
        <v>23.84</v>
      </c>
      <c r="O91" s="234">
        <v>0.97445999999999999</v>
      </c>
      <c r="P91" s="234">
        <v>3.5180555555555602</v>
      </c>
      <c r="Q91" s="234">
        <v>3.1536000000000002E-2</v>
      </c>
      <c r="R91" s="234">
        <v>0.97</v>
      </c>
      <c r="S91" s="234">
        <v>1</v>
      </c>
      <c r="T91" s="234">
        <v>25</v>
      </c>
      <c r="U91" s="234">
        <v>1</v>
      </c>
      <c r="V91" s="234">
        <v>78</v>
      </c>
      <c r="X91" s="234">
        <v>1</v>
      </c>
      <c r="Y91" s="234">
        <v>4.5900000000000301</v>
      </c>
      <c r="Z91" s="234">
        <v>2</v>
      </c>
      <c r="AA91" s="234">
        <v>23</v>
      </c>
      <c r="AB91" s="234" t="s">
        <v>509</v>
      </c>
      <c r="AC91" s="234" t="s">
        <v>64</v>
      </c>
      <c r="AD91" s="234" t="s">
        <v>433</v>
      </c>
      <c r="AE91" s="234" t="s">
        <v>153</v>
      </c>
      <c r="AF91" s="234" t="s">
        <v>139</v>
      </c>
      <c r="AG91" s="234" t="s">
        <v>441</v>
      </c>
      <c r="AH91" s="234" t="s">
        <v>435</v>
      </c>
      <c r="AJ91" s="234" t="s">
        <v>436</v>
      </c>
      <c r="AK91" s="234">
        <v>0.97</v>
      </c>
      <c r="AL91" s="234" t="s">
        <v>437</v>
      </c>
      <c r="AM91" s="234">
        <v>2</v>
      </c>
    </row>
    <row r="92" spans="2:39" x14ac:dyDescent="0.3">
      <c r="E92" s="234" t="s">
        <v>32</v>
      </c>
      <c r="F92" s="234" t="s">
        <v>172</v>
      </c>
      <c r="G92" s="234" t="s">
        <v>383</v>
      </c>
      <c r="I92" s="234">
        <v>0.28599999999999998</v>
      </c>
      <c r="L92" s="234">
        <v>2.2222222222222201</v>
      </c>
      <c r="M92" s="234">
        <v>1</v>
      </c>
      <c r="N92" s="234">
        <v>23.094999999999999</v>
      </c>
      <c r="O92" s="234">
        <v>0.94689500000000004</v>
      </c>
      <c r="P92" s="234">
        <v>3.5180555555555602</v>
      </c>
      <c r="R92" s="234">
        <v>0.97</v>
      </c>
      <c r="T92" s="234">
        <v>25</v>
      </c>
      <c r="U92" s="234">
        <v>1</v>
      </c>
      <c r="V92" s="234">
        <v>62</v>
      </c>
      <c r="X92" s="234">
        <v>1</v>
      </c>
      <c r="Y92" s="234">
        <v>4.5900000000000301</v>
      </c>
      <c r="Z92" s="234">
        <v>0.3</v>
      </c>
      <c r="AA92" s="234">
        <v>23</v>
      </c>
      <c r="AB92" s="234" t="s">
        <v>509</v>
      </c>
      <c r="AC92" s="234" t="s">
        <v>64</v>
      </c>
      <c r="AD92" s="234" t="s">
        <v>433</v>
      </c>
      <c r="AE92" s="234" t="s">
        <v>153</v>
      </c>
      <c r="AF92" s="234" t="s">
        <v>139</v>
      </c>
      <c r="AG92" s="234" t="s">
        <v>441</v>
      </c>
      <c r="AH92" s="234" t="s">
        <v>435</v>
      </c>
      <c r="AJ92" s="234" t="s">
        <v>436</v>
      </c>
      <c r="AK92" s="234">
        <v>0.97</v>
      </c>
      <c r="AL92" s="234" t="s">
        <v>437</v>
      </c>
      <c r="AM92" s="234">
        <v>2</v>
      </c>
    </row>
    <row r="93" spans="2:39" x14ac:dyDescent="0.3">
      <c r="F93" s="234" t="s">
        <v>172</v>
      </c>
      <c r="G93" s="234" t="s">
        <v>384</v>
      </c>
      <c r="I93" s="234">
        <v>0.28299999999999997</v>
      </c>
      <c r="L93" s="234">
        <v>2.2222222222222201</v>
      </c>
      <c r="M93" s="234">
        <v>1</v>
      </c>
      <c r="N93" s="234">
        <v>23.094999999999999</v>
      </c>
      <c r="O93" s="234">
        <v>0.91858499999999998</v>
      </c>
      <c r="P93" s="234">
        <v>3.5180555555555602</v>
      </c>
      <c r="R93" s="234">
        <v>0.97</v>
      </c>
      <c r="T93" s="234">
        <v>25</v>
      </c>
      <c r="U93" s="234">
        <v>1</v>
      </c>
      <c r="V93" s="234">
        <v>35</v>
      </c>
      <c r="X93" s="234">
        <v>1</v>
      </c>
      <c r="Y93" s="234">
        <v>4.5900000000000301</v>
      </c>
      <c r="Z93" s="234">
        <v>0.3</v>
      </c>
      <c r="AA93" s="234">
        <v>23</v>
      </c>
      <c r="AB93" s="234" t="s">
        <v>509</v>
      </c>
      <c r="AC93" s="234" t="s">
        <v>64</v>
      </c>
      <c r="AD93" s="234" t="s">
        <v>433</v>
      </c>
      <c r="AE93" s="234" t="s">
        <v>153</v>
      </c>
      <c r="AF93" s="234" t="s">
        <v>139</v>
      </c>
      <c r="AG93" s="234" t="s">
        <v>441</v>
      </c>
      <c r="AH93" s="234" t="s">
        <v>435</v>
      </c>
      <c r="AJ93" s="234" t="s">
        <v>436</v>
      </c>
      <c r="AK93" s="234">
        <v>0.97</v>
      </c>
      <c r="AL93" s="234" t="s">
        <v>437</v>
      </c>
      <c r="AM93" s="234">
        <v>2</v>
      </c>
    </row>
    <row r="94" spans="2:39" x14ac:dyDescent="0.3">
      <c r="F94" s="234" t="s">
        <v>172</v>
      </c>
      <c r="G94" s="234" t="s">
        <v>385</v>
      </c>
      <c r="I94" s="234">
        <v>0.28299999999999997</v>
      </c>
      <c r="L94" s="234">
        <v>2.2222222222222201</v>
      </c>
      <c r="M94" s="234">
        <v>1</v>
      </c>
      <c r="N94" s="234">
        <v>20.86</v>
      </c>
      <c r="O94" s="234">
        <v>0.82545999999999997</v>
      </c>
      <c r="P94" s="234">
        <v>3.5180555555555602</v>
      </c>
      <c r="R94" s="234">
        <v>0.97</v>
      </c>
      <c r="T94" s="234">
        <v>25</v>
      </c>
      <c r="U94" s="234">
        <v>1</v>
      </c>
      <c r="V94" s="234">
        <v>21</v>
      </c>
      <c r="X94" s="234">
        <v>1</v>
      </c>
      <c r="Y94" s="234">
        <v>4.5900000000000301</v>
      </c>
      <c r="Z94" s="234">
        <v>0.3</v>
      </c>
      <c r="AA94" s="234">
        <v>23</v>
      </c>
      <c r="AB94" s="234" t="s">
        <v>509</v>
      </c>
      <c r="AC94" s="234" t="s">
        <v>64</v>
      </c>
      <c r="AD94" s="234" t="s">
        <v>433</v>
      </c>
      <c r="AE94" s="234" t="s">
        <v>153</v>
      </c>
      <c r="AF94" s="234" t="s">
        <v>139</v>
      </c>
      <c r="AG94" s="234" t="s">
        <v>441</v>
      </c>
      <c r="AH94" s="234" t="s">
        <v>435</v>
      </c>
      <c r="AJ94" s="234" t="s">
        <v>436</v>
      </c>
      <c r="AK94" s="234">
        <v>0.97</v>
      </c>
      <c r="AL94" s="234" t="s">
        <v>437</v>
      </c>
      <c r="AM94" s="234">
        <v>2</v>
      </c>
    </row>
    <row r="95" spans="2:39" x14ac:dyDescent="0.3">
      <c r="B95" s="234" t="s">
        <v>510</v>
      </c>
      <c r="C95" s="234" t="s">
        <v>511</v>
      </c>
      <c r="D95" s="234" t="s">
        <v>33</v>
      </c>
      <c r="E95" s="234" t="s">
        <v>28</v>
      </c>
      <c r="F95" s="234" t="s">
        <v>172</v>
      </c>
      <c r="G95" s="234" t="s">
        <v>375</v>
      </c>
      <c r="H95" s="234">
        <v>2020</v>
      </c>
      <c r="I95" s="234">
        <v>0.14399999999999999</v>
      </c>
      <c r="L95" s="234">
        <v>5.5555555555555598</v>
      </c>
      <c r="M95" s="234">
        <v>1</v>
      </c>
      <c r="N95" s="234">
        <v>46.935000000000002</v>
      </c>
      <c r="O95" s="234">
        <v>2.092705</v>
      </c>
      <c r="P95" s="234">
        <v>7.0361111111111097</v>
      </c>
      <c r="Q95" s="234">
        <v>3.1536000000000002E-2</v>
      </c>
      <c r="R95" s="234">
        <v>0.97</v>
      </c>
      <c r="S95" s="234">
        <v>1</v>
      </c>
      <c r="T95" s="234">
        <v>25</v>
      </c>
      <c r="U95" s="234">
        <v>1</v>
      </c>
      <c r="V95" s="234">
        <v>90</v>
      </c>
      <c r="X95" s="234">
        <v>1</v>
      </c>
      <c r="Y95" s="234">
        <v>4.5900000000000301</v>
      </c>
      <c r="Z95" s="234">
        <v>2</v>
      </c>
      <c r="AA95" s="234">
        <v>24</v>
      </c>
      <c r="AB95" s="234" t="s">
        <v>512</v>
      </c>
      <c r="AC95" s="234" t="s">
        <v>64</v>
      </c>
      <c r="AD95" s="234" t="s">
        <v>433</v>
      </c>
      <c r="AE95" s="234" t="s">
        <v>153</v>
      </c>
      <c r="AF95" s="234" t="s">
        <v>139</v>
      </c>
      <c r="AG95" s="234" t="s">
        <v>441</v>
      </c>
      <c r="AH95" s="234" t="s">
        <v>435</v>
      </c>
      <c r="AJ95" s="234" t="s">
        <v>436</v>
      </c>
      <c r="AK95" s="234">
        <v>0.97</v>
      </c>
      <c r="AL95" s="234" t="s">
        <v>437</v>
      </c>
      <c r="AM95" s="234">
        <v>3</v>
      </c>
    </row>
    <row r="96" spans="2:39" x14ac:dyDescent="0.3">
      <c r="E96" s="234" t="s">
        <v>32</v>
      </c>
      <c r="F96" s="234" t="s">
        <v>172</v>
      </c>
      <c r="G96" s="234" t="s">
        <v>383</v>
      </c>
      <c r="I96" s="234">
        <v>0.14399999999999999</v>
      </c>
      <c r="L96" s="234">
        <v>5.5555555555555598</v>
      </c>
      <c r="M96" s="234">
        <v>1</v>
      </c>
      <c r="N96" s="234">
        <v>46.19</v>
      </c>
      <c r="O96" s="234">
        <v>2.0554549999999998</v>
      </c>
      <c r="P96" s="234">
        <v>7.0361111111111097</v>
      </c>
      <c r="R96" s="234">
        <v>0.97</v>
      </c>
      <c r="T96" s="234">
        <v>25</v>
      </c>
      <c r="U96" s="234">
        <v>1</v>
      </c>
      <c r="V96" s="234">
        <v>54</v>
      </c>
      <c r="X96" s="234">
        <v>1</v>
      </c>
      <c r="Y96" s="234">
        <v>4.5900000000000301</v>
      </c>
      <c r="Z96" s="234">
        <v>0.3</v>
      </c>
      <c r="AA96" s="234">
        <v>24</v>
      </c>
      <c r="AB96" s="234" t="s">
        <v>512</v>
      </c>
      <c r="AC96" s="234" t="s">
        <v>64</v>
      </c>
      <c r="AD96" s="234" t="s">
        <v>433</v>
      </c>
      <c r="AE96" s="234" t="s">
        <v>153</v>
      </c>
      <c r="AF96" s="234" t="s">
        <v>139</v>
      </c>
      <c r="AG96" s="234" t="s">
        <v>441</v>
      </c>
      <c r="AH96" s="234" t="s">
        <v>435</v>
      </c>
      <c r="AJ96" s="234" t="s">
        <v>436</v>
      </c>
      <c r="AK96" s="234">
        <v>0.97</v>
      </c>
      <c r="AL96" s="234" t="s">
        <v>437</v>
      </c>
      <c r="AM96" s="234">
        <v>3</v>
      </c>
    </row>
    <row r="97" spans="2:39" x14ac:dyDescent="0.3">
      <c r="F97" s="234" t="s">
        <v>172</v>
      </c>
      <c r="G97" s="234" t="s">
        <v>384</v>
      </c>
      <c r="I97" s="234">
        <v>0.14199999999999999</v>
      </c>
      <c r="L97" s="234">
        <v>5.5555555555555598</v>
      </c>
      <c r="M97" s="234">
        <v>1</v>
      </c>
      <c r="N97" s="234">
        <v>46.19</v>
      </c>
      <c r="O97" s="234">
        <v>2.0472600000000001</v>
      </c>
      <c r="P97" s="234">
        <v>7.0361111111111097</v>
      </c>
      <c r="R97" s="234">
        <v>0.97</v>
      </c>
      <c r="T97" s="234">
        <v>25</v>
      </c>
      <c r="U97" s="234">
        <v>1</v>
      </c>
      <c r="V97" s="234">
        <v>35</v>
      </c>
      <c r="X97" s="234">
        <v>1</v>
      </c>
      <c r="Y97" s="234">
        <v>4.5900000000000301</v>
      </c>
      <c r="Z97" s="234">
        <v>0.3</v>
      </c>
      <c r="AA97" s="234">
        <v>24</v>
      </c>
      <c r="AB97" s="234" t="s">
        <v>512</v>
      </c>
      <c r="AC97" s="234" t="s">
        <v>64</v>
      </c>
      <c r="AD97" s="234" t="s">
        <v>433</v>
      </c>
      <c r="AE97" s="234" t="s">
        <v>153</v>
      </c>
      <c r="AF97" s="234" t="s">
        <v>139</v>
      </c>
      <c r="AG97" s="234" t="s">
        <v>441</v>
      </c>
      <c r="AH97" s="234" t="s">
        <v>435</v>
      </c>
      <c r="AJ97" s="234" t="s">
        <v>436</v>
      </c>
      <c r="AK97" s="234">
        <v>0.97</v>
      </c>
      <c r="AL97" s="234" t="s">
        <v>437</v>
      </c>
      <c r="AM97" s="234">
        <v>3</v>
      </c>
    </row>
    <row r="98" spans="2:39" x14ac:dyDescent="0.3">
      <c r="F98" s="234" t="s">
        <v>172</v>
      </c>
      <c r="G98" s="234" t="s">
        <v>385</v>
      </c>
      <c r="I98" s="234">
        <v>0.14199999999999999</v>
      </c>
      <c r="L98" s="234">
        <v>5.5555555555555598</v>
      </c>
      <c r="M98" s="234">
        <v>1</v>
      </c>
      <c r="N98" s="234">
        <v>41.72</v>
      </c>
      <c r="O98" s="234">
        <v>1.9206099999999999</v>
      </c>
      <c r="P98" s="234">
        <v>7.0361111111111097</v>
      </c>
      <c r="R98" s="234">
        <v>0.97</v>
      </c>
      <c r="T98" s="234">
        <v>25</v>
      </c>
      <c r="U98" s="234">
        <v>1</v>
      </c>
      <c r="V98" s="234">
        <v>28</v>
      </c>
      <c r="X98" s="234">
        <v>1</v>
      </c>
      <c r="Y98" s="234">
        <v>4.5900000000000301</v>
      </c>
      <c r="Z98" s="234">
        <v>0.3</v>
      </c>
      <c r="AA98" s="234">
        <v>24</v>
      </c>
      <c r="AB98" s="234" t="s">
        <v>512</v>
      </c>
      <c r="AC98" s="234" t="s">
        <v>64</v>
      </c>
      <c r="AD98" s="234" t="s">
        <v>433</v>
      </c>
      <c r="AE98" s="234" t="s">
        <v>153</v>
      </c>
      <c r="AF98" s="234" t="s">
        <v>139</v>
      </c>
      <c r="AG98" s="234" t="s">
        <v>441</v>
      </c>
      <c r="AH98" s="234" t="s">
        <v>435</v>
      </c>
      <c r="AJ98" s="234" t="s">
        <v>436</v>
      </c>
      <c r="AK98" s="234">
        <v>0.97</v>
      </c>
      <c r="AL98" s="234" t="s">
        <v>437</v>
      </c>
      <c r="AM98" s="234">
        <v>3</v>
      </c>
    </row>
    <row r="99" spans="2:39" x14ac:dyDescent="0.3">
      <c r="B99" s="234" t="s">
        <v>513</v>
      </c>
      <c r="C99" s="234" t="s">
        <v>514</v>
      </c>
      <c r="D99" s="234" t="s">
        <v>351</v>
      </c>
      <c r="E99" s="234" t="s">
        <v>28</v>
      </c>
      <c r="F99" s="234" t="s">
        <v>172</v>
      </c>
      <c r="G99" s="234" t="s">
        <v>375</v>
      </c>
      <c r="H99" s="234">
        <v>2020</v>
      </c>
      <c r="I99" s="234">
        <v>0.56000000000000005</v>
      </c>
      <c r="N99" s="234">
        <v>61.835000000000001</v>
      </c>
      <c r="O99" s="234">
        <v>3.0917500000000002</v>
      </c>
      <c r="Q99" s="234">
        <v>3.1536000000000002E-2</v>
      </c>
      <c r="R99" s="234">
        <v>1</v>
      </c>
      <c r="S99" s="234">
        <v>1</v>
      </c>
      <c r="T99" s="234">
        <v>15</v>
      </c>
      <c r="U99" s="234">
        <v>1</v>
      </c>
      <c r="V99" s="234">
        <v>1.3</v>
      </c>
      <c r="W99" s="234">
        <v>1.25</v>
      </c>
      <c r="AA99" s="234">
        <v>32</v>
      </c>
      <c r="AB99" s="234" t="s">
        <v>515</v>
      </c>
      <c r="AC99" s="234" t="s">
        <v>64</v>
      </c>
      <c r="AD99" s="234" t="s">
        <v>433</v>
      </c>
      <c r="AE99" s="234" t="s">
        <v>423</v>
      </c>
      <c r="AF99" s="234" t="s">
        <v>137</v>
      </c>
      <c r="AG99" s="234" t="s">
        <v>441</v>
      </c>
      <c r="AH99" s="234" t="s">
        <v>435</v>
      </c>
      <c r="AJ99" s="234" t="s">
        <v>442</v>
      </c>
      <c r="AL99" s="234" t="s">
        <v>437</v>
      </c>
      <c r="AM99" s="234">
        <v>6</v>
      </c>
    </row>
    <row r="100" spans="2:39" x14ac:dyDescent="0.3">
      <c r="E100" s="234" t="s">
        <v>32</v>
      </c>
      <c r="F100" s="234" t="s">
        <v>172</v>
      </c>
      <c r="G100" s="234" t="s">
        <v>383</v>
      </c>
      <c r="I100" s="234">
        <v>0.57999999999999996</v>
      </c>
      <c r="L100" s="234">
        <v>0.6</v>
      </c>
      <c r="N100" s="234">
        <v>24.585000000000001</v>
      </c>
      <c r="O100" s="234">
        <v>1.22925</v>
      </c>
      <c r="R100" s="234">
        <v>1</v>
      </c>
      <c r="T100" s="234">
        <v>20</v>
      </c>
      <c r="U100" s="234">
        <v>1</v>
      </c>
      <c r="V100" s="234">
        <v>1.4</v>
      </c>
      <c r="W100" s="234">
        <v>1.25</v>
      </c>
      <c r="AA100" s="234">
        <v>32</v>
      </c>
      <c r="AB100" s="234" t="s">
        <v>515</v>
      </c>
      <c r="AC100" s="234" t="s">
        <v>64</v>
      </c>
      <c r="AD100" s="234" t="s">
        <v>433</v>
      </c>
      <c r="AE100" s="234" t="s">
        <v>423</v>
      </c>
      <c r="AF100" s="234" t="s">
        <v>137</v>
      </c>
      <c r="AG100" s="234" t="s">
        <v>441</v>
      </c>
      <c r="AH100" s="234" t="s">
        <v>435</v>
      </c>
      <c r="AJ100" s="234" t="s">
        <v>442</v>
      </c>
      <c r="AL100" s="234" t="s">
        <v>437</v>
      </c>
      <c r="AM100" s="234">
        <v>6</v>
      </c>
    </row>
    <row r="101" spans="2:39" x14ac:dyDescent="0.3">
      <c r="F101" s="234" t="s">
        <v>172</v>
      </c>
      <c r="G101" s="234" t="s">
        <v>384</v>
      </c>
      <c r="I101" s="234">
        <v>0.6</v>
      </c>
      <c r="L101" s="234">
        <v>0.62</v>
      </c>
      <c r="N101" s="234">
        <v>14.9</v>
      </c>
      <c r="O101" s="234">
        <v>0.745</v>
      </c>
      <c r="R101" s="234">
        <v>1</v>
      </c>
      <c r="T101" s="234">
        <v>20</v>
      </c>
      <c r="U101" s="234">
        <v>1</v>
      </c>
      <c r="V101" s="234">
        <v>1.5</v>
      </c>
      <c r="W101" s="234">
        <v>1.25</v>
      </c>
      <c r="AA101" s="234">
        <v>32</v>
      </c>
      <c r="AB101" s="234" t="s">
        <v>515</v>
      </c>
      <c r="AC101" s="234" t="s">
        <v>64</v>
      </c>
      <c r="AD101" s="234" t="s">
        <v>433</v>
      </c>
      <c r="AE101" s="234" t="s">
        <v>423</v>
      </c>
      <c r="AF101" s="234" t="s">
        <v>137</v>
      </c>
      <c r="AG101" s="234" t="s">
        <v>441</v>
      </c>
      <c r="AH101" s="234" t="s">
        <v>435</v>
      </c>
      <c r="AJ101" s="234" t="s">
        <v>442</v>
      </c>
      <c r="AL101" s="234" t="s">
        <v>437</v>
      </c>
      <c r="AM101" s="234">
        <v>6</v>
      </c>
    </row>
    <row r="102" spans="2:39" x14ac:dyDescent="0.3">
      <c r="F102" s="234" t="s">
        <v>172</v>
      </c>
      <c r="G102" s="234" t="s">
        <v>385</v>
      </c>
      <c r="I102" s="234">
        <v>0.6</v>
      </c>
      <c r="L102" s="234">
        <v>0.62</v>
      </c>
      <c r="N102" s="234">
        <v>5.96</v>
      </c>
      <c r="O102" s="234">
        <v>0.29799999999999999</v>
      </c>
      <c r="R102" s="234">
        <v>1</v>
      </c>
      <c r="T102" s="234">
        <v>20</v>
      </c>
      <c r="U102" s="234">
        <v>1</v>
      </c>
      <c r="V102" s="234">
        <v>1.6</v>
      </c>
      <c r="W102" s="234">
        <v>1.25</v>
      </c>
      <c r="AA102" s="234">
        <v>32</v>
      </c>
      <c r="AB102" s="234" t="s">
        <v>515</v>
      </c>
      <c r="AC102" s="234" t="s">
        <v>64</v>
      </c>
      <c r="AD102" s="234" t="s">
        <v>433</v>
      </c>
      <c r="AE102" s="234" t="s">
        <v>423</v>
      </c>
      <c r="AF102" s="234" t="s">
        <v>137</v>
      </c>
      <c r="AG102" s="234" t="s">
        <v>441</v>
      </c>
      <c r="AH102" s="234" t="s">
        <v>435</v>
      </c>
      <c r="AJ102" s="234" t="s">
        <v>442</v>
      </c>
      <c r="AL102" s="234" t="s">
        <v>437</v>
      </c>
      <c r="AM102" s="234">
        <v>6</v>
      </c>
    </row>
    <row r="103" spans="2:39" x14ac:dyDescent="0.3">
      <c r="B103" s="234" t="s">
        <v>516</v>
      </c>
      <c r="C103" s="234" t="s">
        <v>517</v>
      </c>
      <c r="D103" s="234" t="s">
        <v>518</v>
      </c>
      <c r="E103" s="234" t="s">
        <v>28</v>
      </c>
      <c r="F103" s="234" t="s">
        <v>172</v>
      </c>
      <c r="G103" s="234" t="s">
        <v>375</v>
      </c>
      <c r="H103" s="234">
        <v>2020</v>
      </c>
      <c r="I103" s="234">
        <v>0.45</v>
      </c>
      <c r="N103" s="234">
        <v>14.154999999999999</v>
      </c>
      <c r="O103" s="234">
        <v>0.70774999999999999</v>
      </c>
      <c r="Q103" s="234">
        <v>3.1536000000000002E-2</v>
      </c>
      <c r="R103" s="234">
        <v>1</v>
      </c>
      <c r="S103" s="234">
        <v>1</v>
      </c>
      <c r="T103" s="234">
        <v>10</v>
      </c>
      <c r="U103" s="234">
        <v>1</v>
      </c>
      <c r="AA103" s="234">
        <v>33</v>
      </c>
      <c r="AB103" s="234" t="s">
        <v>519</v>
      </c>
      <c r="AC103" s="234" t="s">
        <v>64</v>
      </c>
      <c r="AD103" s="234" t="s">
        <v>433</v>
      </c>
      <c r="AE103" s="234" t="s">
        <v>520</v>
      </c>
      <c r="AF103" s="234" t="s">
        <v>521</v>
      </c>
      <c r="AG103" s="234" t="s">
        <v>441</v>
      </c>
      <c r="AH103" s="234" t="s">
        <v>435</v>
      </c>
      <c r="AJ103" s="234" t="s">
        <v>442</v>
      </c>
      <c r="AK103" s="234">
        <v>0.9</v>
      </c>
      <c r="AL103" s="234" t="s">
        <v>437</v>
      </c>
      <c r="AM103" s="234">
        <v>1</v>
      </c>
    </row>
    <row r="104" spans="2:39" x14ac:dyDescent="0.3">
      <c r="E104" s="234" t="s">
        <v>32</v>
      </c>
      <c r="F104" s="234" t="s">
        <v>172</v>
      </c>
      <c r="G104" s="234" t="s">
        <v>383</v>
      </c>
      <c r="I104" s="234">
        <v>0.5</v>
      </c>
      <c r="L104" s="234">
        <v>0.8</v>
      </c>
      <c r="N104" s="234">
        <v>9.6850000000000005</v>
      </c>
      <c r="O104" s="234">
        <v>0.48425000000000001</v>
      </c>
      <c r="R104" s="234">
        <v>1</v>
      </c>
      <c r="T104" s="234">
        <v>10</v>
      </c>
      <c r="U104" s="234">
        <v>1</v>
      </c>
      <c r="AA104" s="234">
        <v>33</v>
      </c>
      <c r="AB104" s="234" t="s">
        <v>519</v>
      </c>
      <c r="AC104" s="234" t="s">
        <v>64</v>
      </c>
      <c r="AD104" s="234" t="s">
        <v>433</v>
      </c>
      <c r="AE104" s="234" t="s">
        <v>520</v>
      </c>
      <c r="AF104" s="234" t="s">
        <v>521</v>
      </c>
      <c r="AG104" s="234" t="s">
        <v>441</v>
      </c>
      <c r="AH104" s="234" t="s">
        <v>435</v>
      </c>
      <c r="AJ104" s="234" t="s">
        <v>442</v>
      </c>
      <c r="AK104" s="234">
        <v>0.9</v>
      </c>
      <c r="AL104" s="234" t="s">
        <v>437</v>
      </c>
      <c r="AM104" s="234">
        <v>1</v>
      </c>
    </row>
    <row r="105" spans="2:39" x14ac:dyDescent="0.3">
      <c r="F105" s="234" t="s">
        <v>172</v>
      </c>
      <c r="G105" s="234" t="s">
        <v>384</v>
      </c>
      <c r="I105" s="234">
        <v>0.5</v>
      </c>
      <c r="L105" s="234">
        <v>0.8</v>
      </c>
      <c r="N105" s="234">
        <v>8.1950000000000003</v>
      </c>
      <c r="O105" s="234">
        <v>0.40975</v>
      </c>
      <c r="R105" s="234">
        <v>1</v>
      </c>
      <c r="T105" s="234">
        <v>10</v>
      </c>
      <c r="U105" s="234">
        <v>1</v>
      </c>
      <c r="AA105" s="234">
        <v>33</v>
      </c>
      <c r="AB105" s="234" t="s">
        <v>519</v>
      </c>
      <c r="AC105" s="234" t="s">
        <v>64</v>
      </c>
      <c r="AD105" s="234" t="s">
        <v>433</v>
      </c>
      <c r="AE105" s="234" t="s">
        <v>520</v>
      </c>
      <c r="AF105" s="234" t="s">
        <v>521</v>
      </c>
      <c r="AG105" s="234" t="s">
        <v>441</v>
      </c>
      <c r="AH105" s="234" t="s">
        <v>435</v>
      </c>
      <c r="AJ105" s="234" t="s">
        <v>442</v>
      </c>
      <c r="AK105" s="234">
        <v>0.9</v>
      </c>
      <c r="AL105" s="234" t="s">
        <v>437</v>
      </c>
      <c r="AM105" s="234">
        <v>1</v>
      </c>
    </row>
    <row r="106" spans="2:39" x14ac:dyDescent="0.3">
      <c r="F106" s="234" t="s">
        <v>172</v>
      </c>
      <c r="G106" s="234" t="s">
        <v>385</v>
      </c>
      <c r="I106" s="234">
        <v>0.5</v>
      </c>
      <c r="L106" s="234">
        <v>0.8</v>
      </c>
      <c r="N106" s="234">
        <v>5.96</v>
      </c>
      <c r="O106" s="234">
        <v>0.29799999999999999</v>
      </c>
      <c r="R106" s="234">
        <v>1</v>
      </c>
      <c r="T106" s="234">
        <v>10</v>
      </c>
      <c r="U106" s="234">
        <v>1</v>
      </c>
      <c r="AA106" s="234">
        <v>33</v>
      </c>
      <c r="AB106" s="234" t="s">
        <v>519</v>
      </c>
      <c r="AC106" s="234" t="s">
        <v>64</v>
      </c>
      <c r="AD106" s="234" t="s">
        <v>433</v>
      </c>
      <c r="AE106" s="234" t="s">
        <v>520</v>
      </c>
      <c r="AF106" s="234" t="s">
        <v>521</v>
      </c>
      <c r="AG106" s="234" t="s">
        <v>441</v>
      </c>
      <c r="AH106" s="234" t="s">
        <v>435</v>
      </c>
      <c r="AJ106" s="234" t="s">
        <v>442</v>
      </c>
      <c r="AK106" s="234">
        <v>0.9</v>
      </c>
      <c r="AL106" s="234" t="s">
        <v>437</v>
      </c>
      <c r="AM106" s="234">
        <v>1</v>
      </c>
    </row>
    <row r="107" spans="2:39" x14ac:dyDescent="0.3">
      <c r="B107" s="234" t="s">
        <v>522</v>
      </c>
      <c r="C107" s="234" t="s">
        <v>523</v>
      </c>
      <c r="D107" s="234" t="s">
        <v>352</v>
      </c>
      <c r="E107" s="234" t="s">
        <v>32</v>
      </c>
      <c r="F107" s="234" t="s">
        <v>172</v>
      </c>
      <c r="G107" s="234" t="s">
        <v>375</v>
      </c>
      <c r="H107" s="234">
        <v>2020</v>
      </c>
      <c r="I107" s="234">
        <v>1</v>
      </c>
      <c r="J107" s="234">
        <v>0.58823529411764697</v>
      </c>
      <c r="N107" s="234">
        <v>4.47</v>
      </c>
      <c r="O107" s="234">
        <v>1.49E-2</v>
      </c>
      <c r="P107" s="234">
        <v>1.8625</v>
      </c>
      <c r="Q107" s="234">
        <v>3.1536000000000002E-2</v>
      </c>
      <c r="R107" s="234">
        <v>1</v>
      </c>
      <c r="S107" s="234">
        <v>1</v>
      </c>
      <c r="T107" s="234">
        <v>25</v>
      </c>
      <c r="U107" s="234">
        <v>0.5</v>
      </c>
      <c r="AA107" s="234">
        <v>43</v>
      </c>
      <c r="AB107" s="234" t="s">
        <v>524</v>
      </c>
      <c r="AC107" s="234" t="s">
        <v>525</v>
      </c>
      <c r="AD107" s="234" t="s">
        <v>473</v>
      </c>
      <c r="AE107" s="234" t="s">
        <v>526</v>
      </c>
      <c r="AF107" s="234" t="s">
        <v>527</v>
      </c>
      <c r="AG107" s="234" t="s">
        <v>441</v>
      </c>
      <c r="AH107" s="234" t="s">
        <v>474</v>
      </c>
      <c r="AJ107" s="234" t="s">
        <v>473</v>
      </c>
      <c r="AL107" s="234" t="s">
        <v>437</v>
      </c>
      <c r="AM107" s="234">
        <v>1</v>
      </c>
    </row>
    <row r="108" spans="2:39" x14ac:dyDescent="0.3">
      <c r="D108" s="234" t="s">
        <v>218</v>
      </c>
      <c r="F108" s="234" t="s">
        <v>172</v>
      </c>
      <c r="G108" s="234" t="s">
        <v>383</v>
      </c>
      <c r="I108" s="234">
        <v>1</v>
      </c>
      <c r="J108" s="234">
        <v>0.58479532163742698</v>
      </c>
      <c r="N108" s="234">
        <v>4.2018000000000004</v>
      </c>
      <c r="O108" s="234">
        <v>1.49E-2</v>
      </c>
      <c r="P108" s="234">
        <v>2.03219444444444</v>
      </c>
      <c r="R108" s="234">
        <v>1</v>
      </c>
      <c r="T108" s="234">
        <v>25</v>
      </c>
      <c r="U108" s="234">
        <v>0.5</v>
      </c>
      <c r="AA108" s="234">
        <v>43</v>
      </c>
      <c r="AB108" s="234" t="s">
        <v>524</v>
      </c>
      <c r="AC108" s="234" t="s">
        <v>525</v>
      </c>
      <c r="AD108" s="234" t="s">
        <v>473</v>
      </c>
      <c r="AE108" s="234" t="s">
        <v>526</v>
      </c>
      <c r="AF108" s="234" t="s">
        <v>527</v>
      </c>
      <c r="AG108" s="234" t="s">
        <v>441</v>
      </c>
      <c r="AH108" s="234" t="s">
        <v>474</v>
      </c>
      <c r="AJ108" s="234" t="s">
        <v>473</v>
      </c>
      <c r="AL108" s="234" t="s">
        <v>437</v>
      </c>
      <c r="AM108" s="234">
        <v>1</v>
      </c>
    </row>
    <row r="109" spans="2:39" x14ac:dyDescent="0.3">
      <c r="D109" s="234" t="s">
        <v>28</v>
      </c>
      <c r="F109" s="234" t="s">
        <v>172</v>
      </c>
      <c r="G109" s="234" t="s">
        <v>384</v>
      </c>
      <c r="I109" s="234">
        <v>1</v>
      </c>
      <c r="J109" s="234">
        <v>0.57803468208092501</v>
      </c>
      <c r="N109" s="234">
        <v>3.7816200000000002</v>
      </c>
      <c r="O109" s="234">
        <v>1.49E-2</v>
      </c>
      <c r="P109" s="234">
        <v>2.59466944444444</v>
      </c>
      <c r="R109" s="234">
        <v>1</v>
      </c>
      <c r="T109" s="234">
        <v>25</v>
      </c>
      <c r="U109" s="234">
        <v>0.5</v>
      </c>
      <c r="AA109" s="234">
        <v>43</v>
      </c>
      <c r="AB109" s="234" t="s">
        <v>524</v>
      </c>
      <c r="AC109" s="234" t="s">
        <v>525</v>
      </c>
      <c r="AD109" s="234" t="s">
        <v>473</v>
      </c>
      <c r="AE109" s="234" t="s">
        <v>526</v>
      </c>
      <c r="AF109" s="234" t="s">
        <v>527</v>
      </c>
      <c r="AG109" s="234" t="s">
        <v>441</v>
      </c>
      <c r="AH109" s="234" t="s">
        <v>474</v>
      </c>
      <c r="AJ109" s="234" t="s">
        <v>473</v>
      </c>
      <c r="AL109" s="234" t="s">
        <v>437</v>
      </c>
      <c r="AM109" s="234">
        <v>1</v>
      </c>
    </row>
    <row r="110" spans="2:39" x14ac:dyDescent="0.3">
      <c r="F110" s="234" t="s">
        <v>172</v>
      </c>
      <c r="G110" s="234" t="s">
        <v>385</v>
      </c>
      <c r="I110" s="234">
        <v>1</v>
      </c>
      <c r="J110" s="234">
        <v>0.57142857142857095</v>
      </c>
      <c r="N110" s="234">
        <v>3.4034580000000001</v>
      </c>
      <c r="O110" s="234">
        <v>1.49E-2</v>
      </c>
      <c r="P110" s="234">
        <v>2.9560358333333299</v>
      </c>
      <c r="R110" s="234">
        <v>1</v>
      </c>
      <c r="T110" s="234">
        <v>25</v>
      </c>
      <c r="U110" s="234">
        <v>0.5</v>
      </c>
      <c r="AA110" s="234">
        <v>43</v>
      </c>
      <c r="AB110" s="234" t="s">
        <v>524</v>
      </c>
      <c r="AC110" s="234" t="s">
        <v>525</v>
      </c>
      <c r="AD110" s="234" t="s">
        <v>473</v>
      </c>
      <c r="AE110" s="234" t="s">
        <v>526</v>
      </c>
      <c r="AF110" s="234" t="s">
        <v>527</v>
      </c>
      <c r="AG110" s="234" t="s">
        <v>441</v>
      </c>
      <c r="AH110" s="234" t="s">
        <v>474</v>
      </c>
      <c r="AJ110" s="234" t="s">
        <v>473</v>
      </c>
      <c r="AL110" s="234" t="s">
        <v>437</v>
      </c>
      <c r="AM110" s="234">
        <v>1</v>
      </c>
    </row>
    <row r="111" spans="2:39" x14ac:dyDescent="0.3">
      <c r="B111" s="234" t="s">
        <v>528</v>
      </c>
      <c r="C111" s="234" t="s">
        <v>529</v>
      </c>
      <c r="D111" s="234" t="s">
        <v>352</v>
      </c>
      <c r="E111" s="234" t="s">
        <v>32</v>
      </c>
      <c r="F111" s="234" t="s">
        <v>172</v>
      </c>
      <c r="G111" s="234" t="s">
        <v>375</v>
      </c>
      <c r="H111" s="234">
        <v>2020</v>
      </c>
      <c r="I111" s="234">
        <v>1</v>
      </c>
      <c r="J111" s="234">
        <v>0.28571428571428598</v>
      </c>
      <c r="N111" s="234">
        <v>5.2149999999999999</v>
      </c>
      <c r="O111" s="234">
        <v>1.49E-2</v>
      </c>
      <c r="P111" s="234">
        <v>6.8291666666666702</v>
      </c>
      <c r="Q111" s="234">
        <v>3.1536000000000002E-2</v>
      </c>
      <c r="R111" s="234">
        <v>1</v>
      </c>
      <c r="S111" s="234">
        <v>1</v>
      </c>
      <c r="T111" s="234">
        <v>25</v>
      </c>
      <c r="U111" s="234">
        <v>0.5</v>
      </c>
      <c r="AA111" s="234">
        <v>42</v>
      </c>
      <c r="AB111" s="234" t="s">
        <v>530</v>
      </c>
      <c r="AC111" s="234" t="s">
        <v>525</v>
      </c>
      <c r="AD111" s="234" t="s">
        <v>473</v>
      </c>
      <c r="AE111" s="234" t="s">
        <v>163</v>
      </c>
      <c r="AF111" s="234" t="s">
        <v>527</v>
      </c>
      <c r="AG111" s="234" t="s">
        <v>441</v>
      </c>
      <c r="AH111" s="234" t="s">
        <v>474</v>
      </c>
      <c r="AJ111" s="234" t="s">
        <v>473</v>
      </c>
      <c r="AL111" s="234" t="s">
        <v>437</v>
      </c>
      <c r="AM111" s="234">
        <v>2</v>
      </c>
    </row>
    <row r="112" spans="2:39" x14ac:dyDescent="0.3">
      <c r="D112" s="234" t="s">
        <v>28</v>
      </c>
      <c r="F112" s="234" t="s">
        <v>172</v>
      </c>
      <c r="G112" s="234" t="s">
        <v>383</v>
      </c>
      <c r="I112" s="234">
        <v>1</v>
      </c>
      <c r="J112" s="234">
        <v>0.27777777777777801</v>
      </c>
      <c r="N112" s="234">
        <v>4.9020999999999999</v>
      </c>
      <c r="O112" s="234">
        <v>1.49E-2</v>
      </c>
      <c r="P112" s="234">
        <v>6.62222222222222</v>
      </c>
      <c r="R112" s="234">
        <v>1</v>
      </c>
      <c r="T112" s="234">
        <v>25</v>
      </c>
      <c r="U112" s="234">
        <v>0.5</v>
      </c>
      <c r="AA112" s="234">
        <v>42</v>
      </c>
      <c r="AB112" s="234" t="s">
        <v>530</v>
      </c>
      <c r="AC112" s="234" t="s">
        <v>525</v>
      </c>
      <c r="AD112" s="234" t="s">
        <v>473</v>
      </c>
      <c r="AE112" s="234" t="s">
        <v>163</v>
      </c>
      <c r="AF112" s="234" t="s">
        <v>527</v>
      </c>
      <c r="AG112" s="234" t="s">
        <v>441</v>
      </c>
      <c r="AH112" s="234" t="s">
        <v>474</v>
      </c>
      <c r="AJ112" s="234" t="s">
        <v>473</v>
      </c>
      <c r="AL112" s="234" t="s">
        <v>437</v>
      </c>
      <c r="AM112" s="234">
        <v>2</v>
      </c>
    </row>
    <row r="113" spans="2:39" x14ac:dyDescent="0.3">
      <c r="F113" s="234" t="s">
        <v>172</v>
      </c>
      <c r="G113" s="234" t="s">
        <v>384</v>
      </c>
      <c r="I113" s="234">
        <v>1</v>
      </c>
      <c r="J113" s="234">
        <v>0.26315789473684198</v>
      </c>
      <c r="N113" s="234">
        <v>4.4118899999999996</v>
      </c>
      <c r="O113" s="234">
        <v>1.49E-2</v>
      </c>
      <c r="P113" s="234">
        <v>7.6569444444444503</v>
      </c>
      <c r="R113" s="234">
        <v>1</v>
      </c>
      <c r="T113" s="234">
        <v>25</v>
      </c>
      <c r="U113" s="234">
        <v>0.5</v>
      </c>
      <c r="AA113" s="234">
        <v>42</v>
      </c>
      <c r="AB113" s="234" t="s">
        <v>530</v>
      </c>
      <c r="AC113" s="234" t="s">
        <v>525</v>
      </c>
      <c r="AD113" s="234" t="s">
        <v>473</v>
      </c>
      <c r="AE113" s="234" t="s">
        <v>163</v>
      </c>
      <c r="AF113" s="234" t="s">
        <v>527</v>
      </c>
      <c r="AG113" s="234" t="s">
        <v>441</v>
      </c>
      <c r="AH113" s="234" t="s">
        <v>474</v>
      </c>
      <c r="AJ113" s="234" t="s">
        <v>473</v>
      </c>
      <c r="AL113" s="234" t="s">
        <v>437</v>
      </c>
      <c r="AM113" s="234">
        <v>2</v>
      </c>
    </row>
    <row r="114" spans="2:39" x14ac:dyDescent="0.3">
      <c r="F114" s="234" t="s">
        <v>172</v>
      </c>
      <c r="G114" s="234" t="s">
        <v>385</v>
      </c>
      <c r="I114" s="234">
        <v>1</v>
      </c>
      <c r="J114" s="234">
        <v>0.24390243902438999</v>
      </c>
      <c r="N114" s="234">
        <v>3.970701</v>
      </c>
      <c r="O114" s="234">
        <v>1.49E-2</v>
      </c>
      <c r="P114" s="234">
        <v>8.0708333333333293</v>
      </c>
      <c r="R114" s="234">
        <v>1</v>
      </c>
      <c r="T114" s="234">
        <v>25</v>
      </c>
      <c r="U114" s="234">
        <v>0.5</v>
      </c>
      <c r="AA114" s="234">
        <v>42</v>
      </c>
      <c r="AB114" s="234" t="s">
        <v>530</v>
      </c>
      <c r="AC114" s="234" t="s">
        <v>525</v>
      </c>
      <c r="AD114" s="234" t="s">
        <v>473</v>
      </c>
      <c r="AE114" s="234" t="s">
        <v>163</v>
      </c>
      <c r="AF114" s="234" t="s">
        <v>527</v>
      </c>
      <c r="AG114" s="234" t="s">
        <v>441</v>
      </c>
      <c r="AH114" s="234" t="s">
        <v>474</v>
      </c>
      <c r="AJ114" s="234" t="s">
        <v>473</v>
      </c>
      <c r="AL114" s="234" t="s">
        <v>437</v>
      </c>
      <c r="AM114" s="234">
        <v>2</v>
      </c>
    </row>
    <row r="115" spans="2:39" x14ac:dyDescent="0.3">
      <c r="B115" s="234" t="s">
        <v>531</v>
      </c>
      <c r="C115" s="234" t="s">
        <v>532</v>
      </c>
      <c r="D115" s="234" t="s">
        <v>28</v>
      </c>
      <c r="E115" s="234" t="s">
        <v>32</v>
      </c>
      <c r="F115" s="234" t="s">
        <v>172</v>
      </c>
      <c r="G115" s="234" t="s">
        <v>375</v>
      </c>
      <c r="H115" s="234">
        <v>2020</v>
      </c>
      <c r="I115" s="234">
        <v>0.98</v>
      </c>
      <c r="N115" s="234">
        <v>1.1174999999999999</v>
      </c>
      <c r="O115" s="234">
        <v>8.1949999999999992E-3</v>
      </c>
      <c r="P115" s="234">
        <v>1.6555555555555601</v>
      </c>
      <c r="Q115" s="234">
        <v>3.1536000000000002E-2</v>
      </c>
      <c r="R115" s="234">
        <v>0.99</v>
      </c>
      <c r="S115" s="234">
        <v>1</v>
      </c>
      <c r="T115" s="234">
        <v>20</v>
      </c>
      <c r="U115" s="234">
        <v>0.5</v>
      </c>
      <c r="AA115" s="234">
        <v>44</v>
      </c>
      <c r="AB115" s="234" t="s">
        <v>533</v>
      </c>
      <c r="AC115" s="234" t="s">
        <v>160</v>
      </c>
      <c r="AD115" s="234" t="s">
        <v>473</v>
      </c>
      <c r="AE115" s="234" t="s">
        <v>163</v>
      </c>
      <c r="AF115" s="234" t="s">
        <v>28</v>
      </c>
      <c r="AG115" s="234" t="s">
        <v>441</v>
      </c>
      <c r="AH115" s="234" t="s">
        <v>474</v>
      </c>
      <c r="AJ115" s="234" t="s">
        <v>475</v>
      </c>
      <c r="AK115" s="234">
        <v>0.99</v>
      </c>
      <c r="AL115" s="234" t="s">
        <v>437</v>
      </c>
      <c r="AM115" s="234">
        <v>1</v>
      </c>
    </row>
    <row r="116" spans="2:39" x14ac:dyDescent="0.3">
      <c r="F116" s="234" t="s">
        <v>172</v>
      </c>
      <c r="G116" s="234" t="s">
        <v>383</v>
      </c>
      <c r="I116" s="234">
        <v>0.99</v>
      </c>
      <c r="N116" s="234">
        <v>1.1174999999999999</v>
      </c>
      <c r="O116" s="234">
        <v>7.9714999999999994E-3</v>
      </c>
      <c r="P116" s="234">
        <v>1.8625</v>
      </c>
      <c r="R116" s="234">
        <v>0.99</v>
      </c>
      <c r="T116" s="234">
        <v>20</v>
      </c>
      <c r="U116" s="234">
        <v>0.5</v>
      </c>
      <c r="AA116" s="234">
        <v>44</v>
      </c>
      <c r="AB116" s="234" t="s">
        <v>533</v>
      </c>
      <c r="AC116" s="234" t="s">
        <v>160</v>
      </c>
      <c r="AD116" s="234" t="s">
        <v>473</v>
      </c>
      <c r="AE116" s="234" t="s">
        <v>163</v>
      </c>
      <c r="AF116" s="234" t="s">
        <v>28</v>
      </c>
      <c r="AG116" s="234" t="s">
        <v>441</v>
      </c>
      <c r="AH116" s="234" t="s">
        <v>474</v>
      </c>
      <c r="AJ116" s="234" t="s">
        <v>475</v>
      </c>
      <c r="AK116" s="234">
        <v>0.99</v>
      </c>
      <c r="AL116" s="234" t="s">
        <v>437</v>
      </c>
      <c r="AM116" s="234">
        <v>1</v>
      </c>
    </row>
    <row r="117" spans="2:39" x14ac:dyDescent="0.3">
      <c r="F117" s="234" t="s">
        <v>172</v>
      </c>
      <c r="G117" s="234" t="s">
        <v>384</v>
      </c>
      <c r="I117" s="234">
        <v>0.99</v>
      </c>
      <c r="N117" s="234">
        <v>1.0429999999999999</v>
      </c>
      <c r="O117" s="234">
        <v>7.5989999999999999E-3</v>
      </c>
      <c r="P117" s="234">
        <v>2.0694444444444402</v>
      </c>
      <c r="R117" s="234">
        <v>0.99</v>
      </c>
      <c r="T117" s="234">
        <v>20</v>
      </c>
      <c r="U117" s="234">
        <v>0.5</v>
      </c>
      <c r="AA117" s="234">
        <v>44</v>
      </c>
      <c r="AB117" s="234" t="s">
        <v>533</v>
      </c>
      <c r="AC117" s="234" t="s">
        <v>160</v>
      </c>
      <c r="AD117" s="234" t="s">
        <v>473</v>
      </c>
      <c r="AE117" s="234" t="s">
        <v>163</v>
      </c>
      <c r="AF117" s="234" t="s">
        <v>28</v>
      </c>
      <c r="AG117" s="234" t="s">
        <v>441</v>
      </c>
      <c r="AH117" s="234" t="s">
        <v>474</v>
      </c>
      <c r="AJ117" s="234" t="s">
        <v>475</v>
      </c>
      <c r="AK117" s="234">
        <v>0.99</v>
      </c>
      <c r="AL117" s="234" t="s">
        <v>437</v>
      </c>
      <c r="AM117" s="234">
        <v>1</v>
      </c>
    </row>
    <row r="118" spans="2:39" x14ac:dyDescent="0.3">
      <c r="F118" s="234" t="s">
        <v>172</v>
      </c>
      <c r="G118" s="234" t="s">
        <v>385</v>
      </c>
      <c r="I118" s="234">
        <v>0.99</v>
      </c>
      <c r="N118" s="234">
        <v>0.96850000000000003</v>
      </c>
      <c r="O118" s="234">
        <v>6.8539999999999998E-3</v>
      </c>
      <c r="P118" s="234">
        <v>2.0694444444444402</v>
      </c>
      <c r="R118" s="234">
        <v>0.99</v>
      </c>
      <c r="T118" s="234">
        <v>20</v>
      </c>
      <c r="U118" s="234">
        <v>0.5</v>
      </c>
      <c r="AA118" s="234">
        <v>44</v>
      </c>
      <c r="AB118" s="234" t="s">
        <v>533</v>
      </c>
      <c r="AC118" s="234" t="s">
        <v>160</v>
      </c>
      <c r="AD118" s="234" t="s">
        <v>473</v>
      </c>
      <c r="AE118" s="234" t="s">
        <v>163</v>
      </c>
      <c r="AF118" s="234" t="s">
        <v>28</v>
      </c>
      <c r="AG118" s="234" t="s">
        <v>441</v>
      </c>
      <c r="AH118" s="234" t="s">
        <v>474</v>
      </c>
      <c r="AJ118" s="234" t="s">
        <v>475</v>
      </c>
      <c r="AK118" s="234">
        <v>0.99</v>
      </c>
      <c r="AL118" s="234" t="s">
        <v>437</v>
      </c>
      <c r="AM118" s="234">
        <v>1</v>
      </c>
    </row>
    <row r="119" spans="2:39" x14ac:dyDescent="0.3">
      <c r="B119" s="234" t="s">
        <v>534</v>
      </c>
      <c r="C119" s="234" t="s">
        <v>535</v>
      </c>
      <c r="D119" s="234" t="s">
        <v>351</v>
      </c>
      <c r="E119" s="234" t="s">
        <v>32</v>
      </c>
      <c r="F119" s="234" t="s">
        <v>172</v>
      </c>
      <c r="G119" s="234" t="s">
        <v>375</v>
      </c>
      <c r="H119" s="234">
        <v>2020</v>
      </c>
      <c r="I119" s="234">
        <v>1.03</v>
      </c>
      <c r="N119" s="234">
        <v>0.44700000000000001</v>
      </c>
      <c r="O119" s="234">
        <v>1.49E-2</v>
      </c>
      <c r="P119" s="234">
        <v>2.2763888888888899</v>
      </c>
      <c r="Q119" s="234">
        <v>3.1536000000000002E-2</v>
      </c>
      <c r="R119" s="234">
        <v>0.99</v>
      </c>
      <c r="S119" s="234">
        <v>1</v>
      </c>
      <c r="T119" s="234">
        <v>25</v>
      </c>
      <c r="U119" s="234">
        <v>0.5</v>
      </c>
      <c r="V119" s="234">
        <v>10</v>
      </c>
      <c r="W119" s="234">
        <v>3</v>
      </c>
      <c r="X119" s="234">
        <v>1</v>
      </c>
      <c r="Y119" s="234">
        <v>0.3</v>
      </c>
      <c r="AA119" s="234">
        <v>45</v>
      </c>
      <c r="AB119" s="234" t="s">
        <v>536</v>
      </c>
      <c r="AC119" s="234" t="s">
        <v>160</v>
      </c>
      <c r="AD119" s="234" t="s">
        <v>473</v>
      </c>
      <c r="AE119" s="234" t="s">
        <v>423</v>
      </c>
      <c r="AF119" s="234" t="s">
        <v>137</v>
      </c>
      <c r="AG119" s="234" t="s">
        <v>441</v>
      </c>
      <c r="AH119" s="234" t="s">
        <v>474</v>
      </c>
      <c r="AJ119" s="234" t="s">
        <v>475</v>
      </c>
      <c r="AK119" s="234">
        <v>0.99</v>
      </c>
      <c r="AL119" s="234" t="s">
        <v>437</v>
      </c>
      <c r="AM119" s="234">
        <v>1</v>
      </c>
    </row>
    <row r="120" spans="2:39" x14ac:dyDescent="0.3">
      <c r="F120" s="234" t="s">
        <v>172</v>
      </c>
      <c r="G120" s="234" t="s">
        <v>383</v>
      </c>
      <c r="I120" s="234">
        <v>1.03</v>
      </c>
      <c r="N120" s="234">
        <v>0.44700000000000001</v>
      </c>
      <c r="O120" s="234">
        <v>1.45275E-2</v>
      </c>
      <c r="P120" s="234">
        <v>2.2763888888888899</v>
      </c>
      <c r="R120" s="234">
        <v>0.99</v>
      </c>
      <c r="T120" s="234">
        <v>25</v>
      </c>
      <c r="U120" s="234">
        <v>0.5</v>
      </c>
      <c r="V120" s="234">
        <v>9</v>
      </c>
      <c r="W120" s="234">
        <v>3</v>
      </c>
      <c r="X120" s="234">
        <v>1</v>
      </c>
      <c r="Y120" s="234">
        <v>0.3</v>
      </c>
      <c r="AA120" s="234">
        <v>45</v>
      </c>
      <c r="AB120" s="234" t="s">
        <v>536</v>
      </c>
      <c r="AC120" s="234" t="s">
        <v>160</v>
      </c>
      <c r="AD120" s="234" t="s">
        <v>473</v>
      </c>
      <c r="AE120" s="234" t="s">
        <v>423</v>
      </c>
      <c r="AF120" s="234" t="s">
        <v>137</v>
      </c>
      <c r="AG120" s="234" t="s">
        <v>441</v>
      </c>
      <c r="AH120" s="234" t="s">
        <v>474</v>
      </c>
      <c r="AJ120" s="234" t="s">
        <v>475</v>
      </c>
      <c r="AK120" s="234">
        <v>0.99</v>
      </c>
      <c r="AL120" s="234" t="s">
        <v>437</v>
      </c>
      <c r="AM120" s="234">
        <v>1</v>
      </c>
    </row>
    <row r="121" spans="2:39" x14ac:dyDescent="0.3">
      <c r="F121" s="234" t="s">
        <v>172</v>
      </c>
      <c r="G121" s="234" t="s">
        <v>384</v>
      </c>
      <c r="I121" s="234">
        <v>1.04</v>
      </c>
      <c r="N121" s="234">
        <v>0.3725</v>
      </c>
      <c r="O121" s="234">
        <v>1.4154999999999999E-2</v>
      </c>
      <c r="P121" s="234">
        <v>2.0694444444444402</v>
      </c>
      <c r="R121" s="234">
        <v>0.99</v>
      </c>
      <c r="T121" s="234">
        <v>25</v>
      </c>
      <c r="U121" s="234">
        <v>0.5</v>
      </c>
      <c r="V121" s="234">
        <v>7</v>
      </c>
      <c r="W121" s="234">
        <v>2</v>
      </c>
      <c r="X121" s="234">
        <v>1</v>
      </c>
      <c r="Y121" s="234">
        <v>0.3</v>
      </c>
      <c r="AA121" s="234">
        <v>45</v>
      </c>
      <c r="AB121" s="234" t="s">
        <v>536</v>
      </c>
      <c r="AC121" s="234" t="s">
        <v>160</v>
      </c>
      <c r="AD121" s="234" t="s">
        <v>473</v>
      </c>
      <c r="AE121" s="234" t="s">
        <v>423</v>
      </c>
      <c r="AF121" s="234" t="s">
        <v>137</v>
      </c>
      <c r="AG121" s="234" t="s">
        <v>441</v>
      </c>
      <c r="AH121" s="234" t="s">
        <v>474</v>
      </c>
      <c r="AJ121" s="234" t="s">
        <v>475</v>
      </c>
      <c r="AK121" s="234">
        <v>0.99</v>
      </c>
      <c r="AL121" s="234" t="s">
        <v>437</v>
      </c>
      <c r="AM121" s="234">
        <v>1</v>
      </c>
    </row>
    <row r="122" spans="2:39" x14ac:dyDescent="0.3">
      <c r="F122" s="234" t="s">
        <v>172</v>
      </c>
      <c r="G122" s="234" t="s">
        <v>385</v>
      </c>
      <c r="I122" s="234">
        <v>1.04</v>
      </c>
      <c r="N122" s="234">
        <v>0.3725</v>
      </c>
      <c r="O122" s="234">
        <v>1.2664999999999999E-2</v>
      </c>
      <c r="P122" s="234">
        <v>2.0694444444444402</v>
      </c>
      <c r="R122" s="234">
        <v>0.99</v>
      </c>
      <c r="T122" s="234">
        <v>25</v>
      </c>
      <c r="U122" s="234">
        <v>0.5</v>
      </c>
      <c r="V122" s="234">
        <v>6</v>
      </c>
      <c r="W122" s="234">
        <v>2</v>
      </c>
      <c r="X122" s="234">
        <v>1</v>
      </c>
      <c r="Y122" s="234">
        <v>0.3</v>
      </c>
      <c r="AA122" s="234">
        <v>45</v>
      </c>
      <c r="AB122" s="234" t="s">
        <v>536</v>
      </c>
      <c r="AC122" s="234" t="s">
        <v>160</v>
      </c>
      <c r="AD122" s="234" t="s">
        <v>473</v>
      </c>
      <c r="AE122" s="234" t="s">
        <v>423</v>
      </c>
      <c r="AF122" s="234" t="s">
        <v>137</v>
      </c>
      <c r="AG122" s="234" t="s">
        <v>441</v>
      </c>
      <c r="AH122" s="234" t="s">
        <v>474</v>
      </c>
      <c r="AJ122" s="234" t="s">
        <v>475</v>
      </c>
      <c r="AK122" s="234">
        <v>0.99</v>
      </c>
      <c r="AL122" s="234" t="s">
        <v>437</v>
      </c>
      <c r="AM122" s="234">
        <v>1</v>
      </c>
    </row>
    <row r="123" spans="2:39" x14ac:dyDescent="0.3">
      <c r="B123" s="234" t="s">
        <v>537</v>
      </c>
      <c r="C123" s="234" t="s">
        <v>538</v>
      </c>
      <c r="D123" s="234" t="s">
        <v>182</v>
      </c>
      <c r="E123" s="234" t="s">
        <v>32</v>
      </c>
      <c r="F123" s="234" t="s">
        <v>172</v>
      </c>
      <c r="G123" s="234" t="s">
        <v>375</v>
      </c>
      <c r="H123" s="234">
        <v>2020</v>
      </c>
      <c r="I123" s="234">
        <v>0.95</v>
      </c>
      <c r="J123" s="234">
        <v>0.05</v>
      </c>
      <c r="K123" s="234">
        <v>0.58823529411764697</v>
      </c>
      <c r="N123" s="234">
        <v>13.41</v>
      </c>
      <c r="O123" s="234">
        <v>0.14899999999999999</v>
      </c>
      <c r="P123" s="234">
        <v>10.8645833333333</v>
      </c>
      <c r="Q123" s="234">
        <v>3.1536000000000002E-2</v>
      </c>
      <c r="R123" s="234">
        <v>0.98</v>
      </c>
      <c r="S123" s="234">
        <v>1</v>
      </c>
      <c r="T123" s="234">
        <v>25</v>
      </c>
      <c r="U123" s="234">
        <v>4.5</v>
      </c>
      <c r="AA123" s="234">
        <v>47</v>
      </c>
      <c r="AB123" s="234" t="s">
        <v>539</v>
      </c>
      <c r="AC123" s="234" t="s">
        <v>161</v>
      </c>
      <c r="AD123" s="234" t="s">
        <v>473</v>
      </c>
      <c r="AE123" s="234" t="s">
        <v>526</v>
      </c>
      <c r="AF123" s="234" t="s">
        <v>198</v>
      </c>
      <c r="AG123" s="234" t="s">
        <v>441</v>
      </c>
      <c r="AH123" s="234" t="s">
        <v>474</v>
      </c>
      <c r="AJ123" s="234" t="s">
        <v>473</v>
      </c>
      <c r="AK123" s="234">
        <v>0.98</v>
      </c>
      <c r="AL123" s="234" t="s">
        <v>437</v>
      </c>
      <c r="AM123" s="234">
        <v>1</v>
      </c>
    </row>
    <row r="124" spans="2:39" x14ac:dyDescent="0.3">
      <c r="D124" s="234" t="s">
        <v>218</v>
      </c>
      <c r="F124" s="234" t="s">
        <v>172</v>
      </c>
      <c r="G124" s="234" t="s">
        <v>383</v>
      </c>
      <c r="I124" s="234">
        <v>0.95</v>
      </c>
      <c r="J124" s="234">
        <v>0.05</v>
      </c>
      <c r="K124" s="234">
        <v>0.58823529411764697</v>
      </c>
      <c r="N124" s="234">
        <v>13.41</v>
      </c>
      <c r="O124" s="234">
        <v>0.14899999999999999</v>
      </c>
      <c r="P124" s="234">
        <v>11.3819444444444</v>
      </c>
      <c r="R124" s="234">
        <v>0.98</v>
      </c>
      <c r="T124" s="234">
        <v>25</v>
      </c>
      <c r="U124" s="234">
        <v>4.5</v>
      </c>
      <c r="AA124" s="234">
        <v>47</v>
      </c>
      <c r="AB124" s="234" t="s">
        <v>539</v>
      </c>
      <c r="AC124" s="234" t="s">
        <v>161</v>
      </c>
      <c r="AD124" s="234" t="s">
        <v>473</v>
      </c>
      <c r="AE124" s="234" t="s">
        <v>526</v>
      </c>
      <c r="AF124" s="234" t="s">
        <v>198</v>
      </c>
      <c r="AG124" s="234" t="s">
        <v>441</v>
      </c>
      <c r="AH124" s="234" t="s">
        <v>474</v>
      </c>
      <c r="AJ124" s="234" t="s">
        <v>473</v>
      </c>
      <c r="AK124" s="234">
        <v>0.98</v>
      </c>
      <c r="AL124" s="234" t="s">
        <v>437</v>
      </c>
      <c r="AM124" s="234">
        <v>1</v>
      </c>
    </row>
    <row r="125" spans="2:39" x14ac:dyDescent="0.3">
      <c r="D125" s="234" t="s">
        <v>28</v>
      </c>
      <c r="F125" s="234" t="s">
        <v>172</v>
      </c>
      <c r="G125" s="234" t="s">
        <v>384</v>
      </c>
      <c r="I125" s="234">
        <v>0.95</v>
      </c>
      <c r="J125" s="234">
        <v>0.05</v>
      </c>
      <c r="K125" s="234">
        <v>0.58823529411764697</v>
      </c>
      <c r="N125" s="234">
        <v>12.664999999999999</v>
      </c>
      <c r="O125" s="234">
        <v>0.14899999999999999</v>
      </c>
      <c r="P125" s="234">
        <v>13.4513888888889</v>
      </c>
      <c r="R125" s="234">
        <v>0.98</v>
      </c>
      <c r="T125" s="234">
        <v>30</v>
      </c>
      <c r="U125" s="234">
        <v>4.5</v>
      </c>
      <c r="AA125" s="234">
        <v>47</v>
      </c>
      <c r="AB125" s="234" t="s">
        <v>539</v>
      </c>
      <c r="AC125" s="234" t="s">
        <v>161</v>
      </c>
      <c r="AD125" s="234" t="s">
        <v>473</v>
      </c>
      <c r="AE125" s="234" t="s">
        <v>526</v>
      </c>
      <c r="AF125" s="234" t="s">
        <v>198</v>
      </c>
      <c r="AG125" s="234" t="s">
        <v>441</v>
      </c>
      <c r="AH125" s="234" t="s">
        <v>474</v>
      </c>
      <c r="AJ125" s="234" t="s">
        <v>473</v>
      </c>
      <c r="AK125" s="234">
        <v>0.98</v>
      </c>
      <c r="AL125" s="234" t="s">
        <v>437</v>
      </c>
      <c r="AM125" s="234">
        <v>1</v>
      </c>
    </row>
    <row r="126" spans="2:39" x14ac:dyDescent="0.3">
      <c r="F126" s="234" t="s">
        <v>172</v>
      </c>
      <c r="G126" s="234" t="s">
        <v>385</v>
      </c>
      <c r="I126" s="234">
        <v>0.95</v>
      </c>
      <c r="J126" s="234">
        <v>0.05</v>
      </c>
      <c r="K126" s="234">
        <v>0.58823529411764697</v>
      </c>
      <c r="N126" s="234">
        <v>11.92</v>
      </c>
      <c r="O126" s="234">
        <v>0.14899999999999999</v>
      </c>
      <c r="P126" s="234">
        <v>15.0034722222222</v>
      </c>
      <c r="R126" s="234">
        <v>0.98</v>
      </c>
      <c r="T126" s="234">
        <v>30</v>
      </c>
      <c r="U126" s="234">
        <v>4.5</v>
      </c>
      <c r="AA126" s="234">
        <v>47</v>
      </c>
      <c r="AB126" s="234" t="s">
        <v>539</v>
      </c>
      <c r="AC126" s="234" t="s">
        <v>161</v>
      </c>
      <c r="AD126" s="234" t="s">
        <v>473</v>
      </c>
      <c r="AE126" s="234" t="s">
        <v>526</v>
      </c>
      <c r="AF126" s="234" t="s">
        <v>198</v>
      </c>
      <c r="AG126" s="234" t="s">
        <v>441</v>
      </c>
      <c r="AH126" s="234" t="s">
        <v>474</v>
      </c>
      <c r="AJ126" s="234" t="s">
        <v>473</v>
      </c>
      <c r="AK126" s="234">
        <v>0.98</v>
      </c>
      <c r="AL126" s="234" t="s">
        <v>437</v>
      </c>
      <c r="AM126" s="234">
        <v>1</v>
      </c>
    </row>
    <row r="127" spans="2:39" x14ac:dyDescent="0.3">
      <c r="B127" s="234" t="s">
        <v>540</v>
      </c>
      <c r="C127" s="234" t="s">
        <v>541</v>
      </c>
      <c r="D127" s="234" t="s">
        <v>182</v>
      </c>
      <c r="E127" s="234" t="s">
        <v>32</v>
      </c>
      <c r="F127" s="234" t="s">
        <v>172</v>
      </c>
      <c r="G127" s="234" t="s">
        <v>375</v>
      </c>
      <c r="H127" s="234">
        <v>2020</v>
      </c>
      <c r="I127" s="234">
        <v>0.92</v>
      </c>
      <c r="J127" s="234">
        <v>0.08</v>
      </c>
      <c r="K127" s="234">
        <v>0.41152263374485598</v>
      </c>
      <c r="N127" s="234">
        <v>10.43</v>
      </c>
      <c r="O127" s="234">
        <v>0.20860000000000001</v>
      </c>
      <c r="P127" s="234">
        <v>14.4861111111111</v>
      </c>
      <c r="Q127" s="234">
        <v>3.1536000000000002E-2</v>
      </c>
      <c r="R127" s="234">
        <v>0.98</v>
      </c>
      <c r="S127" s="234">
        <v>1</v>
      </c>
      <c r="T127" s="234">
        <v>25</v>
      </c>
      <c r="U127" s="234">
        <v>4.5</v>
      </c>
      <c r="AA127" s="234">
        <v>46</v>
      </c>
      <c r="AB127" s="234" t="s">
        <v>542</v>
      </c>
      <c r="AC127" s="234" t="s">
        <v>161</v>
      </c>
      <c r="AD127" s="234" t="s">
        <v>473</v>
      </c>
      <c r="AE127" s="234" t="s">
        <v>526</v>
      </c>
      <c r="AF127" s="234" t="s">
        <v>198</v>
      </c>
      <c r="AG127" s="234" t="s">
        <v>441</v>
      </c>
      <c r="AH127" s="234" t="s">
        <v>474</v>
      </c>
      <c r="AJ127" s="234" t="s">
        <v>473</v>
      </c>
      <c r="AK127" s="234">
        <v>0.98</v>
      </c>
      <c r="AL127" s="234" t="s">
        <v>437</v>
      </c>
      <c r="AM127" s="234">
        <v>2</v>
      </c>
    </row>
    <row r="128" spans="2:39" x14ac:dyDescent="0.3">
      <c r="D128" s="234" t="s">
        <v>218</v>
      </c>
      <c r="F128" s="234" t="s">
        <v>172</v>
      </c>
      <c r="G128" s="234" t="s">
        <v>383</v>
      </c>
      <c r="I128" s="234">
        <v>0.92</v>
      </c>
      <c r="J128" s="234">
        <v>0.08</v>
      </c>
      <c r="K128" s="234">
        <v>0.41152263374485598</v>
      </c>
      <c r="N128" s="234">
        <v>10.43</v>
      </c>
      <c r="O128" s="234">
        <v>0.20860000000000001</v>
      </c>
      <c r="P128" s="234">
        <v>15.5208333333333</v>
      </c>
      <c r="R128" s="234">
        <v>0.98</v>
      </c>
      <c r="T128" s="234">
        <v>25</v>
      </c>
      <c r="U128" s="234">
        <v>4.5</v>
      </c>
      <c r="AA128" s="234">
        <v>46</v>
      </c>
      <c r="AB128" s="234" t="s">
        <v>542</v>
      </c>
      <c r="AC128" s="234" t="s">
        <v>161</v>
      </c>
      <c r="AD128" s="234" t="s">
        <v>473</v>
      </c>
      <c r="AE128" s="234" t="s">
        <v>526</v>
      </c>
      <c r="AF128" s="234" t="s">
        <v>198</v>
      </c>
      <c r="AG128" s="234" t="s">
        <v>441</v>
      </c>
      <c r="AH128" s="234" t="s">
        <v>474</v>
      </c>
      <c r="AJ128" s="234" t="s">
        <v>473</v>
      </c>
      <c r="AK128" s="234">
        <v>0.98</v>
      </c>
      <c r="AL128" s="234" t="s">
        <v>437</v>
      </c>
      <c r="AM128" s="234">
        <v>2</v>
      </c>
    </row>
    <row r="129" spans="2:39" x14ac:dyDescent="0.3">
      <c r="D129" s="234" t="s">
        <v>28</v>
      </c>
      <c r="F129" s="234" t="s">
        <v>172</v>
      </c>
      <c r="G129" s="234" t="s">
        <v>384</v>
      </c>
      <c r="I129" s="234">
        <v>0.94</v>
      </c>
      <c r="J129" s="234">
        <v>6.0000000000000102E-2</v>
      </c>
      <c r="K129" s="234">
        <v>0.41152263374485598</v>
      </c>
      <c r="N129" s="234">
        <v>9.6850000000000005</v>
      </c>
      <c r="O129" s="234">
        <v>0.16389999999999999</v>
      </c>
      <c r="P129" s="234">
        <v>15.5208333333333</v>
      </c>
      <c r="R129" s="234">
        <v>0.98</v>
      </c>
      <c r="T129" s="234">
        <v>30</v>
      </c>
      <c r="U129" s="234">
        <v>4.5</v>
      </c>
      <c r="AA129" s="234">
        <v>46</v>
      </c>
      <c r="AB129" s="234" t="s">
        <v>542</v>
      </c>
      <c r="AC129" s="234" t="s">
        <v>161</v>
      </c>
      <c r="AD129" s="234" t="s">
        <v>473</v>
      </c>
      <c r="AE129" s="234" t="s">
        <v>526</v>
      </c>
      <c r="AF129" s="234" t="s">
        <v>198</v>
      </c>
      <c r="AG129" s="234" t="s">
        <v>441</v>
      </c>
      <c r="AH129" s="234" t="s">
        <v>474</v>
      </c>
      <c r="AJ129" s="234" t="s">
        <v>473</v>
      </c>
      <c r="AK129" s="234">
        <v>0.98</v>
      </c>
      <c r="AL129" s="234" t="s">
        <v>437</v>
      </c>
      <c r="AM129" s="234">
        <v>2</v>
      </c>
    </row>
    <row r="130" spans="2:39" x14ac:dyDescent="0.3">
      <c r="F130" s="234" t="s">
        <v>172</v>
      </c>
      <c r="G130" s="234" t="s">
        <v>385</v>
      </c>
      <c r="I130" s="234">
        <v>0.94</v>
      </c>
      <c r="J130" s="234">
        <v>6.0000000000000102E-2</v>
      </c>
      <c r="K130" s="234">
        <v>0.41152263374485598</v>
      </c>
      <c r="N130" s="234">
        <v>9.6850000000000005</v>
      </c>
      <c r="O130" s="234">
        <v>0.14899999999999999</v>
      </c>
      <c r="P130" s="234">
        <v>17.5902777777778</v>
      </c>
      <c r="R130" s="234">
        <v>0.98</v>
      </c>
      <c r="T130" s="234">
        <v>30</v>
      </c>
      <c r="U130" s="234">
        <v>4.5</v>
      </c>
      <c r="AA130" s="234">
        <v>46</v>
      </c>
      <c r="AB130" s="234" t="s">
        <v>542</v>
      </c>
      <c r="AC130" s="234" t="s">
        <v>161</v>
      </c>
      <c r="AD130" s="234" t="s">
        <v>473</v>
      </c>
      <c r="AE130" s="234" t="s">
        <v>526</v>
      </c>
      <c r="AF130" s="234" t="s">
        <v>198</v>
      </c>
      <c r="AG130" s="234" t="s">
        <v>441</v>
      </c>
      <c r="AH130" s="234" t="s">
        <v>474</v>
      </c>
      <c r="AJ130" s="234" t="s">
        <v>473</v>
      </c>
      <c r="AK130" s="234">
        <v>0.98</v>
      </c>
      <c r="AL130" s="234" t="s">
        <v>437</v>
      </c>
      <c r="AM130" s="234">
        <v>2</v>
      </c>
    </row>
    <row r="131" spans="2:39" x14ac:dyDescent="0.3">
      <c r="B131" s="234" t="s">
        <v>543</v>
      </c>
      <c r="C131" s="234" t="s">
        <v>544</v>
      </c>
      <c r="D131" s="234" t="s">
        <v>182</v>
      </c>
      <c r="E131" s="234" t="s">
        <v>32</v>
      </c>
      <c r="F131" s="234" t="s">
        <v>172</v>
      </c>
      <c r="G131" s="234" t="s">
        <v>375</v>
      </c>
      <c r="H131" s="234">
        <v>2020</v>
      </c>
      <c r="I131" s="234">
        <v>0.92</v>
      </c>
      <c r="J131" s="234">
        <v>0.08</v>
      </c>
      <c r="K131" s="234">
        <v>0.89285714285714302</v>
      </c>
      <c r="N131" s="234">
        <v>10.43</v>
      </c>
      <c r="O131" s="234">
        <v>0.20860000000000001</v>
      </c>
      <c r="P131" s="234">
        <v>14.4861111111111</v>
      </c>
      <c r="Q131" s="234">
        <v>3.1536000000000002E-2</v>
      </c>
      <c r="R131" s="234">
        <v>0.98</v>
      </c>
      <c r="S131" s="234">
        <v>1</v>
      </c>
      <c r="T131" s="234">
        <v>25</v>
      </c>
      <c r="U131" s="234">
        <v>4.5</v>
      </c>
      <c r="AA131" s="234">
        <v>48</v>
      </c>
      <c r="AB131" s="234" t="s">
        <v>545</v>
      </c>
      <c r="AC131" s="234" t="s">
        <v>161</v>
      </c>
      <c r="AD131" s="234" t="s">
        <v>473</v>
      </c>
      <c r="AE131" s="234" t="s">
        <v>163</v>
      </c>
      <c r="AF131" s="234" t="s">
        <v>198</v>
      </c>
      <c r="AG131" s="234" t="s">
        <v>441</v>
      </c>
      <c r="AH131" s="234" t="s">
        <v>474</v>
      </c>
      <c r="AJ131" s="234" t="s">
        <v>473</v>
      </c>
      <c r="AK131" s="234">
        <v>0.98</v>
      </c>
      <c r="AL131" s="234" t="s">
        <v>437</v>
      </c>
      <c r="AM131" s="234">
        <v>3</v>
      </c>
    </row>
    <row r="132" spans="2:39" x14ac:dyDescent="0.3">
      <c r="D132" s="234" t="s">
        <v>28</v>
      </c>
      <c r="F132" s="234" t="s">
        <v>172</v>
      </c>
      <c r="G132" s="234" t="s">
        <v>383</v>
      </c>
      <c r="I132" s="234">
        <v>0.92</v>
      </c>
      <c r="J132" s="234">
        <v>0.08</v>
      </c>
      <c r="K132" s="234">
        <v>0.89285714285714302</v>
      </c>
      <c r="N132" s="234">
        <v>10.43</v>
      </c>
      <c r="O132" s="234">
        <v>0.20860000000000001</v>
      </c>
      <c r="P132" s="234">
        <v>15.5208333333333</v>
      </c>
      <c r="R132" s="234">
        <v>0.98</v>
      </c>
      <c r="T132" s="234">
        <v>25</v>
      </c>
      <c r="U132" s="234">
        <v>4.5</v>
      </c>
      <c r="AA132" s="234">
        <v>48</v>
      </c>
      <c r="AB132" s="234" t="s">
        <v>545</v>
      </c>
      <c r="AC132" s="234" t="s">
        <v>161</v>
      </c>
      <c r="AD132" s="234" t="s">
        <v>473</v>
      </c>
      <c r="AE132" s="234" t="s">
        <v>163</v>
      </c>
      <c r="AF132" s="234" t="s">
        <v>198</v>
      </c>
      <c r="AG132" s="234" t="s">
        <v>441</v>
      </c>
      <c r="AH132" s="234" t="s">
        <v>474</v>
      </c>
      <c r="AJ132" s="234" t="s">
        <v>473</v>
      </c>
      <c r="AK132" s="234">
        <v>0.98</v>
      </c>
      <c r="AL132" s="234" t="s">
        <v>437</v>
      </c>
      <c r="AM132" s="234">
        <v>3</v>
      </c>
    </row>
    <row r="133" spans="2:39" x14ac:dyDescent="0.3">
      <c r="F133" s="234" t="s">
        <v>172</v>
      </c>
      <c r="G133" s="234" t="s">
        <v>384</v>
      </c>
      <c r="I133" s="234">
        <v>0.94</v>
      </c>
      <c r="J133" s="234">
        <v>6.0000000000000102E-2</v>
      </c>
      <c r="K133" s="234">
        <v>0.89285714285714302</v>
      </c>
      <c r="N133" s="234">
        <v>9.6850000000000005</v>
      </c>
      <c r="O133" s="234">
        <v>0.16389999999999999</v>
      </c>
      <c r="P133" s="234">
        <v>15.5208333333333</v>
      </c>
      <c r="R133" s="234">
        <v>0.98</v>
      </c>
      <c r="T133" s="234">
        <v>30</v>
      </c>
      <c r="U133" s="234">
        <v>4.5</v>
      </c>
      <c r="AA133" s="234">
        <v>48</v>
      </c>
      <c r="AB133" s="234" t="s">
        <v>545</v>
      </c>
      <c r="AC133" s="234" t="s">
        <v>161</v>
      </c>
      <c r="AD133" s="234" t="s">
        <v>473</v>
      </c>
      <c r="AE133" s="234" t="s">
        <v>163</v>
      </c>
      <c r="AF133" s="234" t="s">
        <v>198</v>
      </c>
      <c r="AG133" s="234" t="s">
        <v>441</v>
      </c>
      <c r="AH133" s="234" t="s">
        <v>474</v>
      </c>
      <c r="AJ133" s="234" t="s">
        <v>473</v>
      </c>
      <c r="AK133" s="234">
        <v>0.98</v>
      </c>
      <c r="AL133" s="234" t="s">
        <v>437</v>
      </c>
      <c r="AM133" s="234">
        <v>3</v>
      </c>
    </row>
    <row r="134" spans="2:39" x14ac:dyDescent="0.3">
      <c r="F134" s="234" t="s">
        <v>172</v>
      </c>
      <c r="G134" s="234" t="s">
        <v>385</v>
      </c>
      <c r="I134" s="234">
        <v>0.94</v>
      </c>
      <c r="J134" s="234">
        <v>6.0000000000000102E-2</v>
      </c>
      <c r="K134" s="234">
        <v>0.89285714285714302</v>
      </c>
      <c r="N134" s="234">
        <v>9.6850000000000005</v>
      </c>
      <c r="O134" s="234">
        <v>0.14899999999999999</v>
      </c>
      <c r="P134" s="234">
        <v>17.5902777777778</v>
      </c>
      <c r="R134" s="234">
        <v>0.98</v>
      </c>
      <c r="T134" s="234">
        <v>30</v>
      </c>
      <c r="U134" s="234">
        <v>4.5</v>
      </c>
      <c r="AA134" s="234">
        <v>48</v>
      </c>
      <c r="AB134" s="234" t="s">
        <v>545</v>
      </c>
      <c r="AC134" s="234" t="s">
        <v>161</v>
      </c>
      <c r="AD134" s="234" t="s">
        <v>473</v>
      </c>
      <c r="AE134" s="234" t="s">
        <v>163</v>
      </c>
      <c r="AF134" s="234" t="s">
        <v>198</v>
      </c>
      <c r="AG134" s="234" t="s">
        <v>441</v>
      </c>
      <c r="AH134" s="234" t="s">
        <v>474</v>
      </c>
      <c r="AJ134" s="234" t="s">
        <v>473</v>
      </c>
      <c r="AK134" s="234">
        <v>0.98</v>
      </c>
      <c r="AL134" s="234" t="s">
        <v>437</v>
      </c>
      <c r="AM134" s="234">
        <v>3</v>
      </c>
    </row>
    <row r="135" spans="2:39" x14ac:dyDescent="0.3">
      <c r="B135" s="234" t="s">
        <v>546</v>
      </c>
      <c r="C135" s="234" t="s">
        <v>547</v>
      </c>
      <c r="D135" s="234" t="s">
        <v>184</v>
      </c>
      <c r="E135" s="234" t="s">
        <v>32</v>
      </c>
      <c r="F135" s="234" t="s">
        <v>172</v>
      </c>
      <c r="G135" s="234" t="s">
        <v>375</v>
      </c>
      <c r="H135" s="234">
        <v>2020</v>
      </c>
      <c r="I135" s="234">
        <v>1</v>
      </c>
      <c r="N135" s="234">
        <v>3.64222222222222</v>
      </c>
      <c r="O135" s="234">
        <v>6.7049999999999998E-4</v>
      </c>
      <c r="P135" s="234">
        <v>0.39319444444444501</v>
      </c>
      <c r="Q135" s="234">
        <v>3.1536000000000002E-2</v>
      </c>
      <c r="S135" s="234">
        <v>0.3</v>
      </c>
      <c r="T135" s="234">
        <v>30</v>
      </c>
      <c r="U135" s="234">
        <v>0.25</v>
      </c>
      <c r="AA135" s="234">
        <v>49</v>
      </c>
      <c r="AB135" s="234" t="s">
        <v>548</v>
      </c>
      <c r="AC135" s="234" t="s">
        <v>405</v>
      </c>
      <c r="AD135" s="234" t="s">
        <v>473</v>
      </c>
      <c r="AE135" s="234" t="s">
        <v>405</v>
      </c>
      <c r="AF135" s="234" t="s">
        <v>195</v>
      </c>
      <c r="AG135" s="234" t="s">
        <v>441</v>
      </c>
      <c r="AH135" s="234" t="s">
        <v>474</v>
      </c>
      <c r="AI135" s="234">
        <v>0.114155251141553</v>
      </c>
      <c r="AJ135" s="234" t="s">
        <v>549</v>
      </c>
      <c r="AK135" s="234">
        <v>0.114155251141553</v>
      </c>
      <c r="AL135" s="234" t="s">
        <v>437</v>
      </c>
      <c r="AM135" s="234">
        <v>1</v>
      </c>
    </row>
    <row r="136" spans="2:39" x14ac:dyDescent="0.3">
      <c r="F136" s="234" t="s">
        <v>172</v>
      </c>
      <c r="G136" s="234" t="s">
        <v>383</v>
      </c>
      <c r="I136" s="234">
        <v>1</v>
      </c>
      <c r="N136" s="234">
        <v>3.3702790767620598</v>
      </c>
      <c r="O136" s="234">
        <v>6.7049999999999998E-4</v>
      </c>
      <c r="P136" s="234">
        <v>0.43458333333333299</v>
      </c>
      <c r="T136" s="234">
        <v>30</v>
      </c>
      <c r="U136" s="234">
        <v>0.25</v>
      </c>
      <c r="AA136" s="234">
        <v>49</v>
      </c>
      <c r="AB136" s="234" t="s">
        <v>548</v>
      </c>
      <c r="AC136" s="234" t="s">
        <v>405</v>
      </c>
      <c r="AD136" s="234" t="s">
        <v>473</v>
      </c>
      <c r="AE136" s="234" t="s">
        <v>405</v>
      </c>
      <c r="AF136" s="234" t="s">
        <v>195</v>
      </c>
      <c r="AG136" s="234" t="s">
        <v>441</v>
      </c>
      <c r="AH136" s="234" t="s">
        <v>474</v>
      </c>
      <c r="AI136" s="234">
        <v>0.114155251141553</v>
      </c>
      <c r="AJ136" s="234" t="s">
        <v>549</v>
      </c>
      <c r="AK136" s="234">
        <v>0.114155251141553</v>
      </c>
      <c r="AL136" s="234" t="s">
        <v>437</v>
      </c>
      <c r="AM136" s="234">
        <v>1</v>
      </c>
    </row>
    <row r="137" spans="2:39" x14ac:dyDescent="0.3">
      <c r="F137" s="234" t="s">
        <v>172</v>
      </c>
      <c r="G137" s="234" t="s">
        <v>384</v>
      </c>
      <c r="I137" s="234">
        <v>1</v>
      </c>
      <c r="N137" s="234">
        <v>3.1000548885491299</v>
      </c>
      <c r="O137" s="234">
        <v>5.9599999999999996E-4</v>
      </c>
      <c r="P137" s="234">
        <v>0.62083333333333302</v>
      </c>
      <c r="T137" s="234">
        <v>30</v>
      </c>
      <c r="U137" s="234">
        <v>0.25</v>
      </c>
      <c r="AA137" s="234">
        <v>49</v>
      </c>
      <c r="AB137" s="234" t="s">
        <v>548</v>
      </c>
      <c r="AC137" s="234" t="s">
        <v>405</v>
      </c>
      <c r="AD137" s="234" t="s">
        <v>473</v>
      </c>
      <c r="AE137" s="234" t="s">
        <v>405</v>
      </c>
      <c r="AF137" s="234" t="s">
        <v>195</v>
      </c>
      <c r="AG137" s="234" t="s">
        <v>441</v>
      </c>
      <c r="AH137" s="234" t="s">
        <v>474</v>
      </c>
      <c r="AI137" s="234">
        <v>0.114155251141553</v>
      </c>
      <c r="AJ137" s="234" t="s">
        <v>549</v>
      </c>
      <c r="AK137" s="234">
        <v>0.114155251141553</v>
      </c>
      <c r="AL137" s="234" t="s">
        <v>437</v>
      </c>
      <c r="AM137" s="234">
        <v>1</v>
      </c>
    </row>
    <row r="138" spans="2:39" x14ac:dyDescent="0.3">
      <c r="F138" s="234" t="s">
        <v>172</v>
      </c>
      <c r="G138" s="234" t="s">
        <v>385</v>
      </c>
      <c r="I138" s="234">
        <v>1</v>
      </c>
      <c r="N138" s="234">
        <v>2.8116203829751401</v>
      </c>
      <c r="O138" s="234">
        <v>5.9599999999999996E-4</v>
      </c>
      <c r="P138" s="234">
        <v>0.72430555555555598</v>
      </c>
      <c r="T138" s="234">
        <v>30</v>
      </c>
      <c r="U138" s="234">
        <v>0.25</v>
      </c>
      <c r="AA138" s="234">
        <v>49</v>
      </c>
      <c r="AB138" s="234" t="s">
        <v>548</v>
      </c>
      <c r="AC138" s="234" t="s">
        <v>405</v>
      </c>
      <c r="AD138" s="234" t="s">
        <v>473</v>
      </c>
      <c r="AE138" s="234" t="s">
        <v>405</v>
      </c>
      <c r="AF138" s="234" t="s">
        <v>195</v>
      </c>
      <c r="AG138" s="234" t="s">
        <v>441</v>
      </c>
      <c r="AH138" s="234" t="s">
        <v>474</v>
      </c>
      <c r="AI138" s="234">
        <v>0.114155251141553</v>
      </c>
      <c r="AJ138" s="234" t="s">
        <v>549</v>
      </c>
      <c r="AK138" s="234">
        <v>0.114155251141553</v>
      </c>
      <c r="AL138" s="234" t="s">
        <v>437</v>
      </c>
      <c r="AM138" s="234">
        <v>1</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0294A-CA17-47DD-9DAD-0C521A5AD956}">
  <dimension ref="B2:AM114"/>
  <sheetViews>
    <sheetView topLeftCell="A29" workbookViewId="0">
      <selection activeCell="G67" sqref="G67"/>
    </sheetView>
  </sheetViews>
  <sheetFormatPr defaultColWidth="8.88671875" defaultRowHeight="14.4" x14ac:dyDescent="0.3"/>
  <cols>
    <col min="1" max="1" width="8.88671875" style="234"/>
    <col min="2" max="2" width="15.6640625" style="234" bestFit="1" customWidth="1"/>
    <col min="3" max="16384" width="8.88671875" style="234"/>
  </cols>
  <sheetData>
    <row r="2" spans="2:39" x14ac:dyDescent="0.3">
      <c r="B2" s="234" t="s">
        <v>2</v>
      </c>
      <c r="C2" s="234" t="s">
        <v>3</v>
      </c>
      <c r="D2" s="234" t="s">
        <v>5</v>
      </c>
      <c r="E2" s="234" t="s">
        <v>6</v>
      </c>
      <c r="F2" s="234" t="s">
        <v>171</v>
      </c>
      <c r="G2" s="234" t="s">
        <v>354</v>
      </c>
      <c r="H2" s="234" t="s">
        <v>347</v>
      </c>
      <c r="I2" s="234" t="s">
        <v>7</v>
      </c>
      <c r="J2" s="234" t="s">
        <v>348</v>
      </c>
      <c r="K2" s="234" t="s">
        <v>349</v>
      </c>
      <c r="L2" s="234" t="s">
        <v>8</v>
      </c>
      <c r="M2" s="234" t="s">
        <v>10</v>
      </c>
      <c r="N2" s="234" t="s">
        <v>343</v>
      </c>
      <c r="O2" s="234" t="s">
        <v>17</v>
      </c>
      <c r="P2" s="234" t="s">
        <v>18</v>
      </c>
      <c r="Q2" s="234" t="s">
        <v>19</v>
      </c>
      <c r="R2" s="234" t="s">
        <v>20</v>
      </c>
      <c r="S2" s="234" t="s">
        <v>21</v>
      </c>
      <c r="T2" s="234" t="s">
        <v>39</v>
      </c>
      <c r="U2" s="234" t="s">
        <v>350</v>
      </c>
      <c r="V2" s="234" t="s">
        <v>355</v>
      </c>
      <c r="W2" s="234" t="s">
        <v>356</v>
      </c>
      <c r="X2" s="234" t="s">
        <v>357</v>
      </c>
      <c r="Y2" s="234" t="s">
        <v>358</v>
      </c>
      <c r="Z2" s="234" t="s">
        <v>359</v>
      </c>
      <c r="AA2" s="234" t="s">
        <v>360</v>
      </c>
      <c r="AB2" s="234" t="s">
        <v>361</v>
      </c>
      <c r="AC2" s="234" t="s">
        <v>362</v>
      </c>
      <c r="AD2" s="234" t="s">
        <v>363</v>
      </c>
      <c r="AE2" s="234" t="s">
        <v>364</v>
      </c>
      <c r="AF2" s="234" t="s">
        <v>365</v>
      </c>
      <c r="AG2" s="234" t="s">
        <v>366</v>
      </c>
      <c r="AH2" s="234" t="s">
        <v>367</v>
      </c>
      <c r="AI2" s="234" t="s">
        <v>368</v>
      </c>
      <c r="AJ2" s="234" t="s">
        <v>369</v>
      </c>
      <c r="AK2" s="234" t="s">
        <v>370</v>
      </c>
      <c r="AL2" s="234" t="s">
        <v>371</v>
      </c>
      <c r="AM2" s="234" t="s">
        <v>372</v>
      </c>
    </row>
    <row r="3" spans="2:39" x14ac:dyDescent="0.3">
      <c r="B3" s="234" t="s">
        <v>550</v>
      </c>
      <c r="C3" s="234" t="s">
        <v>439</v>
      </c>
      <c r="D3" s="234" t="s">
        <v>351</v>
      </c>
      <c r="E3" s="234" t="s">
        <v>28</v>
      </c>
      <c r="F3" s="234" t="s">
        <v>172</v>
      </c>
      <c r="G3" s="234" t="s">
        <v>375</v>
      </c>
      <c r="H3" s="234">
        <v>2020</v>
      </c>
      <c r="I3" s="234">
        <v>0.28000000000000003</v>
      </c>
      <c r="L3" s="234">
        <v>1.6666666666666701</v>
      </c>
      <c r="N3" s="234">
        <v>8.94</v>
      </c>
      <c r="P3" s="234">
        <v>31.0416666666667</v>
      </c>
      <c r="Q3" s="234">
        <v>3.1536000000000002E-2</v>
      </c>
      <c r="R3" s="234">
        <v>0.95</v>
      </c>
      <c r="S3" s="234">
        <v>1</v>
      </c>
      <c r="T3" s="234">
        <v>15</v>
      </c>
      <c r="U3" s="234">
        <v>0.5</v>
      </c>
      <c r="V3" s="234">
        <v>10</v>
      </c>
      <c r="W3" s="234">
        <v>6</v>
      </c>
      <c r="Y3" s="234">
        <v>270</v>
      </c>
      <c r="AA3" s="234">
        <v>9</v>
      </c>
      <c r="AB3" s="234" t="s">
        <v>440</v>
      </c>
      <c r="AC3" s="234" t="s">
        <v>64</v>
      </c>
      <c r="AD3" s="234" t="s">
        <v>433</v>
      </c>
      <c r="AE3" s="234" t="s">
        <v>423</v>
      </c>
      <c r="AF3" s="234" t="s">
        <v>137</v>
      </c>
      <c r="AG3" s="234" t="s">
        <v>441</v>
      </c>
      <c r="AH3" s="234" t="s">
        <v>435</v>
      </c>
      <c r="AJ3" s="234" t="s">
        <v>442</v>
      </c>
      <c r="AK3" s="234">
        <v>0.95</v>
      </c>
      <c r="AL3" s="234" t="s">
        <v>551</v>
      </c>
      <c r="AM3" s="234">
        <v>1</v>
      </c>
    </row>
    <row r="4" spans="2:39" x14ac:dyDescent="0.3">
      <c r="E4" s="234" t="s">
        <v>34</v>
      </c>
      <c r="F4" s="234" t="s">
        <v>172</v>
      </c>
      <c r="G4" s="234" t="s">
        <v>383</v>
      </c>
      <c r="I4" s="234">
        <v>0.28000000000000003</v>
      </c>
      <c r="L4" s="234">
        <v>1.6666666666666701</v>
      </c>
      <c r="N4" s="234">
        <v>8.94</v>
      </c>
      <c r="P4" s="234">
        <v>31.0416666666667</v>
      </c>
      <c r="R4" s="234">
        <v>0.95</v>
      </c>
      <c r="T4" s="234">
        <v>15</v>
      </c>
      <c r="U4" s="234">
        <v>0.5</v>
      </c>
      <c r="V4" s="234">
        <v>10</v>
      </c>
      <c r="W4" s="234">
        <v>6</v>
      </c>
      <c r="Y4" s="234">
        <v>270</v>
      </c>
      <c r="AA4" s="234">
        <v>9</v>
      </c>
      <c r="AB4" s="234" t="s">
        <v>440</v>
      </c>
      <c r="AC4" s="234" t="s">
        <v>64</v>
      </c>
      <c r="AD4" s="234" t="s">
        <v>433</v>
      </c>
      <c r="AE4" s="234" t="s">
        <v>423</v>
      </c>
      <c r="AF4" s="234" t="s">
        <v>137</v>
      </c>
      <c r="AG4" s="234" t="s">
        <v>441</v>
      </c>
      <c r="AH4" s="234" t="s">
        <v>435</v>
      </c>
      <c r="AJ4" s="234" t="s">
        <v>442</v>
      </c>
      <c r="AK4" s="234">
        <v>0.95</v>
      </c>
      <c r="AL4" s="234" t="s">
        <v>551</v>
      </c>
      <c r="AM4" s="234">
        <v>1</v>
      </c>
    </row>
    <row r="5" spans="2:39" x14ac:dyDescent="0.3">
      <c r="F5" s="234" t="s">
        <v>172</v>
      </c>
      <c r="G5" s="234" t="s">
        <v>384</v>
      </c>
      <c r="I5" s="234">
        <v>0.28000000000000003</v>
      </c>
      <c r="L5" s="234">
        <v>1.6666666666666701</v>
      </c>
      <c r="N5" s="234">
        <v>8.1950000000000003</v>
      </c>
      <c r="P5" s="234">
        <v>28.9722222222222</v>
      </c>
      <c r="R5" s="234">
        <v>0.95</v>
      </c>
      <c r="T5" s="234">
        <v>15</v>
      </c>
      <c r="U5" s="234">
        <v>0.5</v>
      </c>
      <c r="V5" s="234">
        <v>10</v>
      </c>
      <c r="W5" s="234">
        <v>6</v>
      </c>
      <c r="Y5" s="234">
        <v>270</v>
      </c>
      <c r="AA5" s="234">
        <v>9</v>
      </c>
      <c r="AB5" s="234" t="s">
        <v>440</v>
      </c>
      <c r="AC5" s="234" t="s">
        <v>64</v>
      </c>
      <c r="AD5" s="234" t="s">
        <v>433</v>
      </c>
      <c r="AE5" s="234" t="s">
        <v>423</v>
      </c>
      <c r="AF5" s="234" t="s">
        <v>137</v>
      </c>
      <c r="AG5" s="234" t="s">
        <v>441</v>
      </c>
      <c r="AH5" s="234" t="s">
        <v>435</v>
      </c>
      <c r="AJ5" s="234" t="s">
        <v>442</v>
      </c>
      <c r="AK5" s="234">
        <v>0.95</v>
      </c>
      <c r="AL5" s="234" t="s">
        <v>551</v>
      </c>
      <c r="AM5" s="234">
        <v>1</v>
      </c>
    </row>
    <row r="6" spans="2:39" x14ac:dyDescent="0.3">
      <c r="F6" s="234" t="s">
        <v>172</v>
      </c>
      <c r="G6" s="234" t="s">
        <v>385</v>
      </c>
      <c r="I6" s="234">
        <v>0.28000000000000003</v>
      </c>
      <c r="L6" s="234">
        <v>1.6666666666666701</v>
      </c>
      <c r="N6" s="234">
        <v>7.45</v>
      </c>
      <c r="P6" s="234">
        <v>26.9027777777778</v>
      </c>
      <c r="R6" s="234">
        <v>0.95</v>
      </c>
      <c r="T6" s="234">
        <v>15</v>
      </c>
      <c r="U6" s="234">
        <v>0.5</v>
      </c>
      <c r="V6" s="234">
        <v>10</v>
      </c>
      <c r="W6" s="234">
        <v>6</v>
      </c>
      <c r="Y6" s="234">
        <v>270</v>
      </c>
      <c r="AA6" s="234">
        <v>9</v>
      </c>
      <c r="AB6" s="234" t="s">
        <v>440</v>
      </c>
      <c r="AC6" s="234" t="s">
        <v>64</v>
      </c>
      <c r="AD6" s="234" t="s">
        <v>433</v>
      </c>
      <c r="AE6" s="234" t="s">
        <v>423</v>
      </c>
      <c r="AF6" s="234" t="s">
        <v>137</v>
      </c>
      <c r="AG6" s="234" t="s">
        <v>441</v>
      </c>
      <c r="AH6" s="234" t="s">
        <v>435</v>
      </c>
      <c r="AJ6" s="234" t="s">
        <v>442</v>
      </c>
      <c r="AK6" s="234">
        <v>0.95</v>
      </c>
      <c r="AL6" s="234" t="s">
        <v>551</v>
      </c>
      <c r="AM6" s="234">
        <v>1</v>
      </c>
    </row>
    <row r="7" spans="2:39" x14ac:dyDescent="0.3">
      <c r="B7" s="234" t="s">
        <v>552</v>
      </c>
      <c r="C7" s="234" t="s">
        <v>444</v>
      </c>
      <c r="D7" s="234" t="s">
        <v>351</v>
      </c>
      <c r="E7" s="234" t="s">
        <v>28</v>
      </c>
      <c r="F7" s="234" t="s">
        <v>172</v>
      </c>
      <c r="G7" s="234" t="s">
        <v>375</v>
      </c>
      <c r="H7" s="234">
        <v>2020</v>
      </c>
      <c r="I7" s="234">
        <v>0.34</v>
      </c>
      <c r="L7" s="234">
        <v>1.40845070422535</v>
      </c>
      <c r="N7" s="234">
        <v>5.5875000000000004</v>
      </c>
      <c r="O7" s="234">
        <v>0.14899999999999999</v>
      </c>
      <c r="P7" s="234">
        <v>11.3819444444444</v>
      </c>
      <c r="Q7" s="234">
        <v>3.1536000000000002E-2</v>
      </c>
      <c r="R7" s="234">
        <v>0.98</v>
      </c>
      <c r="S7" s="234">
        <v>1</v>
      </c>
      <c r="T7" s="234">
        <v>25</v>
      </c>
      <c r="U7" s="234">
        <v>1.5</v>
      </c>
      <c r="V7" s="234">
        <v>20</v>
      </c>
      <c r="W7" s="234">
        <v>1.5</v>
      </c>
      <c r="X7" s="234">
        <v>1</v>
      </c>
      <c r="Y7" s="234">
        <v>270</v>
      </c>
      <c r="AA7" s="234">
        <v>8</v>
      </c>
      <c r="AB7" s="234" t="s">
        <v>445</v>
      </c>
      <c r="AC7" s="234" t="s">
        <v>64</v>
      </c>
      <c r="AD7" s="234" t="s">
        <v>433</v>
      </c>
      <c r="AE7" s="234" t="s">
        <v>423</v>
      </c>
      <c r="AF7" s="234" t="s">
        <v>137</v>
      </c>
      <c r="AG7" s="234" t="s">
        <v>441</v>
      </c>
      <c r="AH7" s="234" t="s">
        <v>435</v>
      </c>
      <c r="AJ7" s="234" t="s">
        <v>442</v>
      </c>
      <c r="AK7" s="234">
        <v>0.98</v>
      </c>
      <c r="AL7" s="234" t="s">
        <v>551</v>
      </c>
      <c r="AM7" s="234">
        <v>2</v>
      </c>
    </row>
    <row r="8" spans="2:39" x14ac:dyDescent="0.3">
      <c r="E8" s="234" t="s">
        <v>34</v>
      </c>
      <c r="F8" s="234" t="s">
        <v>172</v>
      </c>
      <c r="G8" s="234" t="s">
        <v>383</v>
      </c>
      <c r="I8" s="234">
        <v>0.35</v>
      </c>
      <c r="L8" s="234">
        <v>1.3698630136986301</v>
      </c>
      <c r="N8" s="234">
        <v>5.4385000000000003</v>
      </c>
      <c r="O8" s="234">
        <v>0.14527499999999999</v>
      </c>
      <c r="P8" s="234">
        <v>11.175000000000001</v>
      </c>
      <c r="R8" s="234">
        <v>0.98</v>
      </c>
      <c r="T8" s="234">
        <v>25</v>
      </c>
      <c r="U8" s="234">
        <v>1.5</v>
      </c>
      <c r="V8" s="234">
        <v>15</v>
      </c>
      <c r="W8" s="234">
        <v>1.5</v>
      </c>
      <c r="X8" s="234">
        <v>1</v>
      </c>
      <c r="Y8" s="234">
        <v>270</v>
      </c>
      <c r="AA8" s="234">
        <v>8</v>
      </c>
      <c r="AB8" s="234" t="s">
        <v>445</v>
      </c>
      <c r="AC8" s="234" t="s">
        <v>64</v>
      </c>
      <c r="AD8" s="234" t="s">
        <v>433</v>
      </c>
      <c r="AE8" s="234" t="s">
        <v>423</v>
      </c>
      <c r="AF8" s="234" t="s">
        <v>137</v>
      </c>
      <c r="AG8" s="234" t="s">
        <v>441</v>
      </c>
      <c r="AH8" s="234" t="s">
        <v>435</v>
      </c>
      <c r="AJ8" s="234" t="s">
        <v>442</v>
      </c>
      <c r="AK8" s="234">
        <v>0.98</v>
      </c>
      <c r="AL8" s="234" t="s">
        <v>551</v>
      </c>
      <c r="AM8" s="234">
        <v>2</v>
      </c>
    </row>
    <row r="9" spans="2:39" x14ac:dyDescent="0.3">
      <c r="F9" s="234" t="s">
        <v>172</v>
      </c>
      <c r="G9" s="234" t="s">
        <v>384</v>
      </c>
      <c r="I9" s="234">
        <v>0.37</v>
      </c>
      <c r="L9" s="234">
        <v>1.25</v>
      </c>
      <c r="N9" s="234">
        <v>5.2149999999999999</v>
      </c>
      <c r="O9" s="234">
        <v>0.13857</v>
      </c>
      <c r="P9" s="234">
        <v>10.554166666666699</v>
      </c>
      <c r="R9" s="234">
        <v>0.98</v>
      </c>
      <c r="T9" s="234">
        <v>25</v>
      </c>
      <c r="U9" s="234">
        <v>1.5</v>
      </c>
      <c r="V9" s="234">
        <v>10</v>
      </c>
      <c r="W9" s="234">
        <v>1.5</v>
      </c>
      <c r="X9" s="234">
        <v>1</v>
      </c>
      <c r="Y9" s="234">
        <v>270</v>
      </c>
      <c r="AA9" s="234">
        <v>8</v>
      </c>
      <c r="AB9" s="234" t="s">
        <v>445</v>
      </c>
      <c r="AC9" s="234" t="s">
        <v>64</v>
      </c>
      <c r="AD9" s="234" t="s">
        <v>433</v>
      </c>
      <c r="AE9" s="234" t="s">
        <v>423</v>
      </c>
      <c r="AF9" s="234" t="s">
        <v>137</v>
      </c>
      <c r="AG9" s="234" t="s">
        <v>441</v>
      </c>
      <c r="AH9" s="234" t="s">
        <v>435</v>
      </c>
      <c r="AJ9" s="234" t="s">
        <v>442</v>
      </c>
      <c r="AK9" s="234">
        <v>0.98</v>
      </c>
      <c r="AL9" s="234" t="s">
        <v>551</v>
      </c>
      <c r="AM9" s="234">
        <v>2</v>
      </c>
    </row>
    <row r="10" spans="2:39" x14ac:dyDescent="0.3">
      <c r="F10" s="234" t="s">
        <v>172</v>
      </c>
      <c r="G10" s="234" t="s">
        <v>385</v>
      </c>
      <c r="I10" s="234">
        <v>0.38</v>
      </c>
      <c r="L10" s="234">
        <v>1.25</v>
      </c>
      <c r="N10" s="234">
        <v>5.0659999999999998</v>
      </c>
      <c r="O10" s="234">
        <v>0.1341</v>
      </c>
      <c r="P10" s="234">
        <v>9.5194444444444404</v>
      </c>
      <c r="R10" s="234">
        <v>0.98</v>
      </c>
      <c r="T10" s="234">
        <v>25</v>
      </c>
      <c r="U10" s="234">
        <v>1.5</v>
      </c>
      <c r="V10" s="234">
        <v>10</v>
      </c>
      <c r="W10" s="234">
        <v>1.5</v>
      </c>
      <c r="X10" s="234">
        <v>1</v>
      </c>
      <c r="Y10" s="234">
        <v>270</v>
      </c>
      <c r="AA10" s="234">
        <v>8</v>
      </c>
      <c r="AB10" s="234" t="s">
        <v>445</v>
      </c>
      <c r="AC10" s="234" t="s">
        <v>64</v>
      </c>
      <c r="AD10" s="234" t="s">
        <v>433</v>
      </c>
      <c r="AE10" s="234" t="s">
        <v>423</v>
      </c>
      <c r="AF10" s="234" t="s">
        <v>137</v>
      </c>
      <c r="AG10" s="234" t="s">
        <v>441</v>
      </c>
      <c r="AH10" s="234" t="s">
        <v>435</v>
      </c>
      <c r="AJ10" s="234" t="s">
        <v>442</v>
      </c>
      <c r="AK10" s="234">
        <v>0.98</v>
      </c>
      <c r="AL10" s="234" t="s">
        <v>551</v>
      </c>
      <c r="AM10" s="234">
        <v>2</v>
      </c>
    </row>
    <row r="11" spans="2:39" x14ac:dyDescent="0.3">
      <c r="B11" s="234" t="s">
        <v>553</v>
      </c>
      <c r="C11" s="234" t="s">
        <v>450</v>
      </c>
      <c r="D11" s="234" t="s">
        <v>351</v>
      </c>
      <c r="E11" s="234" t="s">
        <v>28</v>
      </c>
      <c r="F11" s="234" t="s">
        <v>172</v>
      </c>
      <c r="G11" s="234" t="s">
        <v>375</v>
      </c>
      <c r="H11" s="234">
        <v>2020</v>
      </c>
      <c r="I11" s="234">
        <v>0.47</v>
      </c>
      <c r="L11" s="234">
        <v>0.83333333333333304</v>
      </c>
      <c r="N11" s="234">
        <v>9.6850000000000005</v>
      </c>
      <c r="O11" s="234">
        <v>0.2235</v>
      </c>
      <c r="P11" s="234">
        <v>9.3125</v>
      </c>
      <c r="Q11" s="234">
        <v>3.1536000000000002E-2</v>
      </c>
      <c r="R11" s="234">
        <v>0.97</v>
      </c>
      <c r="S11" s="234">
        <v>1</v>
      </c>
      <c r="T11" s="234">
        <v>25</v>
      </c>
      <c r="U11" s="234">
        <v>2.5</v>
      </c>
      <c r="V11" s="234">
        <v>20</v>
      </c>
      <c r="W11" s="234">
        <v>1.5</v>
      </c>
      <c r="X11" s="234">
        <v>1</v>
      </c>
      <c r="Y11" s="234">
        <v>270</v>
      </c>
      <c r="AA11" s="234">
        <v>11</v>
      </c>
      <c r="AB11" s="234" t="s">
        <v>451</v>
      </c>
      <c r="AC11" s="234" t="s">
        <v>64</v>
      </c>
      <c r="AD11" s="234" t="s">
        <v>433</v>
      </c>
      <c r="AE11" s="234" t="s">
        <v>423</v>
      </c>
      <c r="AF11" s="234" t="s">
        <v>137</v>
      </c>
      <c r="AG11" s="234" t="s">
        <v>441</v>
      </c>
      <c r="AH11" s="234" t="s">
        <v>435</v>
      </c>
      <c r="AJ11" s="234" t="s">
        <v>442</v>
      </c>
      <c r="AK11" s="234">
        <v>0.97</v>
      </c>
      <c r="AL11" s="234" t="s">
        <v>551</v>
      </c>
      <c r="AM11" s="234">
        <v>3</v>
      </c>
    </row>
    <row r="12" spans="2:39" x14ac:dyDescent="0.3">
      <c r="E12" s="234" t="s">
        <v>34</v>
      </c>
      <c r="F12" s="234" t="s">
        <v>172</v>
      </c>
      <c r="G12" s="234" t="s">
        <v>383</v>
      </c>
      <c r="I12" s="234">
        <v>0.48</v>
      </c>
      <c r="L12" s="234">
        <v>0.76923076923076905</v>
      </c>
      <c r="N12" s="234">
        <v>9.6850000000000005</v>
      </c>
      <c r="O12" s="234">
        <v>0.21828500000000001</v>
      </c>
      <c r="P12" s="234">
        <v>9.1055555555555596</v>
      </c>
      <c r="R12" s="234">
        <v>0.97</v>
      </c>
      <c r="T12" s="234">
        <v>25</v>
      </c>
      <c r="U12" s="234">
        <v>2</v>
      </c>
      <c r="V12" s="234">
        <v>15</v>
      </c>
      <c r="W12" s="234">
        <v>1.5</v>
      </c>
      <c r="X12" s="234">
        <v>1</v>
      </c>
      <c r="Y12" s="234">
        <v>270</v>
      </c>
      <c r="AA12" s="234">
        <v>11</v>
      </c>
      <c r="AB12" s="234" t="s">
        <v>451</v>
      </c>
      <c r="AC12" s="234" t="s">
        <v>64</v>
      </c>
      <c r="AD12" s="234" t="s">
        <v>433</v>
      </c>
      <c r="AE12" s="234" t="s">
        <v>423</v>
      </c>
      <c r="AF12" s="234" t="s">
        <v>137</v>
      </c>
      <c r="AG12" s="234" t="s">
        <v>441</v>
      </c>
      <c r="AH12" s="234" t="s">
        <v>435</v>
      </c>
      <c r="AJ12" s="234" t="s">
        <v>442</v>
      </c>
      <c r="AK12" s="234">
        <v>0.97</v>
      </c>
      <c r="AL12" s="234" t="s">
        <v>551</v>
      </c>
      <c r="AM12" s="234">
        <v>3</v>
      </c>
    </row>
    <row r="13" spans="2:39" x14ac:dyDescent="0.3">
      <c r="F13" s="234" t="s">
        <v>172</v>
      </c>
      <c r="G13" s="234" t="s">
        <v>384</v>
      </c>
      <c r="I13" s="234">
        <v>0.5</v>
      </c>
      <c r="L13" s="234">
        <v>0.71428571428571397</v>
      </c>
      <c r="N13" s="234">
        <v>8.94</v>
      </c>
      <c r="O13" s="234">
        <v>0.20710999999999999</v>
      </c>
      <c r="P13" s="234">
        <v>8.69166666666667</v>
      </c>
      <c r="R13" s="234">
        <v>0.97</v>
      </c>
      <c r="T13" s="234">
        <v>25</v>
      </c>
      <c r="U13" s="234">
        <v>2</v>
      </c>
      <c r="V13" s="234">
        <v>10</v>
      </c>
      <c r="W13" s="234">
        <v>1.5</v>
      </c>
      <c r="X13" s="234">
        <v>1</v>
      </c>
      <c r="Y13" s="234">
        <v>270</v>
      </c>
      <c r="AA13" s="234">
        <v>11</v>
      </c>
      <c r="AB13" s="234" t="s">
        <v>451</v>
      </c>
      <c r="AC13" s="234" t="s">
        <v>64</v>
      </c>
      <c r="AD13" s="234" t="s">
        <v>433</v>
      </c>
      <c r="AE13" s="234" t="s">
        <v>423</v>
      </c>
      <c r="AF13" s="234" t="s">
        <v>137</v>
      </c>
      <c r="AG13" s="234" t="s">
        <v>441</v>
      </c>
      <c r="AH13" s="234" t="s">
        <v>435</v>
      </c>
      <c r="AJ13" s="234" t="s">
        <v>442</v>
      </c>
      <c r="AK13" s="234">
        <v>0.97</v>
      </c>
      <c r="AL13" s="234" t="s">
        <v>551</v>
      </c>
      <c r="AM13" s="234">
        <v>3</v>
      </c>
    </row>
    <row r="14" spans="2:39" x14ac:dyDescent="0.3">
      <c r="F14" s="234" t="s">
        <v>172</v>
      </c>
      <c r="G14" s="234" t="s">
        <v>385</v>
      </c>
      <c r="I14" s="234">
        <v>0.52</v>
      </c>
      <c r="L14" s="234">
        <v>0.64516129032258096</v>
      </c>
      <c r="N14" s="234">
        <v>8.1950000000000003</v>
      </c>
      <c r="O14" s="234">
        <v>0.19370000000000001</v>
      </c>
      <c r="P14" s="234">
        <v>8.2777777777777803</v>
      </c>
      <c r="R14" s="234">
        <v>0.97</v>
      </c>
      <c r="T14" s="234">
        <v>25</v>
      </c>
      <c r="U14" s="234">
        <v>2</v>
      </c>
      <c r="V14" s="234">
        <v>8</v>
      </c>
      <c r="W14" s="234">
        <v>1.5</v>
      </c>
      <c r="X14" s="234">
        <v>1</v>
      </c>
      <c r="Y14" s="234">
        <v>270</v>
      </c>
      <c r="AA14" s="234">
        <v>11</v>
      </c>
      <c r="AB14" s="234" t="s">
        <v>451</v>
      </c>
      <c r="AC14" s="234" t="s">
        <v>64</v>
      </c>
      <c r="AD14" s="234" t="s">
        <v>433</v>
      </c>
      <c r="AE14" s="234" t="s">
        <v>423</v>
      </c>
      <c r="AF14" s="234" t="s">
        <v>137</v>
      </c>
      <c r="AG14" s="234" t="s">
        <v>441</v>
      </c>
      <c r="AH14" s="234" t="s">
        <v>435</v>
      </c>
      <c r="AJ14" s="234" t="s">
        <v>442</v>
      </c>
      <c r="AK14" s="234">
        <v>0.97</v>
      </c>
      <c r="AL14" s="234" t="s">
        <v>551</v>
      </c>
      <c r="AM14" s="234">
        <v>3</v>
      </c>
    </row>
    <row r="15" spans="2:39" x14ac:dyDescent="0.3">
      <c r="B15" s="234" t="s">
        <v>554</v>
      </c>
      <c r="C15" s="234" t="s">
        <v>453</v>
      </c>
      <c r="D15" s="234" t="s">
        <v>351</v>
      </c>
      <c r="E15" s="234" t="s">
        <v>28</v>
      </c>
      <c r="F15" s="234" t="s">
        <v>172</v>
      </c>
      <c r="G15" s="234" t="s">
        <v>375</v>
      </c>
      <c r="H15" s="234">
        <v>2020</v>
      </c>
      <c r="I15" s="234">
        <v>0.55000000000000004</v>
      </c>
      <c r="L15" s="234">
        <v>0.58823529411764697</v>
      </c>
      <c r="M15" s="234">
        <v>0.15</v>
      </c>
      <c r="N15" s="234">
        <v>6.7050000000000001</v>
      </c>
      <c r="O15" s="234">
        <v>0.2235</v>
      </c>
      <c r="P15" s="234">
        <v>9.3125</v>
      </c>
      <c r="Q15" s="234">
        <v>3.1536000000000002E-2</v>
      </c>
      <c r="R15" s="234">
        <v>0.97</v>
      </c>
      <c r="S15" s="234">
        <v>1</v>
      </c>
      <c r="T15" s="234">
        <v>25</v>
      </c>
      <c r="U15" s="234">
        <v>2.5</v>
      </c>
      <c r="V15" s="234">
        <v>20</v>
      </c>
      <c r="W15" s="234">
        <v>1.5</v>
      </c>
      <c r="X15" s="234">
        <v>1</v>
      </c>
      <c r="Y15" s="234">
        <v>270</v>
      </c>
      <c r="AA15" s="234">
        <v>10</v>
      </c>
      <c r="AB15" s="234" t="s">
        <v>454</v>
      </c>
      <c r="AC15" s="234" t="s">
        <v>64</v>
      </c>
      <c r="AD15" s="234" t="s">
        <v>433</v>
      </c>
      <c r="AE15" s="234" t="s">
        <v>423</v>
      </c>
      <c r="AF15" s="234" t="s">
        <v>137</v>
      </c>
      <c r="AG15" s="234" t="s">
        <v>441</v>
      </c>
      <c r="AH15" s="234" t="s">
        <v>435</v>
      </c>
      <c r="AJ15" s="234" t="s">
        <v>436</v>
      </c>
      <c r="AK15" s="234">
        <v>0.97</v>
      </c>
      <c r="AL15" s="234" t="s">
        <v>551</v>
      </c>
      <c r="AM15" s="234">
        <v>1</v>
      </c>
    </row>
    <row r="16" spans="2:39" x14ac:dyDescent="0.3">
      <c r="E16" s="234" t="s">
        <v>34</v>
      </c>
      <c r="F16" s="234" t="s">
        <v>172</v>
      </c>
      <c r="G16" s="234" t="s">
        <v>383</v>
      </c>
      <c r="I16" s="234">
        <v>0.56000000000000005</v>
      </c>
      <c r="L16" s="234">
        <v>0.55555555555555602</v>
      </c>
      <c r="M16" s="234">
        <v>0.15</v>
      </c>
      <c r="N16" s="234">
        <v>6.556</v>
      </c>
      <c r="O16" s="234">
        <v>0.21828500000000001</v>
      </c>
      <c r="P16" s="234">
        <v>9.1055555555555596</v>
      </c>
      <c r="R16" s="234">
        <v>0.97</v>
      </c>
      <c r="T16" s="234">
        <v>25</v>
      </c>
      <c r="U16" s="234">
        <v>2.5</v>
      </c>
      <c r="V16" s="234">
        <v>15</v>
      </c>
      <c r="W16" s="234">
        <v>1.5</v>
      </c>
      <c r="X16" s="234">
        <v>1</v>
      </c>
      <c r="Y16" s="234">
        <v>270</v>
      </c>
      <c r="AA16" s="234">
        <v>10</v>
      </c>
      <c r="AB16" s="234" t="s">
        <v>454</v>
      </c>
      <c r="AC16" s="234" t="s">
        <v>64</v>
      </c>
      <c r="AD16" s="234" t="s">
        <v>433</v>
      </c>
      <c r="AE16" s="234" t="s">
        <v>423</v>
      </c>
      <c r="AF16" s="234" t="s">
        <v>137</v>
      </c>
      <c r="AG16" s="234" t="s">
        <v>441</v>
      </c>
      <c r="AH16" s="234" t="s">
        <v>435</v>
      </c>
      <c r="AJ16" s="234" t="s">
        <v>436</v>
      </c>
      <c r="AK16" s="234">
        <v>0.97</v>
      </c>
      <c r="AL16" s="234" t="s">
        <v>551</v>
      </c>
      <c r="AM16" s="234">
        <v>1</v>
      </c>
    </row>
    <row r="17" spans="2:39" x14ac:dyDescent="0.3">
      <c r="F17" s="234" t="s">
        <v>172</v>
      </c>
      <c r="G17" s="234" t="s">
        <v>384</v>
      </c>
      <c r="I17" s="234">
        <v>0.57999999999999996</v>
      </c>
      <c r="L17" s="234">
        <v>0.5</v>
      </c>
      <c r="M17" s="234">
        <v>0.15</v>
      </c>
      <c r="N17" s="234">
        <v>6.1835000000000004</v>
      </c>
      <c r="O17" s="234">
        <v>0.20710999999999999</v>
      </c>
      <c r="P17" s="234">
        <v>8.69166666666667</v>
      </c>
      <c r="R17" s="234">
        <v>0.97</v>
      </c>
      <c r="T17" s="234">
        <v>25</v>
      </c>
      <c r="U17" s="234">
        <v>2.5</v>
      </c>
      <c r="V17" s="234">
        <v>10</v>
      </c>
      <c r="W17" s="234">
        <v>1.5</v>
      </c>
      <c r="X17" s="234">
        <v>1</v>
      </c>
      <c r="Y17" s="234">
        <v>270</v>
      </c>
      <c r="AA17" s="234">
        <v>10</v>
      </c>
      <c r="AB17" s="234" t="s">
        <v>454</v>
      </c>
      <c r="AC17" s="234" t="s">
        <v>64</v>
      </c>
      <c r="AD17" s="234" t="s">
        <v>433</v>
      </c>
      <c r="AE17" s="234" t="s">
        <v>423</v>
      </c>
      <c r="AF17" s="234" t="s">
        <v>137</v>
      </c>
      <c r="AG17" s="234" t="s">
        <v>441</v>
      </c>
      <c r="AH17" s="234" t="s">
        <v>435</v>
      </c>
      <c r="AJ17" s="234" t="s">
        <v>436</v>
      </c>
      <c r="AK17" s="234">
        <v>0.97</v>
      </c>
      <c r="AL17" s="234" t="s">
        <v>551</v>
      </c>
      <c r="AM17" s="234">
        <v>1</v>
      </c>
    </row>
    <row r="18" spans="2:39" x14ac:dyDescent="0.3">
      <c r="F18" s="234" t="s">
        <v>172</v>
      </c>
      <c r="G18" s="234" t="s">
        <v>385</v>
      </c>
      <c r="I18" s="234">
        <v>0.6</v>
      </c>
      <c r="L18" s="234">
        <v>0.45454545454545497</v>
      </c>
      <c r="M18" s="234">
        <v>0.15</v>
      </c>
      <c r="N18" s="234">
        <v>5.96</v>
      </c>
      <c r="O18" s="234">
        <v>0.19370000000000001</v>
      </c>
      <c r="P18" s="234">
        <v>8.2777777777777803</v>
      </c>
      <c r="R18" s="234">
        <v>0.97</v>
      </c>
      <c r="T18" s="234">
        <v>25</v>
      </c>
      <c r="U18" s="234">
        <v>2.5</v>
      </c>
      <c r="V18" s="234">
        <v>8</v>
      </c>
      <c r="W18" s="234">
        <v>1.5</v>
      </c>
      <c r="X18" s="234">
        <v>1</v>
      </c>
      <c r="Y18" s="234">
        <v>270</v>
      </c>
      <c r="AA18" s="234">
        <v>10</v>
      </c>
      <c r="AB18" s="234" t="s">
        <v>454</v>
      </c>
      <c r="AC18" s="234" t="s">
        <v>64</v>
      </c>
      <c r="AD18" s="234" t="s">
        <v>433</v>
      </c>
      <c r="AE18" s="234" t="s">
        <v>423</v>
      </c>
      <c r="AF18" s="234" t="s">
        <v>137</v>
      </c>
      <c r="AG18" s="234" t="s">
        <v>441</v>
      </c>
      <c r="AH18" s="234" t="s">
        <v>435</v>
      </c>
      <c r="AJ18" s="234" t="s">
        <v>436</v>
      </c>
      <c r="AK18" s="234">
        <v>0.97</v>
      </c>
      <c r="AL18" s="234" t="s">
        <v>551</v>
      </c>
      <c r="AM18" s="234">
        <v>1</v>
      </c>
    </row>
    <row r="19" spans="2:39" x14ac:dyDescent="0.3">
      <c r="B19" s="234" t="s">
        <v>555</v>
      </c>
      <c r="C19" s="234" t="s">
        <v>456</v>
      </c>
      <c r="D19" s="234" t="s">
        <v>36</v>
      </c>
      <c r="E19" s="234" t="s">
        <v>28</v>
      </c>
      <c r="F19" s="234" t="s">
        <v>172</v>
      </c>
      <c r="G19" s="234" t="s">
        <v>375</v>
      </c>
      <c r="H19" s="234">
        <v>2020</v>
      </c>
      <c r="I19" s="234">
        <v>0.4</v>
      </c>
      <c r="L19" s="234">
        <v>1.2195121951219501</v>
      </c>
      <c r="N19" s="234">
        <v>7.45</v>
      </c>
      <c r="O19" s="234">
        <v>7.4499999999999997E-2</v>
      </c>
      <c r="P19" s="234">
        <v>16.5555555555556</v>
      </c>
      <c r="Q19" s="234">
        <v>3.1536000000000002E-2</v>
      </c>
      <c r="R19" s="234">
        <v>0.97</v>
      </c>
      <c r="S19" s="234">
        <v>1</v>
      </c>
      <c r="T19" s="234">
        <v>25</v>
      </c>
      <c r="U19" s="234">
        <v>1</v>
      </c>
      <c r="V19" s="234">
        <v>100</v>
      </c>
      <c r="W19" s="234">
        <v>300</v>
      </c>
      <c r="X19" s="234">
        <v>1</v>
      </c>
      <c r="AA19" s="234">
        <v>13</v>
      </c>
      <c r="AB19" s="234" t="s">
        <v>457</v>
      </c>
      <c r="AC19" s="234" t="s">
        <v>64</v>
      </c>
      <c r="AD19" s="234" t="s">
        <v>433</v>
      </c>
      <c r="AE19" s="234" t="s">
        <v>152</v>
      </c>
      <c r="AF19" s="234" t="s">
        <v>138</v>
      </c>
      <c r="AG19" s="234" t="s">
        <v>441</v>
      </c>
      <c r="AH19" s="234" t="s">
        <v>435</v>
      </c>
      <c r="AJ19" s="234" t="s">
        <v>442</v>
      </c>
      <c r="AK19" s="234">
        <v>0.97</v>
      </c>
      <c r="AL19" s="234" t="s">
        <v>551</v>
      </c>
      <c r="AM19" s="234">
        <v>1</v>
      </c>
    </row>
    <row r="20" spans="2:39" x14ac:dyDescent="0.3">
      <c r="E20" s="234" t="s">
        <v>34</v>
      </c>
      <c r="F20" s="234" t="s">
        <v>172</v>
      </c>
      <c r="G20" s="234" t="s">
        <v>383</v>
      </c>
      <c r="I20" s="234">
        <v>0.41</v>
      </c>
      <c r="L20" s="234">
        <v>1.16279069767442</v>
      </c>
      <c r="N20" s="234">
        <v>7.0774999999999997</v>
      </c>
      <c r="O20" s="234">
        <v>7.2637499999999994E-2</v>
      </c>
      <c r="P20" s="234">
        <v>15.5208333333333</v>
      </c>
      <c r="R20" s="234">
        <v>0.97</v>
      </c>
      <c r="T20" s="234">
        <v>25</v>
      </c>
      <c r="U20" s="234">
        <v>1</v>
      </c>
      <c r="V20" s="234">
        <v>100</v>
      </c>
      <c r="W20" s="234">
        <v>300</v>
      </c>
      <c r="X20" s="234">
        <v>1</v>
      </c>
      <c r="AA20" s="234">
        <v>13</v>
      </c>
      <c r="AB20" s="234" t="s">
        <v>457</v>
      </c>
      <c r="AC20" s="234" t="s">
        <v>64</v>
      </c>
      <c r="AD20" s="234" t="s">
        <v>433</v>
      </c>
      <c r="AE20" s="234" t="s">
        <v>152</v>
      </c>
      <c r="AF20" s="234" t="s">
        <v>138</v>
      </c>
      <c r="AG20" s="234" t="s">
        <v>441</v>
      </c>
      <c r="AH20" s="234" t="s">
        <v>435</v>
      </c>
      <c r="AJ20" s="234" t="s">
        <v>442</v>
      </c>
      <c r="AK20" s="234">
        <v>0.97</v>
      </c>
      <c r="AL20" s="234" t="s">
        <v>551</v>
      </c>
      <c r="AM20" s="234">
        <v>1</v>
      </c>
    </row>
    <row r="21" spans="2:39" x14ac:dyDescent="0.3">
      <c r="F21" s="234" t="s">
        <v>172</v>
      </c>
      <c r="G21" s="234" t="s">
        <v>384</v>
      </c>
      <c r="I21" s="234">
        <v>0.43</v>
      </c>
      <c r="L21" s="234">
        <v>1.0869565217391299</v>
      </c>
      <c r="N21" s="234">
        <v>6.7050000000000001</v>
      </c>
      <c r="O21" s="234">
        <v>6.9284999999999999E-2</v>
      </c>
      <c r="P21" s="234">
        <v>14.4861111111111</v>
      </c>
      <c r="R21" s="234">
        <v>0.97</v>
      </c>
      <c r="T21" s="234">
        <v>25</v>
      </c>
      <c r="U21" s="234">
        <v>1</v>
      </c>
      <c r="V21" s="234">
        <v>100</v>
      </c>
      <c r="W21" s="234">
        <v>300</v>
      </c>
      <c r="X21" s="234">
        <v>1</v>
      </c>
      <c r="AA21" s="234">
        <v>13</v>
      </c>
      <c r="AB21" s="234" t="s">
        <v>457</v>
      </c>
      <c r="AC21" s="234" t="s">
        <v>64</v>
      </c>
      <c r="AD21" s="234" t="s">
        <v>433</v>
      </c>
      <c r="AE21" s="234" t="s">
        <v>152</v>
      </c>
      <c r="AF21" s="234" t="s">
        <v>138</v>
      </c>
      <c r="AG21" s="234" t="s">
        <v>441</v>
      </c>
      <c r="AH21" s="234" t="s">
        <v>435</v>
      </c>
      <c r="AJ21" s="234" t="s">
        <v>442</v>
      </c>
      <c r="AK21" s="234">
        <v>0.97</v>
      </c>
      <c r="AL21" s="234" t="s">
        <v>551</v>
      </c>
      <c r="AM21" s="234">
        <v>1</v>
      </c>
    </row>
    <row r="22" spans="2:39" x14ac:dyDescent="0.3">
      <c r="F22" s="234" t="s">
        <v>172</v>
      </c>
      <c r="G22" s="234" t="s">
        <v>385</v>
      </c>
      <c r="I22" s="234">
        <v>0.45</v>
      </c>
      <c r="L22" s="234">
        <v>1</v>
      </c>
      <c r="N22" s="234">
        <v>6.3324999999999996</v>
      </c>
      <c r="O22" s="234">
        <v>6.3325000000000006E-2</v>
      </c>
      <c r="P22" s="234">
        <v>12.4166666666667</v>
      </c>
      <c r="R22" s="234">
        <v>0.97</v>
      </c>
      <c r="T22" s="234">
        <v>25</v>
      </c>
      <c r="U22" s="234">
        <v>1</v>
      </c>
      <c r="V22" s="234">
        <v>100</v>
      </c>
      <c r="W22" s="234">
        <v>300</v>
      </c>
      <c r="X22" s="234">
        <v>1</v>
      </c>
      <c r="AA22" s="234">
        <v>13</v>
      </c>
      <c r="AB22" s="234" t="s">
        <v>457</v>
      </c>
      <c r="AC22" s="234" t="s">
        <v>64</v>
      </c>
      <c r="AD22" s="234" t="s">
        <v>433</v>
      </c>
      <c r="AE22" s="234" t="s">
        <v>152</v>
      </c>
      <c r="AF22" s="234" t="s">
        <v>138</v>
      </c>
      <c r="AG22" s="234" t="s">
        <v>441</v>
      </c>
      <c r="AH22" s="234" t="s">
        <v>435</v>
      </c>
      <c r="AJ22" s="234" t="s">
        <v>442</v>
      </c>
      <c r="AK22" s="234">
        <v>0.97</v>
      </c>
      <c r="AL22" s="234" t="s">
        <v>551</v>
      </c>
      <c r="AM22" s="234">
        <v>1</v>
      </c>
    </row>
    <row r="23" spans="2:39" x14ac:dyDescent="0.3">
      <c r="B23" s="234" t="s">
        <v>556</v>
      </c>
      <c r="C23" s="234" t="s">
        <v>459</v>
      </c>
      <c r="D23" s="234" t="s">
        <v>351</v>
      </c>
      <c r="E23" s="234" t="s">
        <v>28</v>
      </c>
      <c r="F23" s="234" t="s">
        <v>172</v>
      </c>
      <c r="G23" s="234" t="s">
        <v>375</v>
      </c>
      <c r="H23" s="234">
        <v>2020</v>
      </c>
      <c r="I23" s="234">
        <v>0.44</v>
      </c>
      <c r="L23" s="234">
        <v>1.1111111111111101</v>
      </c>
      <c r="N23" s="234">
        <v>7.45</v>
      </c>
      <c r="O23" s="234">
        <v>7.4499999999999997E-2</v>
      </c>
      <c r="P23" s="234">
        <v>11.175000000000001</v>
      </c>
      <c r="Q23" s="234">
        <v>3.1536000000000002E-2</v>
      </c>
      <c r="R23" s="234">
        <v>0.97</v>
      </c>
      <c r="S23" s="234">
        <v>1</v>
      </c>
      <c r="T23" s="234">
        <v>25</v>
      </c>
      <c r="U23" s="234">
        <v>1</v>
      </c>
      <c r="V23" s="234">
        <v>75</v>
      </c>
      <c r="W23" s="234">
        <v>315</v>
      </c>
      <c r="X23" s="234">
        <v>0.6</v>
      </c>
      <c r="Y23" s="234">
        <v>270</v>
      </c>
      <c r="AA23" s="234">
        <v>12</v>
      </c>
      <c r="AB23" s="234" t="s">
        <v>460</v>
      </c>
      <c r="AC23" s="234" t="s">
        <v>64</v>
      </c>
      <c r="AD23" s="234" t="s">
        <v>433</v>
      </c>
      <c r="AE23" s="234" t="s">
        <v>423</v>
      </c>
      <c r="AF23" s="234" t="s">
        <v>137</v>
      </c>
      <c r="AG23" s="234" t="s">
        <v>441</v>
      </c>
      <c r="AH23" s="234" t="s">
        <v>435</v>
      </c>
      <c r="AJ23" s="234" t="s">
        <v>442</v>
      </c>
      <c r="AK23" s="234">
        <v>0.97</v>
      </c>
      <c r="AL23" s="234" t="s">
        <v>551</v>
      </c>
      <c r="AM23" s="234">
        <v>4</v>
      </c>
    </row>
    <row r="24" spans="2:39" x14ac:dyDescent="0.3">
      <c r="E24" s="234" t="s">
        <v>34</v>
      </c>
      <c r="F24" s="234" t="s">
        <v>172</v>
      </c>
      <c r="G24" s="234" t="s">
        <v>383</v>
      </c>
      <c r="I24" s="234">
        <v>0.45</v>
      </c>
      <c r="L24" s="234">
        <v>1.0526315789473699</v>
      </c>
      <c r="N24" s="234">
        <v>7.0774999999999997</v>
      </c>
      <c r="O24" s="234">
        <v>7.2637499999999994E-2</v>
      </c>
      <c r="P24" s="234">
        <v>11.175000000000001</v>
      </c>
      <c r="R24" s="234">
        <v>0.97</v>
      </c>
      <c r="T24" s="234">
        <v>25</v>
      </c>
      <c r="U24" s="234">
        <v>1</v>
      </c>
      <c r="V24" s="234">
        <v>60</v>
      </c>
      <c r="W24" s="234">
        <v>315</v>
      </c>
      <c r="X24" s="234">
        <v>0.6</v>
      </c>
      <c r="Y24" s="234">
        <v>270</v>
      </c>
      <c r="AA24" s="234">
        <v>12</v>
      </c>
      <c r="AB24" s="234" t="s">
        <v>460</v>
      </c>
      <c r="AC24" s="234" t="s">
        <v>64</v>
      </c>
      <c r="AD24" s="234" t="s">
        <v>433</v>
      </c>
      <c r="AE24" s="234" t="s">
        <v>423</v>
      </c>
      <c r="AF24" s="234" t="s">
        <v>137</v>
      </c>
      <c r="AG24" s="234" t="s">
        <v>441</v>
      </c>
      <c r="AH24" s="234" t="s">
        <v>435</v>
      </c>
      <c r="AJ24" s="234" t="s">
        <v>442</v>
      </c>
      <c r="AK24" s="234">
        <v>0.97</v>
      </c>
      <c r="AL24" s="234" t="s">
        <v>551</v>
      </c>
      <c r="AM24" s="234">
        <v>4</v>
      </c>
    </row>
    <row r="25" spans="2:39" x14ac:dyDescent="0.3">
      <c r="F25" s="234" t="s">
        <v>172</v>
      </c>
      <c r="G25" s="234" t="s">
        <v>384</v>
      </c>
      <c r="I25" s="234">
        <v>0.47</v>
      </c>
      <c r="L25" s="234">
        <v>1.0101010101010099</v>
      </c>
      <c r="N25" s="234">
        <v>6.7050000000000001</v>
      </c>
      <c r="O25" s="234">
        <v>6.9284999999999999E-2</v>
      </c>
      <c r="P25" s="234">
        <v>10.554166666666699</v>
      </c>
      <c r="R25" s="234">
        <v>0.97</v>
      </c>
      <c r="T25" s="234">
        <v>25</v>
      </c>
      <c r="U25" s="234">
        <v>1</v>
      </c>
      <c r="V25" s="234">
        <v>60</v>
      </c>
      <c r="W25" s="234">
        <v>280</v>
      </c>
      <c r="X25" s="234">
        <v>0.6</v>
      </c>
      <c r="Y25" s="234">
        <v>270</v>
      </c>
      <c r="AA25" s="234">
        <v>12</v>
      </c>
      <c r="AB25" s="234" t="s">
        <v>460</v>
      </c>
      <c r="AC25" s="234" t="s">
        <v>64</v>
      </c>
      <c r="AD25" s="234" t="s">
        <v>433</v>
      </c>
      <c r="AE25" s="234" t="s">
        <v>423</v>
      </c>
      <c r="AF25" s="234" t="s">
        <v>137</v>
      </c>
      <c r="AG25" s="234" t="s">
        <v>441</v>
      </c>
      <c r="AH25" s="234" t="s">
        <v>435</v>
      </c>
      <c r="AJ25" s="234" t="s">
        <v>442</v>
      </c>
      <c r="AK25" s="234">
        <v>0.97</v>
      </c>
      <c r="AL25" s="234" t="s">
        <v>551</v>
      </c>
      <c r="AM25" s="234">
        <v>4</v>
      </c>
    </row>
    <row r="26" spans="2:39" x14ac:dyDescent="0.3">
      <c r="F26" s="234" t="s">
        <v>172</v>
      </c>
      <c r="G26" s="234" t="s">
        <v>385</v>
      </c>
      <c r="I26" s="234">
        <v>0.48</v>
      </c>
      <c r="L26" s="234">
        <v>0.96153846153846101</v>
      </c>
      <c r="N26" s="234">
        <v>6.3324999999999996</v>
      </c>
      <c r="O26" s="234">
        <v>6.3325000000000006E-2</v>
      </c>
      <c r="P26" s="234">
        <v>10.140277777777801</v>
      </c>
      <c r="R26" s="234">
        <v>0.97</v>
      </c>
      <c r="T26" s="234">
        <v>25</v>
      </c>
      <c r="U26" s="234">
        <v>1</v>
      </c>
      <c r="V26" s="234">
        <v>60</v>
      </c>
      <c r="W26" s="234">
        <v>250</v>
      </c>
      <c r="X26" s="234">
        <v>0.6</v>
      </c>
      <c r="Y26" s="234">
        <v>270</v>
      </c>
      <c r="AA26" s="234">
        <v>12</v>
      </c>
      <c r="AB26" s="234" t="s">
        <v>460</v>
      </c>
      <c r="AC26" s="234" t="s">
        <v>64</v>
      </c>
      <c r="AD26" s="234" t="s">
        <v>433</v>
      </c>
      <c r="AE26" s="234" t="s">
        <v>423</v>
      </c>
      <c r="AF26" s="234" t="s">
        <v>137</v>
      </c>
      <c r="AG26" s="234" t="s">
        <v>441</v>
      </c>
      <c r="AH26" s="234" t="s">
        <v>435</v>
      </c>
      <c r="AJ26" s="234" t="s">
        <v>442</v>
      </c>
      <c r="AK26" s="234">
        <v>0.97</v>
      </c>
      <c r="AL26" s="234" t="s">
        <v>551</v>
      </c>
      <c r="AM26" s="234">
        <v>4</v>
      </c>
    </row>
    <row r="27" spans="2:39" x14ac:dyDescent="0.3">
      <c r="B27" s="234" t="s">
        <v>557</v>
      </c>
      <c r="C27" s="234" t="s">
        <v>465</v>
      </c>
      <c r="D27" s="234" t="s">
        <v>35</v>
      </c>
      <c r="E27" s="234" t="s">
        <v>28</v>
      </c>
      <c r="F27" s="234" t="s">
        <v>172</v>
      </c>
      <c r="G27" s="234" t="s">
        <v>375</v>
      </c>
      <c r="H27" s="234">
        <v>2020</v>
      </c>
      <c r="I27" s="234">
        <v>0.219</v>
      </c>
      <c r="L27" s="234">
        <v>3.3333333333333299</v>
      </c>
      <c r="M27" s="234">
        <v>1</v>
      </c>
      <c r="N27" s="234">
        <v>69.284999999999997</v>
      </c>
      <c r="O27" s="234">
        <v>2.2402150000000001</v>
      </c>
      <c r="P27" s="234">
        <v>51.7361111111111</v>
      </c>
      <c r="Q27" s="234">
        <v>3.1536000000000002E-2</v>
      </c>
      <c r="R27" s="234">
        <v>0.99</v>
      </c>
      <c r="S27" s="234">
        <v>1</v>
      </c>
      <c r="T27" s="234">
        <v>25</v>
      </c>
      <c r="U27" s="234">
        <v>2.5</v>
      </c>
      <c r="V27" s="234">
        <v>90</v>
      </c>
      <c r="W27" s="234">
        <v>0.3</v>
      </c>
      <c r="X27" s="234">
        <v>1.2</v>
      </c>
      <c r="Y27" s="234">
        <v>0.54000000000002002</v>
      </c>
      <c r="Z27" s="234">
        <v>0.3</v>
      </c>
      <c r="AA27" s="234">
        <v>16</v>
      </c>
      <c r="AB27" s="234" t="s">
        <v>466</v>
      </c>
      <c r="AC27" s="234" t="s">
        <v>64</v>
      </c>
      <c r="AD27" s="234" t="s">
        <v>433</v>
      </c>
      <c r="AE27" s="234" t="s">
        <v>131</v>
      </c>
      <c r="AF27" s="234" t="s">
        <v>141</v>
      </c>
      <c r="AG27" s="234" t="s">
        <v>441</v>
      </c>
      <c r="AH27" s="234" t="s">
        <v>435</v>
      </c>
      <c r="AJ27" s="234" t="s">
        <v>436</v>
      </c>
      <c r="AK27" s="234">
        <v>0.99</v>
      </c>
      <c r="AL27" s="234" t="s">
        <v>551</v>
      </c>
      <c r="AM27" s="234">
        <v>1</v>
      </c>
    </row>
    <row r="28" spans="2:39" x14ac:dyDescent="0.3">
      <c r="E28" s="234" t="s">
        <v>34</v>
      </c>
      <c r="F28" s="234" t="s">
        <v>172</v>
      </c>
      <c r="G28" s="234" t="s">
        <v>383</v>
      </c>
      <c r="I28" s="234">
        <v>0.219</v>
      </c>
      <c r="L28" s="234">
        <v>3.3333333333333299</v>
      </c>
      <c r="M28" s="234">
        <v>1</v>
      </c>
      <c r="N28" s="234">
        <v>67.795000000000002</v>
      </c>
      <c r="O28" s="234">
        <v>1.9727600000000001</v>
      </c>
      <c r="P28" s="234">
        <v>51.7361111111111</v>
      </c>
      <c r="R28" s="234">
        <v>0.99</v>
      </c>
      <c r="T28" s="234">
        <v>25</v>
      </c>
      <c r="U28" s="234">
        <v>2.5</v>
      </c>
      <c r="V28" s="234">
        <v>56</v>
      </c>
      <c r="W28" s="234">
        <v>0.1</v>
      </c>
      <c r="X28" s="234">
        <v>1</v>
      </c>
      <c r="Y28" s="234">
        <v>0.54000000000002002</v>
      </c>
      <c r="Z28" s="234">
        <v>0.3</v>
      </c>
      <c r="AA28" s="234">
        <v>16</v>
      </c>
      <c r="AB28" s="234" t="s">
        <v>466</v>
      </c>
      <c r="AC28" s="234" t="s">
        <v>64</v>
      </c>
      <c r="AD28" s="234" t="s">
        <v>433</v>
      </c>
      <c r="AE28" s="234" t="s">
        <v>131</v>
      </c>
      <c r="AF28" s="234" t="s">
        <v>141</v>
      </c>
      <c r="AG28" s="234" t="s">
        <v>441</v>
      </c>
      <c r="AH28" s="234" t="s">
        <v>435</v>
      </c>
      <c r="AJ28" s="234" t="s">
        <v>436</v>
      </c>
      <c r="AK28" s="234">
        <v>0.99</v>
      </c>
      <c r="AL28" s="234" t="s">
        <v>551</v>
      </c>
      <c r="AM28" s="234">
        <v>1</v>
      </c>
    </row>
    <row r="29" spans="2:39" x14ac:dyDescent="0.3">
      <c r="F29" s="234" t="s">
        <v>172</v>
      </c>
      <c r="G29" s="234" t="s">
        <v>384</v>
      </c>
      <c r="I29" s="234">
        <v>0.224</v>
      </c>
      <c r="L29" s="234">
        <v>3.3333333333333299</v>
      </c>
      <c r="M29" s="234">
        <v>1</v>
      </c>
      <c r="N29" s="234">
        <v>64.814999999999998</v>
      </c>
      <c r="O29" s="234">
        <v>1.837915</v>
      </c>
      <c r="P29" s="234">
        <v>50.7013888888889</v>
      </c>
      <c r="R29" s="234">
        <v>0.99</v>
      </c>
      <c r="T29" s="234">
        <v>25</v>
      </c>
      <c r="U29" s="234">
        <v>2.5</v>
      </c>
      <c r="V29" s="234">
        <v>45</v>
      </c>
      <c r="W29" s="234">
        <v>0.1</v>
      </c>
      <c r="X29" s="234">
        <v>1</v>
      </c>
      <c r="Y29" s="234">
        <v>0.54000000000002002</v>
      </c>
      <c r="Z29" s="234">
        <v>0.3</v>
      </c>
      <c r="AA29" s="234">
        <v>16</v>
      </c>
      <c r="AB29" s="234" t="s">
        <v>466</v>
      </c>
      <c r="AC29" s="234" t="s">
        <v>64</v>
      </c>
      <c r="AD29" s="234" t="s">
        <v>433</v>
      </c>
      <c r="AE29" s="234" t="s">
        <v>131</v>
      </c>
      <c r="AF29" s="234" t="s">
        <v>141</v>
      </c>
      <c r="AG29" s="234" t="s">
        <v>441</v>
      </c>
      <c r="AH29" s="234" t="s">
        <v>435</v>
      </c>
      <c r="AJ29" s="234" t="s">
        <v>436</v>
      </c>
      <c r="AK29" s="234">
        <v>0.99</v>
      </c>
      <c r="AL29" s="234" t="s">
        <v>551</v>
      </c>
      <c r="AM29" s="234">
        <v>1</v>
      </c>
    </row>
    <row r="30" spans="2:39" x14ac:dyDescent="0.3">
      <c r="F30" s="234" t="s">
        <v>172</v>
      </c>
      <c r="G30" s="234" t="s">
        <v>385</v>
      </c>
      <c r="I30" s="234">
        <v>0.23200000000000001</v>
      </c>
      <c r="L30" s="234">
        <v>3.125</v>
      </c>
      <c r="M30" s="234">
        <v>1</v>
      </c>
      <c r="N30" s="234">
        <v>56.62</v>
      </c>
      <c r="O30" s="234">
        <v>1.56897</v>
      </c>
      <c r="P30" s="234">
        <v>49.045833333333299</v>
      </c>
      <c r="R30" s="234">
        <v>0.99</v>
      </c>
      <c r="T30" s="234">
        <v>25</v>
      </c>
      <c r="U30" s="234">
        <v>2.5</v>
      </c>
      <c r="V30" s="234">
        <v>11</v>
      </c>
      <c r="W30" s="234">
        <v>0.1</v>
      </c>
      <c r="X30" s="234">
        <v>1</v>
      </c>
      <c r="Y30" s="234">
        <v>0.54000000000002002</v>
      </c>
      <c r="Z30" s="234">
        <v>0.3</v>
      </c>
      <c r="AA30" s="234">
        <v>16</v>
      </c>
      <c r="AB30" s="234" t="s">
        <v>466</v>
      </c>
      <c r="AC30" s="234" t="s">
        <v>64</v>
      </c>
      <c r="AD30" s="234" t="s">
        <v>433</v>
      </c>
      <c r="AE30" s="234" t="s">
        <v>131</v>
      </c>
      <c r="AF30" s="234" t="s">
        <v>141</v>
      </c>
      <c r="AG30" s="234" t="s">
        <v>441</v>
      </c>
      <c r="AH30" s="234" t="s">
        <v>435</v>
      </c>
      <c r="AJ30" s="234" t="s">
        <v>436</v>
      </c>
      <c r="AK30" s="234">
        <v>0.99</v>
      </c>
      <c r="AL30" s="234" t="s">
        <v>551</v>
      </c>
      <c r="AM30" s="234">
        <v>1</v>
      </c>
    </row>
    <row r="31" spans="2:39" x14ac:dyDescent="0.3">
      <c r="B31" s="234" t="s">
        <v>558</v>
      </c>
      <c r="C31" s="234" t="s">
        <v>468</v>
      </c>
      <c r="D31" s="234" t="s">
        <v>35</v>
      </c>
      <c r="E31" s="234" t="s">
        <v>28</v>
      </c>
      <c r="F31" s="234" t="s">
        <v>172</v>
      </c>
      <c r="G31" s="234" t="s">
        <v>375</v>
      </c>
      <c r="H31" s="234">
        <v>2020</v>
      </c>
      <c r="I31" s="234">
        <v>0.214</v>
      </c>
      <c r="L31" s="234">
        <v>3.4482758620689702</v>
      </c>
      <c r="M31" s="234">
        <v>1</v>
      </c>
      <c r="N31" s="234">
        <v>79.715000000000003</v>
      </c>
      <c r="O31" s="234">
        <v>3.1871100000000001</v>
      </c>
      <c r="P31" s="234">
        <v>52.977777777777803</v>
      </c>
      <c r="Q31" s="234">
        <v>3.1536000000000002E-2</v>
      </c>
      <c r="R31" s="234">
        <v>0.99</v>
      </c>
      <c r="S31" s="234">
        <v>1</v>
      </c>
      <c r="T31" s="234">
        <v>25</v>
      </c>
      <c r="U31" s="234">
        <v>2.5</v>
      </c>
      <c r="V31" s="234">
        <v>90</v>
      </c>
      <c r="W31" s="234">
        <v>0.3</v>
      </c>
      <c r="X31" s="234">
        <v>1.2</v>
      </c>
      <c r="Y31" s="234">
        <v>0.54000000000002002</v>
      </c>
      <c r="Z31" s="234">
        <v>0.3</v>
      </c>
      <c r="AA31" s="234">
        <v>17</v>
      </c>
      <c r="AB31" s="234" t="s">
        <v>469</v>
      </c>
      <c r="AC31" s="234" t="s">
        <v>64</v>
      </c>
      <c r="AD31" s="234" t="s">
        <v>433</v>
      </c>
      <c r="AE31" s="234" t="s">
        <v>131</v>
      </c>
      <c r="AF31" s="234" t="s">
        <v>141</v>
      </c>
      <c r="AG31" s="234" t="s">
        <v>441</v>
      </c>
      <c r="AH31" s="234" t="s">
        <v>435</v>
      </c>
      <c r="AJ31" s="234" t="s">
        <v>436</v>
      </c>
      <c r="AK31" s="234">
        <v>0.99</v>
      </c>
      <c r="AL31" s="234" t="s">
        <v>551</v>
      </c>
      <c r="AM31" s="234">
        <v>2</v>
      </c>
    </row>
    <row r="32" spans="2:39" x14ac:dyDescent="0.3">
      <c r="E32" s="234" t="s">
        <v>34</v>
      </c>
      <c r="F32" s="234" t="s">
        <v>172</v>
      </c>
      <c r="G32" s="234" t="s">
        <v>383</v>
      </c>
      <c r="I32" s="234">
        <v>0.214</v>
      </c>
      <c r="L32" s="234">
        <v>3.4482758620689702</v>
      </c>
      <c r="M32" s="234">
        <v>1</v>
      </c>
      <c r="N32" s="234">
        <v>78.224999999999994</v>
      </c>
      <c r="O32" s="234">
        <v>3.0813199999999998</v>
      </c>
      <c r="P32" s="234">
        <v>52.977777777777803</v>
      </c>
      <c r="R32" s="234">
        <v>0.99</v>
      </c>
      <c r="T32" s="234">
        <v>25</v>
      </c>
      <c r="U32" s="234">
        <v>2.5</v>
      </c>
      <c r="V32" s="234">
        <v>67</v>
      </c>
      <c r="W32" s="234">
        <v>0.1</v>
      </c>
      <c r="X32" s="234">
        <v>1</v>
      </c>
      <c r="Y32" s="234">
        <v>0.54000000000002002</v>
      </c>
      <c r="Z32" s="234">
        <v>0.3</v>
      </c>
      <c r="AA32" s="234">
        <v>17</v>
      </c>
      <c r="AB32" s="234" t="s">
        <v>469</v>
      </c>
      <c r="AC32" s="234" t="s">
        <v>64</v>
      </c>
      <c r="AD32" s="234" t="s">
        <v>433</v>
      </c>
      <c r="AE32" s="234" t="s">
        <v>131</v>
      </c>
      <c r="AF32" s="234" t="s">
        <v>141</v>
      </c>
      <c r="AG32" s="234" t="s">
        <v>441</v>
      </c>
      <c r="AH32" s="234" t="s">
        <v>435</v>
      </c>
      <c r="AJ32" s="234" t="s">
        <v>436</v>
      </c>
      <c r="AK32" s="234">
        <v>0.99</v>
      </c>
      <c r="AL32" s="234" t="s">
        <v>551</v>
      </c>
      <c r="AM32" s="234">
        <v>2</v>
      </c>
    </row>
    <row r="33" spans="2:39" x14ac:dyDescent="0.3">
      <c r="F33" s="234" t="s">
        <v>172</v>
      </c>
      <c r="G33" s="234" t="s">
        <v>384</v>
      </c>
      <c r="I33" s="234">
        <v>0.223</v>
      </c>
      <c r="L33" s="234">
        <v>3.3333333333333299</v>
      </c>
      <c r="M33" s="234">
        <v>1</v>
      </c>
      <c r="N33" s="234">
        <v>71.52</v>
      </c>
      <c r="O33" s="234">
        <v>2.7743799999999998</v>
      </c>
      <c r="P33" s="234">
        <v>50.908333333333303</v>
      </c>
      <c r="R33" s="234">
        <v>0.99</v>
      </c>
      <c r="T33" s="234">
        <v>25</v>
      </c>
      <c r="U33" s="234">
        <v>2.5</v>
      </c>
      <c r="V33" s="234">
        <v>56</v>
      </c>
      <c r="W33" s="234">
        <v>0.1</v>
      </c>
      <c r="X33" s="234">
        <v>1</v>
      </c>
      <c r="Y33" s="234">
        <v>0.54000000000002002</v>
      </c>
      <c r="Z33" s="234">
        <v>0.3</v>
      </c>
      <c r="AA33" s="234">
        <v>17</v>
      </c>
      <c r="AB33" s="234" t="s">
        <v>469</v>
      </c>
      <c r="AC33" s="234" t="s">
        <v>64</v>
      </c>
      <c r="AD33" s="234" t="s">
        <v>433</v>
      </c>
      <c r="AE33" s="234" t="s">
        <v>131</v>
      </c>
      <c r="AF33" s="234" t="s">
        <v>141</v>
      </c>
      <c r="AG33" s="234" t="s">
        <v>441</v>
      </c>
      <c r="AH33" s="234" t="s">
        <v>435</v>
      </c>
      <c r="AJ33" s="234" t="s">
        <v>436</v>
      </c>
      <c r="AK33" s="234">
        <v>0.99</v>
      </c>
      <c r="AL33" s="234" t="s">
        <v>551</v>
      </c>
      <c r="AM33" s="234">
        <v>2</v>
      </c>
    </row>
    <row r="34" spans="2:39" x14ac:dyDescent="0.3">
      <c r="F34" s="234" t="s">
        <v>172</v>
      </c>
      <c r="G34" s="234" t="s">
        <v>385</v>
      </c>
      <c r="I34" s="234">
        <v>0.22500000000000001</v>
      </c>
      <c r="L34" s="234">
        <v>3.3333333333333299</v>
      </c>
      <c r="M34" s="234">
        <v>1</v>
      </c>
      <c r="N34" s="234">
        <v>65.56</v>
      </c>
      <c r="O34" s="234">
        <v>2.4547750000000002</v>
      </c>
      <c r="P34" s="234">
        <v>50.494444444444397</v>
      </c>
      <c r="R34" s="234">
        <v>0.99</v>
      </c>
      <c r="T34" s="234">
        <v>25</v>
      </c>
      <c r="U34" s="234">
        <v>2.5</v>
      </c>
      <c r="V34" s="234">
        <v>22</v>
      </c>
      <c r="W34" s="234">
        <v>0.1</v>
      </c>
      <c r="X34" s="234">
        <v>1</v>
      </c>
      <c r="Y34" s="234">
        <v>0.54000000000002002</v>
      </c>
      <c r="Z34" s="234">
        <v>0.3</v>
      </c>
      <c r="AA34" s="234">
        <v>17</v>
      </c>
      <c r="AB34" s="234" t="s">
        <v>469</v>
      </c>
      <c r="AC34" s="234" t="s">
        <v>64</v>
      </c>
      <c r="AD34" s="234" t="s">
        <v>433</v>
      </c>
      <c r="AE34" s="234" t="s">
        <v>131</v>
      </c>
      <c r="AF34" s="234" t="s">
        <v>141</v>
      </c>
      <c r="AG34" s="234" t="s">
        <v>441</v>
      </c>
      <c r="AH34" s="234" t="s">
        <v>435</v>
      </c>
      <c r="AJ34" s="234" t="s">
        <v>436</v>
      </c>
      <c r="AK34" s="234">
        <v>0.99</v>
      </c>
      <c r="AL34" s="234" t="s">
        <v>551</v>
      </c>
      <c r="AM34" s="234">
        <v>2</v>
      </c>
    </row>
    <row r="35" spans="2:39" x14ac:dyDescent="0.3">
      <c r="B35" s="234" t="s">
        <v>559</v>
      </c>
      <c r="C35" s="234" t="s">
        <v>471</v>
      </c>
      <c r="D35" s="234" t="s">
        <v>35</v>
      </c>
      <c r="E35" s="234" t="s">
        <v>34</v>
      </c>
      <c r="F35" s="234" t="s">
        <v>172</v>
      </c>
      <c r="G35" s="234" t="s">
        <v>375</v>
      </c>
      <c r="H35" s="234">
        <v>2020</v>
      </c>
      <c r="I35" s="234">
        <v>1.0469999999999999</v>
      </c>
      <c r="N35" s="234">
        <v>13.41</v>
      </c>
      <c r="O35" s="234">
        <v>0.60568500000000003</v>
      </c>
      <c r="P35" s="234">
        <v>11.3819444444444</v>
      </c>
      <c r="Q35" s="234">
        <v>3.1536000000000002E-2</v>
      </c>
      <c r="R35" s="234">
        <v>0.99</v>
      </c>
      <c r="S35" s="234">
        <v>1</v>
      </c>
      <c r="T35" s="234">
        <v>25</v>
      </c>
      <c r="U35" s="234">
        <v>2</v>
      </c>
      <c r="V35" s="234">
        <v>90</v>
      </c>
      <c r="W35" s="234">
        <v>0.3</v>
      </c>
      <c r="X35" s="234">
        <v>1.2</v>
      </c>
      <c r="Y35" s="234">
        <v>0.54000000000002002</v>
      </c>
      <c r="Z35" s="234">
        <v>0.3</v>
      </c>
      <c r="AA35" s="234">
        <v>18</v>
      </c>
      <c r="AB35" s="234" t="s">
        <v>472</v>
      </c>
      <c r="AC35" s="234" t="s">
        <v>160</v>
      </c>
      <c r="AD35" s="234" t="s">
        <v>473</v>
      </c>
      <c r="AE35" s="234" t="s">
        <v>131</v>
      </c>
      <c r="AF35" s="234" t="s">
        <v>141</v>
      </c>
      <c r="AG35" s="234" t="s">
        <v>441</v>
      </c>
      <c r="AH35" s="234" t="s">
        <v>474</v>
      </c>
      <c r="AJ35" s="234" t="s">
        <v>475</v>
      </c>
      <c r="AK35" s="234">
        <v>0.99</v>
      </c>
      <c r="AL35" s="234" t="s">
        <v>551</v>
      </c>
      <c r="AM35" s="234">
        <v>1</v>
      </c>
    </row>
    <row r="36" spans="2:39" x14ac:dyDescent="0.3">
      <c r="F36" s="234" t="s">
        <v>172</v>
      </c>
      <c r="G36" s="234" t="s">
        <v>383</v>
      </c>
      <c r="I36" s="234">
        <v>1.0469999999999999</v>
      </c>
      <c r="N36" s="234">
        <v>13.0375</v>
      </c>
      <c r="O36" s="234">
        <v>0.58557000000000003</v>
      </c>
      <c r="P36" s="234">
        <v>11.3819444444444</v>
      </c>
      <c r="R36" s="234">
        <v>0.99</v>
      </c>
      <c r="T36" s="234">
        <v>25</v>
      </c>
      <c r="U36" s="234">
        <v>2</v>
      </c>
      <c r="V36" s="234">
        <v>67</v>
      </c>
      <c r="W36" s="234">
        <v>0.1</v>
      </c>
      <c r="X36" s="234">
        <v>1</v>
      </c>
      <c r="Y36" s="234">
        <v>0.54000000000002002</v>
      </c>
      <c r="Z36" s="234">
        <v>0.3</v>
      </c>
      <c r="AA36" s="234">
        <v>18</v>
      </c>
      <c r="AB36" s="234" t="s">
        <v>472</v>
      </c>
      <c r="AC36" s="234" t="s">
        <v>160</v>
      </c>
      <c r="AD36" s="234" t="s">
        <v>473</v>
      </c>
      <c r="AE36" s="234" t="s">
        <v>131</v>
      </c>
      <c r="AF36" s="234" t="s">
        <v>141</v>
      </c>
      <c r="AG36" s="234" t="s">
        <v>441</v>
      </c>
      <c r="AH36" s="234" t="s">
        <v>474</v>
      </c>
      <c r="AJ36" s="234" t="s">
        <v>475</v>
      </c>
      <c r="AK36" s="234">
        <v>0.99</v>
      </c>
      <c r="AL36" s="234" t="s">
        <v>551</v>
      </c>
      <c r="AM36" s="234">
        <v>1</v>
      </c>
    </row>
    <row r="37" spans="2:39" x14ac:dyDescent="0.3">
      <c r="F37" s="234" t="s">
        <v>172</v>
      </c>
      <c r="G37" s="234" t="s">
        <v>384</v>
      </c>
      <c r="I37" s="234">
        <v>1.05</v>
      </c>
      <c r="N37" s="234">
        <v>12.367000000000001</v>
      </c>
      <c r="O37" s="234">
        <v>0.54608500000000004</v>
      </c>
      <c r="P37" s="234">
        <v>11.3819444444444</v>
      </c>
      <c r="R37" s="234">
        <v>0.99</v>
      </c>
      <c r="T37" s="234">
        <v>25</v>
      </c>
      <c r="U37" s="234">
        <v>2</v>
      </c>
      <c r="V37" s="234">
        <v>56</v>
      </c>
      <c r="W37" s="234">
        <v>0.1</v>
      </c>
      <c r="X37" s="234">
        <v>1</v>
      </c>
      <c r="Y37" s="234">
        <v>0.54000000000002002</v>
      </c>
      <c r="Z37" s="234">
        <v>0.3</v>
      </c>
      <c r="AA37" s="234">
        <v>18</v>
      </c>
      <c r="AB37" s="234" t="s">
        <v>472</v>
      </c>
      <c r="AC37" s="234" t="s">
        <v>160</v>
      </c>
      <c r="AD37" s="234" t="s">
        <v>473</v>
      </c>
      <c r="AE37" s="234" t="s">
        <v>131</v>
      </c>
      <c r="AF37" s="234" t="s">
        <v>141</v>
      </c>
      <c r="AG37" s="234" t="s">
        <v>441</v>
      </c>
      <c r="AH37" s="234" t="s">
        <v>474</v>
      </c>
      <c r="AJ37" s="234" t="s">
        <v>475</v>
      </c>
      <c r="AK37" s="234">
        <v>0.99</v>
      </c>
      <c r="AL37" s="234" t="s">
        <v>551</v>
      </c>
      <c r="AM37" s="234">
        <v>1</v>
      </c>
    </row>
    <row r="38" spans="2:39" x14ac:dyDescent="0.3">
      <c r="F38" s="234" t="s">
        <v>172</v>
      </c>
      <c r="G38" s="234" t="s">
        <v>385</v>
      </c>
      <c r="I38" s="234">
        <v>1.0549999999999999</v>
      </c>
      <c r="N38" s="234">
        <v>11.547499999999999</v>
      </c>
      <c r="O38" s="234">
        <v>0.486485</v>
      </c>
      <c r="P38" s="234">
        <v>11.3819444444444</v>
      </c>
      <c r="R38" s="234">
        <v>0.99</v>
      </c>
      <c r="T38" s="234">
        <v>25</v>
      </c>
      <c r="U38" s="234">
        <v>2</v>
      </c>
      <c r="V38" s="234">
        <v>22</v>
      </c>
      <c r="W38" s="234">
        <v>0.1</v>
      </c>
      <c r="X38" s="234">
        <v>1</v>
      </c>
      <c r="Y38" s="234">
        <v>0.54000000000002002</v>
      </c>
      <c r="Z38" s="234">
        <v>0.3</v>
      </c>
      <c r="AA38" s="234">
        <v>18</v>
      </c>
      <c r="AB38" s="234" t="s">
        <v>472</v>
      </c>
      <c r="AC38" s="234" t="s">
        <v>160</v>
      </c>
      <c r="AD38" s="234" t="s">
        <v>473</v>
      </c>
      <c r="AE38" s="234" t="s">
        <v>131</v>
      </c>
      <c r="AF38" s="234" t="s">
        <v>141</v>
      </c>
      <c r="AG38" s="234" t="s">
        <v>441</v>
      </c>
      <c r="AH38" s="234" t="s">
        <v>474</v>
      </c>
      <c r="AJ38" s="234" t="s">
        <v>475</v>
      </c>
      <c r="AK38" s="234">
        <v>0.99</v>
      </c>
      <c r="AL38" s="234" t="s">
        <v>551</v>
      </c>
      <c r="AM38" s="234">
        <v>1</v>
      </c>
    </row>
    <row r="39" spans="2:39" x14ac:dyDescent="0.3">
      <c r="B39" s="234" t="s">
        <v>560</v>
      </c>
      <c r="C39" s="234" t="s">
        <v>477</v>
      </c>
      <c r="D39" s="234" t="s">
        <v>185</v>
      </c>
      <c r="E39" s="234" t="s">
        <v>34</v>
      </c>
      <c r="F39" s="234" t="s">
        <v>172</v>
      </c>
      <c r="G39" s="234" t="s">
        <v>375</v>
      </c>
      <c r="H39" s="234">
        <v>2020</v>
      </c>
      <c r="I39" s="234">
        <v>1.0209999999999999</v>
      </c>
      <c r="N39" s="234">
        <v>6.7794999999999996</v>
      </c>
      <c r="O39" s="234">
        <v>0.39410499999999998</v>
      </c>
      <c r="P39" s="234">
        <v>1.24166666666667</v>
      </c>
      <c r="Q39" s="234">
        <v>3.1536000000000002E-2</v>
      </c>
      <c r="R39" s="234">
        <v>0.96</v>
      </c>
      <c r="S39" s="234">
        <v>1</v>
      </c>
      <c r="T39" s="234">
        <v>25</v>
      </c>
      <c r="U39" s="234">
        <v>1</v>
      </c>
      <c r="V39" s="234">
        <v>90</v>
      </c>
      <c r="W39" s="234">
        <v>16</v>
      </c>
      <c r="X39" s="234">
        <v>4</v>
      </c>
      <c r="Y39" s="234">
        <v>12.15</v>
      </c>
      <c r="Z39" s="234">
        <v>2</v>
      </c>
      <c r="AA39" s="234">
        <v>30</v>
      </c>
      <c r="AB39" s="234" t="s">
        <v>478</v>
      </c>
      <c r="AC39" s="234" t="s">
        <v>160</v>
      </c>
      <c r="AD39" s="234" t="s">
        <v>473</v>
      </c>
      <c r="AE39" s="234" t="s">
        <v>479</v>
      </c>
      <c r="AF39" s="234" t="s">
        <v>204</v>
      </c>
      <c r="AG39" s="234" t="s">
        <v>441</v>
      </c>
      <c r="AH39" s="234" t="s">
        <v>474</v>
      </c>
      <c r="AJ39" s="234" t="s">
        <v>475</v>
      </c>
      <c r="AK39" s="234">
        <v>0.96</v>
      </c>
      <c r="AL39" s="234" t="s">
        <v>551</v>
      </c>
      <c r="AM39" s="234">
        <v>1</v>
      </c>
    </row>
    <row r="40" spans="2:39" x14ac:dyDescent="0.3">
      <c r="F40" s="234" t="s">
        <v>172</v>
      </c>
      <c r="G40" s="234" t="s">
        <v>383</v>
      </c>
      <c r="I40" s="234">
        <v>1.0209999999999999</v>
      </c>
      <c r="N40" s="234">
        <v>6.6304999999999996</v>
      </c>
      <c r="O40" s="234">
        <v>0.382185</v>
      </c>
      <c r="P40" s="234">
        <v>1.24166666666667</v>
      </c>
      <c r="R40" s="234">
        <v>0.96</v>
      </c>
      <c r="T40" s="234">
        <v>25</v>
      </c>
      <c r="U40" s="234">
        <v>1</v>
      </c>
      <c r="V40" s="234">
        <v>72</v>
      </c>
      <c r="W40" s="234">
        <v>11</v>
      </c>
      <c r="X40" s="234">
        <v>3</v>
      </c>
      <c r="Y40" s="234">
        <v>9.7199999999999704</v>
      </c>
      <c r="Z40" s="234">
        <v>0.3</v>
      </c>
      <c r="AA40" s="234">
        <v>30</v>
      </c>
      <c r="AB40" s="234" t="s">
        <v>478</v>
      </c>
      <c r="AC40" s="234" t="s">
        <v>160</v>
      </c>
      <c r="AD40" s="234" t="s">
        <v>473</v>
      </c>
      <c r="AE40" s="234" t="s">
        <v>479</v>
      </c>
      <c r="AF40" s="234" t="s">
        <v>204</v>
      </c>
      <c r="AG40" s="234" t="s">
        <v>441</v>
      </c>
      <c r="AH40" s="234" t="s">
        <v>474</v>
      </c>
      <c r="AJ40" s="234" t="s">
        <v>475</v>
      </c>
      <c r="AK40" s="234">
        <v>0.96</v>
      </c>
      <c r="AL40" s="234" t="s">
        <v>551</v>
      </c>
      <c r="AM40" s="234">
        <v>1</v>
      </c>
    </row>
    <row r="41" spans="2:39" x14ac:dyDescent="0.3">
      <c r="F41" s="234" t="s">
        <v>172</v>
      </c>
      <c r="G41" s="234" t="s">
        <v>384</v>
      </c>
      <c r="I41" s="234">
        <v>1.0209999999999999</v>
      </c>
      <c r="N41" s="234">
        <v>6.258</v>
      </c>
      <c r="O41" s="234">
        <v>0.36058000000000001</v>
      </c>
      <c r="P41" s="234">
        <v>1.24166666666667</v>
      </c>
      <c r="R41" s="234">
        <v>0.96</v>
      </c>
      <c r="T41" s="234">
        <v>25</v>
      </c>
      <c r="U41" s="234">
        <v>1</v>
      </c>
      <c r="V41" s="234">
        <v>73</v>
      </c>
      <c r="W41" s="234">
        <v>8</v>
      </c>
      <c r="X41" s="234">
        <v>2</v>
      </c>
      <c r="Y41" s="234">
        <v>2.4300000000000099</v>
      </c>
      <c r="Z41" s="234">
        <v>0.3</v>
      </c>
      <c r="AA41" s="234">
        <v>30</v>
      </c>
      <c r="AB41" s="234" t="s">
        <v>478</v>
      </c>
      <c r="AC41" s="234" t="s">
        <v>160</v>
      </c>
      <c r="AD41" s="234" t="s">
        <v>473</v>
      </c>
      <c r="AE41" s="234" t="s">
        <v>479</v>
      </c>
      <c r="AF41" s="234" t="s">
        <v>204</v>
      </c>
      <c r="AG41" s="234" t="s">
        <v>441</v>
      </c>
      <c r="AH41" s="234" t="s">
        <v>474</v>
      </c>
      <c r="AJ41" s="234" t="s">
        <v>475</v>
      </c>
      <c r="AK41" s="234">
        <v>0.96</v>
      </c>
      <c r="AL41" s="234" t="s">
        <v>551</v>
      </c>
      <c r="AM41" s="234">
        <v>1</v>
      </c>
    </row>
    <row r="42" spans="2:39" x14ac:dyDescent="0.3">
      <c r="F42" s="234" t="s">
        <v>172</v>
      </c>
      <c r="G42" s="234" t="s">
        <v>385</v>
      </c>
      <c r="I42" s="234">
        <v>1.0209999999999999</v>
      </c>
      <c r="N42" s="234">
        <v>5.6619999999999999</v>
      </c>
      <c r="O42" s="234">
        <v>0.32258500000000001</v>
      </c>
      <c r="P42" s="234">
        <v>1.24166666666667</v>
      </c>
      <c r="R42" s="234">
        <v>0.96</v>
      </c>
      <c r="T42" s="234">
        <v>25</v>
      </c>
      <c r="U42" s="234">
        <v>1</v>
      </c>
      <c r="V42" s="234">
        <v>73</v>
      </c>
      <c r="W42" s="234">
        <v>4</v>
      </c>
      <c r="X42" s="234">
        <v>1</v>
      </c>
      <c r="Y42" s="234">
        <v>0.54000000000002002</v>
      </c>
      <c r="Z42" s="234">
        <v>0.3</v>
      </c>
      <c r="AA42" s="234">
        <v>30</v>
      </c>
      <c r="AB42" s="234" t="s">
        <v>478</v>
      </c>
      <c r="AC42" s="234" t="s">
        <v>160</v>
      </c>
      <c r="AD42" s="234" t="s">
        <v>473</v>
      </c>
      <c r="AE42" s="234" t="s">
        <v>479</v>
      </c>
      <c r="AF42" s="234" t="s">
        <v>204</v>
      </c>
      <c r="AG42" s="234" t="s">
        <v>441</v>
      </c>
      <c r="AH42" s="234" t="s">
        <v>474</v>
      </c>
      <c r="AJ42" s="234" t="s">
        <v>475</v>
      </c>
      <c r="AK42" s="234">
        <v>0.96</v>
      </c>
      <c r="AL42" s="234" t="s">
        <v>551</v>
      </c>
      <c r="AM42" s="234">
        <v>1</v>
      </c>
    </row>
    <row r="43" spans="2:39" x14ac:dyDescent="0.3">
      <c r="B43" s="234" t="s">
        <v>561</v>
      </c>
      <c r="C43" s="234" t="s">
        <v>484</v>
      </c>
      <c r="D43" s="234" t="s">
        <v>185</v>
      </c>
      <c r="E43" s="234" t="s">
        <v>28</v>
      </c>
      <c r="F43" s="234" t="s">
        <v>172</v>
      </c>
      <c r="G43" s="234" t="s">
        <v>375</v>
      </c>
      <c r="H43" s="234">
        <v>2020</v>
      </c>
      <c r="I43" s="234">
        <v>0.29399999999999998</v>
      </c>
      <c r="L43" s="234">
        <v>2.1739130434782599</v>
      </c>
      <c r="M43" s="234">
        <v>1</v>
      </c>
      <c r="N43" s="234">
        <v>27.565000000000001</v>
      </c>
      <c r="O43" s="234">
        <v>1.1204799999999999</v>
      </c>
      <c r="P43" s="234">
        <v>3.93194444444444</v>
      </c>
      <c r="Q43" s="234">
        <v>3.1536000000000002E-2</v>
      </c>
      <c r="R43" s="234">
        <v>0.96</v>
      </c>
      <c r="S43" s="234">
        <v>1</v>
      </c>
      <c r="T43" s="234">
        <v>25</v>
      </c>
      <c r="U43" s="234">
        <v>2.5</v>
      </c>
      <c r="V43" s="234">
        <v>87</v>
      </c>
      <c r="X43" s="234">
        <v>1</v>
      </c>
      <c r="Y43" s="234">
        <v>12.15</v>
      </c>
      <c r="Z43" s="234">
        <v>2</v>
      </c>
      <c r="AA43" s="234">
        <v>26</v>
      </c>
      <c r="AB43" s="234" t="s">
        <v>485</v>
      </c>
      <c r="AC43" s="234" t="s">
        <v>64</v>
      </c>
      <c r="AD43" s="234" t="s">
        <v>433</v>
      </c>
      <c r="AE43" s="234" t="s">
        <v>479</v>
      </c>
      <c r="AF43" s="234" t="s">
        <v>204</v>
      </c>
      <c r="AG43" s="234" t="s">
        <v>441</v>
      </c>
      <c r="AH43" s="234" t="s">
        <v>435</v>
      </c>
      <c r="AJ43" s="234" t="s">
        <v>436</v>
      </c>
      <c r="AK43" s="234">
        <v>0.96</v>
      </c>
      <c r="AL43" s="234" t="s">
        <v>551</v>
      </c>
      <c r="AM43" s="234">
        <v>1</v>
      </c>
    </row>
    <row r="44" spans="2:39" x14ac:dyDescent="0.3">
      <c r="E44" s="234" t="s">
        <v>34</v>
      </c>
      <c r="F44" s="234" t="s">
        <v>172</v>
      </c>
      <c r="G44" s="234" t="s">
        <v>383</v>
      </c>
      <c r="I44" s="234">
        <v>0.28999999999999998</v>
      </c>
      <c r="L44" s="234">
        <v>2.2222222222222201</v>
      </c>
      <c r="M44" s="234">
        <v>1</v>
      </c>
      <c r="N44" s="234">
        <v>28.31</v>
      </c>
      <c r="O44" s="234">
        <v>1.1167549999999999</v>
      </c>
      <c r="P44" s="234">
        <v>4.1388888888888902</v>
      </c>
      <c r="R44" s="234">
        <v>0.96</v>
      </c>
      <c r="T44" s="234">
        <v>25</v>
      </c>
      <c r="U44" s="234">
        <v>2.5</v>
      </c>
      <c r="V44" s="234">
        <v>70</v>
      </c>
      <c r="X44" s="234">
        <v>1</v>
      </c>
      <c r="Y44" s="234">
        <v>9.7199999999999704</v>
      </c>
      <c r="Z44" s="234">
        <v>0.3</v>
      </c>
      <c r="AA44" s="234">
        <v>26</v>
      </c>
      <c r="AB44" s="234" t="s">
        <v>485</v>
      </c>
      <c r="AC44" s="234" t="s">
        <v>64</v>
      </c>
      <c r="AD44" s="234" t="s">
        <v>433</v>
      </c>
      <c r="AE44" s="234" t="s">
        <v>479</v>
      </c>
      <c r="AF44" s="234" t="s">
        <v>204</v>
      </c>
      <c r="AG44" s="234" t="s">
        <v>441</v>
      </c>
      <c r="AH44" s="234" t="s">
        <v>435</v>
      </c>
      <c r="AJ44" s="234" t="s">
        <v>436</v>
      </c>
      <c r="AK44" s="234">
        <v>0.96</v>
      </c>
      <c r="AL44" s="234" t="s">
        <v>551</v>
      </c>
      <c r="AM44" s="234">
        <v>1</v>
      </c>
    </row>
    <row r="45" spans="2:39" x14ac:dyDescent="0.3">
      <c r="F45" s="234" t="s">
        <v>172</v>
      </c>
      <c r="G45" s="234" t="s">
        <v>384</v>
      </c>
      <c r="I45" s="234">
        <v>0.29099999999999998</v>
      </c>
      <c r="L45" s="234">
        <v>2.2222222222222201</v>
      </c>
      <c r="M45" s="234">
        <v>1</v>
      </c>
      <c r="N45" s="234">
        <v>26.82</v>
      </c>
      <c r="O45" s="234">
        <v>1.0511950000000001</v>
      </c>
      <c r="P45" s="234">
        <v>4.1388888888888902</v>
      </c>
      <c r="R45" s="234">
        <v>0.96</v>
      </c>
      <c r="T45" s="234">
        <v>25</v>
      </c>
      <c r="U45" s="234">
        <v>2.5</v>
      </c>
      <c r="V45" s="234">
        <v>47</v>
      </c>
      <c r="X45" s="234">
        <v>1</v>
      </c>
      <c r="Y45" s="234">
        <v>2.4300000000000099</v>
      </c>
      <c r="Z45" s="234">
        <v>0.3</v>
      </c>
      <c r="AA45" s="234">
        <v>26</v>
      </c>
      <c r="AB45" s="234" t="s">
        <v>485</v>
      </c>
      <c r="AC45" s="234" t="s">
        <v>64</v>
      </c>
      <c r="AD45" s="234" t="s">
        <v>433</v>
      </c>
      <c r="AE45" s="234" t="s">
        <v>479</v>
      </c>
      <c r="AF45" s="234" t="s">
        <v>204</v>
      </c>
      <c r="AG45" s="234" t="s">
        <v>441</v>
      </c>
      <c r="AH45" s="234" t="s">
        <v>435</v>
      </c>
      <c r="AJ45" s="234" t="s">
        <v>436</v>
      </c>
      <c r="AK45" s="234">
        <v>0.96</v>
      </c>
      <c r="AL45" s="234" t="s">
        <v>551</v>
      </c>
      <c r="AM45" s="234">
        <v>1</v>
      </c>
    </row>
    <row r="46" spans="2:39" x14ac:dyDescent="0.3">
      <c r="F46" s="234" t="s">
        <v>172</v>
      </c>
      <c r="G46" s="234" t="s">
        <v>385</v>
      </c>
      <c r="I46" s="234">
        <v>0.29099999999999998</v>
      </c>
      <c r="L46" s="234">
        <v>2.2222222222222201</v>
      </c>
      <c r="M46" s="234">
        <v>1</v>
      </c>
      <c r="N46" s="234">
        <v>24.585000000000001</v>
      </c>
      <c r="O46" s="234">
        <v>0.94093499999999997</v>
      </c>
      <c r="P46" s="234">
        <v>4.1388888888888902</v>
      </c>
      <c r="R46" s="234">
        <v>0.96</v>
      </c>
      <c r="T46" s="234">
        <v>25</v>
      </c>
      <c r="U46" s="234">
        <v>2.5</v>
      </c>
      <c r="V46" s="234">
        <v>29</v>
      </c>
      <c r="X46" s="234">
        <v>1</v>
      </c>
      <c r="Y46" s="234">
        <v>0.54000000000002002</v>
      </c>
      <c r="Z46" s="234">
        <v>0.3</v>
      </c>
      <c r="AA46" s="234">
        <v>26</v>
      </c>
      <c r="AB46" s="234" t="s">
        <v>485</v>
      </c>
      <c r="AC46" s="234" t="s">
        <v>64</v>
      </c>
      <c r="AD46" s="234" t="s">
        <v>433</v>
      </c>
      <c r="AE46" s="234" t="s">
        <v>479</v>
      </c>
      <c r="AF46" s="234" t="s">
        <v>204</v>
      </c>
      <c r="AG46" s="234" t="s">
        <v>441</v>
      </c>
      <c r="AH46" s="234" t="s">
        <v>435</v>
      </c>
      <c r="AJ46" s="234" t="s">
        <v>436</v>
      </c>
      <c r="AK46" s="234">
        <v>0.96</v>
      </c>
      <c r="AL46" s="234" t="s">
        <v>551</v>
      </c>
      <c r="AM46" s="234">
        <v>1</v>
      </c>
    </row>
    <row r="47" spans="2:39" x14ac:dyDescent="0.3">
      <c r="B47" s="234" t="s">
        <v>562</v>
      </c>
      <c r="C47" s="234" t="s">
        <v>487</v>
      </c>
      <c r="D47" s="234" t="s">
        <v>185</v>
      </c>
      <c r="E47" s="234" t="s">
        <v>28</v>
      </c>
      <c r="F47" s="234" t="s">
        <v>172</v>
      </c>
      <c r="G47" s="234" t="s">
        <v>375</v>
      </c>
      <c r="H47" s="234">
        <v>2020</v>
      </c>
      <c r="I47" s="234">
        <v>0.14199999999999999</v>
      </c>
      <c r="L47" s="234">
        <v>5.5555555555555598</v>
      </c>
      <c r="M47" s="234">
        <v>1</v>
      </c>
      <c r="N47" s="234">
        <v>52.15</v>
      </c>
      <c r="O47" s="234">
        <v>2.4123100000000002</v>
      </c>
      <c r="P47" s="234">
        <v>8.2777777777777803</v>
      </c>
      <c r="Q47" s="234">
        <v>3.1536000000000002E-2</v>
      </c>
      <c r="R47" s="234">
        <v>0.96</v>
      </c>
      <c r="S47" s="234">
        <v>1</v>
      </c>
      <c r="T47" s="234">
        <v>25</v>
      </c>
      <c r="U47" s="234">
        <v>1</v>
      </c>
      <c r="V47" s="234">
        <v>90</v>
      </c>
      <c r="W47" s="234">
        <v>16</v>
      </c>
      <c r="X47" s="234">
        <v>1</v>
      </c>
      <c r="Y47" s="234">
        <v>12.15</v>
      </c>
      <c r="Z47" s="234">
        <v>2</v>
      </c>
      <c r="AA47" s="234">
        <v>27</v>
      </c>
      <c r="AB47" s="234" t="s">
        <v>488</v>
      </c>
      <c r="AC47" s="234" t="s">
        <v>64</v>
      </c>
      <c r="AD47" s="234" t="s">
        <v>433</v>
      </c>
      <c r="AE47" s="234" t="s">
        <v>479</v>
      </c>
      <c r="AF47" s="234" t="s">
        <v>204</v>
      </c>
      <c r="AG47" s="234" t="s">
        <v>441</v>
      </c>
      <c r="AH47" s="234" t="s">
        <v>435</v>
      </c>
      <c r="AJ47" s="234" t="s">
        <v>436</v>
      </c>
      <c r="AK47" s="234">
        <v>0.96</v>
      </c>
      <c r="AL47" s="234" t="s">
        <v>551</v>
      </c>
      <c r="AM47" s="234">
        <v>2</v>
      </c>
    </row>
    <row r="48" spans="2:39" x14ac:dyDescent="0.3">
      <c r="E48" s="234" t="s">
        <v>34</v>
      </c>
      <c r="F48" s="234" t="s">
        <v>172</v>
      </c>
      <c r="G48" s="234" t="s">
        <v>383</v>
      </c>
      <c r="I48" s="234">
        <v>0.14199999999999999</v>
      </c>
      <c r="L48" s="234">
        <v>5.5555555555555598</v>
      </c>
      <c r="M48" s="234">
        <v>1</v>
      </c>
      <c r="N48" s="234">
        <v>50.66</v>
      </c>
      <c r="O48" s="234">
        <v>2.37059</v>
      </c>
      <c r="P48" s="234">
        <v>8.2777777777777803</v>
      </c>
      <c r="R48" s="234">
        <v>0.96</v>
      </c>
      <c r="T48" s="234">
        <v>25</v>
      </c>
      <c r="U48" s="234">
        <v>1</v>
      </c>
      <c r="V48" s="234">
        <v>72</v>
      </c>
      <c r="W48" s="234">
        <v>11</v>
      </c>
      <c r="X48" s="234">
        <v>1</v>
      </c>
      <c r="Y48" s="234">
        <v>9.7199999999999704</v>
      </c>
      <c r="Z48" s="234">
        <v>0.3</v>
      </c>
      <c r="AA48" s="234">
        <v>27</v>
      </c>
      <c r="AB48" s="234" t="s">
        <v>488</v>
      </c>
      <c r="AC48" s="234" t="s">
        <v>64</v>
      </c>
      <c r="AD48" s="234" t="s">
        <v>433</v>
      </c>
      <c r="AE48" s="234" t="s">
        <v>479</v>
      </c>
      <c r="AF48" s="234" t="s">
        <v>204</v>
      </c>
      <c r="AG48" s="234" t="s">
        <v>441</v>
      </c>
      <c r="AH48" s="234" t="s">
        <v>435</v>
      </c>
      <c r="AJ48" s="234" t="s">
        <v>436</v>
      </c>
      <c r="AK48" s="234">
        <v>0.96</v>
      </c>
      <c r="AL48" s="234" t="s">
        <v>551</v>
      </c>
      <c r="AM48" s="234">
        <v>2</v>
      </c>
    </row>
    <row r="49" spans="2:39" x14ac:dyDescent="0.3">
      <c r="F49" s="234" t="s">
        <v>172</v>
      </c>
      <c r="G49" s="234" t="s">
        <v>384</v>
      </c>
      <c r="I49" s="234">
        <v>0.14299999999999999</v>
      </c>
      <c r="L49" s="234">
        <v>5.5555555555555598</v>
      </c>
      <c r="M49" s="234">
        <v>1</v>
      </c>
      <c r="N49" s="234">
        <v>47.68</v>
      </c>
      <c r="O49" s="234">
        <v>2.28566</v>
      </c>
      <c r="P49" s="234">
        <v>8.2777777777777803</v>
      </c>
      <c r="R49" s="234">
        <v>0.96</v>
      </c>
      <c r="T49" s="234">
        <v>25</v>
      </c>
      <c r="U49" s="234">
        <v>1</v>
      </c>
      <c r="V49" s="234">
        <v>55</v>
      </c>
      <c r="W49" s="234">
        <v>8</v>
      </c>
      <c r="X49" s="234">
        <v>1</v>
      </c>
      <c r="Y49" s="234">
        <v>2.4300000000000099</v>
      </c>
      <c r="Z49" s="234">
        <v>0.3</v>
      </c>
      <c r="AA49" s="234">
        <v>27</v>
      </c>
      <c r="AB49" s="234" t="s">
        <v>488</v>
      </c>
      <c r="AC49" s="234" t="s">
        <v>64</v>
      </c>
      <c r="AD49" s="234" t="s">
        <v>433</v>
      </c>
      <c r="AE49" s="234" t="s">
        <v>479</v>
      </c>
      <c r="AF49" s="234" t="s">
        <v>204</v>
      </c>
      <c r="AG49" s="234" t="s">
        <v>441</v>
      </c>
      <c r="AH49" s="234" t="s">
        <v>435</v>
      </c>
      <c r="AJ49" s="234" t="s">
        <v>436</v>
      </c>
      <c r="AK49" s="234">
        <v>0.96</v>
      </c>
      <c r="AL49" s="234" t="s">
        <v>551</v>
      </c>
      <c r="AM49" s="234">
        <v>2</v>
      </c>
    </row>
    <row r="50" spans="2:39" x14ac:dyDescent="0.3">
      <c r="F50" s="234" t="s">
        <v>172</v>
      </c>
      <c r="G50" s="234" t="s">
        <v>385</v>
      </c>
      <c r="I50" s="234">
        <v>0.14099999999999999</v>
      </c>
      <c r="L50" s="234">
        <v>5.5555555555555598</v>
      </c>
      <c r="M50" s="234">
        <v>1</v>
      </c>
      <c r="N50" s="234">
        <v>46.19</v>
      </c>
      <c r="O50" s="234">
        <v>2.2201</v>
      </c>
      <c r="P50" s="234">
        <v>8.2777777777777803</v>
      </c>
      <c r="R50" s="234">
        <v>0.96</v>
      </c>
      <c r="T50" s="234">
        <v>25</v>
      </c>
      <c r="U50" s="234">
        <v>1</v>
      </c>
      <c r="V50" s="234">
        <v>44</v>
      </c>
      <c r="W50" s="234">
        <v>4</v>
      </c>
      <c r="X50" s="234">
        <v>1</v>
      </c>
      <c r="Y50" s="234">
        <v>0.54000000000002002</v>
      </c>
      <c r="Z50" s="234">
        <v>0.3</v>
      </c>
      <c r="AA50" s="234">
        <v>27</v>
      </c>
      <c r="AB50" s="234" t="s">
        <v>488</v>
      </c>
      <c r="AC50" s="234" t="s">
        <v>64</v>
      </c>
      <c r="AD50" s="234" t="s">
        <v>433</v>
      </c>
      <c r="AE50" s="234" t="s">
        <v>479</v>
      </c>
      <c r="AF50" s="234" t="s">
        <v>204</v>
      </c>
      <c r="AG50" s="234" t="s">
        <v>441</v>
      </c>
      <c r="AH50" s="234" t="s">
        <v>435</v>
      </c>
      <c r="AJ50" s="234" t="s">
        <v>436</v>
      </c>
      <c r="AK50" s="234">
        <v>0.96</v>
      </c>
      <c r="AL50" s="234" t="s">
        <v>551</v>
      </c>
      <c r="AM50" s="234">
        <v>2</v>
      </c>
    </row>
    <row r="51" spans="2:39" x14ac:dyDescent="0.3">
      <c r="B51" s="234" t="s">
        <v>563</v>
      </c>
      <c r="C51" s="234" t="s">
        <v>490</v>
      </c>
      <c r="D51" s="234" t="s">
        <v>38</v>
      </c>
      <c r="E51" s="234" t="s">
        <v>34</v>
      </c>
      <c r="F51" s="234" t="s">
        <v>172</v>
      </c>
      <c r="G51" s="234" t="s">
        <v>375</v>
      </c>
      <c r="H51" s="234">
        <v>2020</v>
      </c>
      <c r="I51" s="234">
        <v>1.149</v>
      </c>
      <c r="N51" s="234">
        <v>5.2149999999999999</v>
      </c>
      <c r="O51" s="234">
        <v>0.24435999999999999</v>
      </c>
      <c r="P51" s="234">
        <v>2.0694444444444402</v>
      </c>
      <c r="Q51" s="234">
        <v>3.1536000000000002E-2</v>
      </c>
      <c r="R51" s="234">
        <v>0.97</v>
      </c>
      <c r="S51" s="234">
        <v>1</v>
      </c>
      <c r="T51" s="234">
        <v>25</v>
      </c>
      <c r="U51" s="234">
        <v>1</v>
      </c>
      <c r="V51" s="234">
        <v>90</v>
      </c>
      <c r="W51" s="234">
        <v>16</v>
      </c>
      <c r="X51" s="234">
        <v>4</v>
      </c>
      <c r="Y51" s="234">
        <v>5.3999999999999799</v>
      </c>
      <c r="Z51" s="234">
        <v>2</v>
      </c>
      <c r="AA51" s="234">
        <v>28</v>
      </c>
      <c r="AB51" s="234" t="s">
        <v>491</v>
      </c>
      <c r="AC51" s="234" t="s">
        <v>160</v>
      </c>
      <c r="AD51" s="234" t="s">
        <v>473</v>
      </c>
      <c r="AE51" s="234" t="s">
        <v>157</v>
      </c>
      <c r="AF51" s="234" t="s">
        <v>140</v>
      </c>
      <c r="AG51" s="234" t="s">
        <v>441</v>
      </c>
      <c r="AH51" s="234" t="s">
        <v>474</v>
      </c>
      <c r="AJ51" s="234" t="s">
        <v>475</v>
      </c>
      <c r="AK51" s="234">
        <v>0.97</v>
      </c>
      <c r="AL51" s="234" t="s">
        <v>551</v>
      </c>
      <c r="AM51" s="234">
        <v>1</v>
      </c>
    </row>
    <row r="52" spans="2:39" x14ac:dyDescent="0.3">
      <c r="F52" s="234" t="s">
        <v>172</v>
      </c>
      <c r="G52" s="234" t="s">
        <v>383</v>
      </c>
      <c r="I52" s="234">
        <v>1.149</v>
      </c>
      <c r="N52" s="234">
        <v>5.0659999999999998</v>
      </c>
      <c r="O52" s="234">
        <v>0.23988999999999999</v>
      </c>
      <c r="P52" s="234">
        <v>2.0694444444444402</v>
      </c>
      <c r="R52" s="234">
        <v>0.97</v>
      </c>
      <c r="T52" s="234">
        <v>25</v>
      </c>
      <c r="U52" s="234">
        <v>1</v>
      </c>
      <c r="V52" s="234">
        <v>63</v>
      </c>
      <c r="W52" s="234">
        <v>11</v>
      </c>
      <c r="X52" s="234">
        <v>3</v>
      </c>
      <c r="Y52" s="234">
        <v>5.3999999999999799</v>
      </c>
      <c r="Z52" s="234">
        <v>0.3</v>
      </c>
      <c r="AA52" s="234">
        <v>28</v>
      </c>
      <c r="AB52" s="234" t="s">
        <v>491</v>
      </c>
      <c r="AC52" s="234" t="s">
        <v>160</v>
      </c>
      <c r="AD52" s="234" t="s">
        <v>473</v>
      </c>
      <c r="AE52" s="234" t="s">
        <v>157</v>
      </c>
      <c r="AF52" s="234" t="s">
        <v>140</v>
      </c>
      <c r="AG52" s="234" t="s">
        <v>441</v>
      </c>
      <c r="AH52" s="234" t="s">
        <v>474</v>
      </c>
      <c r="AJ52" s="234" t="s">
        <v>475</v>
      </c>
      <c r="AK52" s="234">
        <v>0.97</v>
      </c>
      <c r="AL52" s="234" t="s">
        <v>551</v>
      </c>
      <c r="AM52" s="234">
        <v>1</v>
      </c>
    </row>
    <row r="53" spans="2:39" x14ac:dyDescent="0.3">
      <c r="F53" s="234" t="s">
        <v>172</v>
      </c>
      <c r="G53" s="234" t="s">
        <v>384</v>
      </c>
      <c r="I53" s="234">
        <v>1.149</v>
      </c>
      <c r="N53" s="234">
        <v>4.8425000000000002</v>
      </c>
      <c r="O53" s="234">
        <v>0.23244000000000001</v>
      </c>
      <c r="P53" s="234">
        <v>2.0694444444444402</v>
      </c>
      <c r="R53" s="234">
        <v>0.97</v>
      </c>
      <c r="T53" s="234">
        <v>25</v>
      </c>
      <c r="U53" s="234">
        <v>1</v>
      </c>
      <c r="V53" s="234">
        <v>49</v>
      </c>
      <c r="W53" s="234">
        <v>8</v>
      </c>
      <c r="X53" s="234">
        <v>3</v>
      </c>
      <c r="Y53" s="234">
        <v>5.3999999999999799</v>
      </c>
      <c r="Z53" s="234">
        <v>0.3</v>
      </c>
      <c r="AA53" s="234">
        <v>28</v>
      </c>
      <c r="AB53" s="234" t="s">
        <v>491</v>
      </c>
      <c r="AC53" s="234" t="s">
        <v>160</v>
      </c>
      <c r="AD53" s="234" t="s">
        <v>473</v>
      </c>
      <c r="AE53" s="234" t="s">
        <v>157</v>
      </c>
      <c r="AF53" s="234" t="s">
        <v>140</v>
      </c>
      <c r="AG53" s="234" t="s">
        <v>441</v>
      </c>
      <c r="AH53" s="234" t="s">
        <v>474</v>
      </c>
      <c r="AJ53" s="234" t="s">
        <v>475</v>
      </c>
      <c r="AK53" s="234">
        <v>0.97</v>
      </c>
      <c r="AL53" s="234" t="s">
        <v>551</v>
      </c>
      <c r="AM53" s="234">
        <v>1</v>
      </c>
    </row>
    <row r="54" spans="2:39" x14ac:dyDescent="0.3">
      <c r="F54" s="234" t="s">
        <v>172</v>
      </c>
      <c r="G54" s="234" t="s">
        <v>385</v>
      </c>
      <c r="I54" s="234">
        <v>1.149</v>
      </c>
      <c r="N54" s="234">
        <v>4.3955000000000002</v>
      </c>
      <c r="O54" s="234">
        <v>0.21828500000000001</v>
      </c>
      <c r="P54" s="234">
        <v>2.0694444444444402</v>
      </c>
      <c r="R54" s="234">
        <v>0.97</v>
      </c>
      <c r="T54" s="234">
        <v>25</v>
      </c>
      <c r="U54" s="234">
        <v>1</v>
      </c>
      <c r="V54" s="234">
        <v>41</v>
      </c>
      <c r="W54" s="234">
        <v>4</v>
      </c>
      <c r="X54" s="234">
        <v>1</v>
      </c>
      <c r="Y54" s="234">
        <v>5.3999999999999799</v>
      </c>
      <c r="Z54" s="234">
        <v>0.3</v>
      </c>
      <c r="AA54" s="234">
        <v>28</v>
      </c>
      <c r="AB54" s="234" t="s">
        <v>491</v>
      </c>
      <c r="AC54" s="234" t="s">
        <v>160</v>
      </c>
      <c r="AD54" s="234" t="s">
        <v>473</v>
      </c>
      <c r="AE54" s="234" t="s">
        <v>157</v>
      </c>
      <c r="AF54" s="234" t="s">
        <v>140</v>
      </c>
      <c r="AG54" s="234" t="s">
        <v>441</v>
      </c>
      <c r="AH54" s="234" t="s">
        <v>474</v>
      </c>
      <c r="AJ54" s="234" t="s">
        <v>475</v>
      </c>
      <c r="AK54" s="234">
        <v>0.97</v>
      </c>
      <c r="AL54" s="234" t="s">
        <v>551</v>
      </c>
      <c r="AM54" s="234">
        <v>1</v>
      </c>
    </row>
    <row r="55" spans="2:39" x14ac:dyDescent="0.3">
      <c r="B55" s="234" t="s">
        <v>564</v>
      </c>
      <c r="C55" s="234" t="s">
        <v>496</v>
      </c>
      <c r="D55" s="234" t="s">
        <v>38</v>
      </c>
      <c r="E55" s="234" t="s">
        <v>28</v>
      </c>
      <c r="F55" s="234" t="s">
        <v>172</v>
      </c>
      <c r="G55" s="234" t="s">
        <v>375</v>
      </c>
      <c r="H55" s="234">
        <v>2020</v>
      </c>
      <c r="I55" s="234">
        <v>0.27400000000000002</v>
      </c>
      <c r="L55" s="234">
        <v>2.8571428571428599</v>
      </c>
      <c r="M55" s="234">
        <v>1</v>
      </c>
      <c r="N55" s="234">
        <v>27.565000000000001</v>
      </c>
      <c r="O55" s="234">
        <v>1.18008</v>
      </c>
      <c r="P55" s="234">
        <v>7.8638888888888898</v>
      </c>
      <c r="Q55" s="234">
        <v>3.1536000000000002E-2</v>
      </c>
      <c r="R55" s="234">
        <v>0.97</v>
      </c>
      <c r="S55" s="234">
        <v>1</v>
      </c>
      <c r="T55" s="234">
        <v>25</v>
      </c>
      <c r="U55" s="234">
        <v>2.5</v>
      </c>
      <c r="V55" s="234">
        <v>90</v>
      </c>
      <c r="W55" s="234">
        <v>3</v>
      </c>
      <c r="X55" s="234">
        <v>1</v>
      </c>
      <c r="Y55" s="234">
        <v>5.3999999999999799</v>
      </c>
      <c r="Z55" s="234">
        <v>2</v>
      </c>
      <c r="AA55" s="234">
        <v>20</v>
      </c>
      <c r="AB55" s="234" t="s">
        <v>497</v>
      </c>
      <c r="AC55" s="234" t="s">
        <v>64</v>
      </c>
      <c r="AD55" s="234" t="s">
        <v>433</v>
      </c>
      <c r="AE55" s="234" t="s">
        <v>157</v>
      </c>
      <c r="AF55" s="234" t="s">
        <v>140</v>
      </c>
      <c r="AG55" s="234" t="s">
        <v>441</v>
      </c>
      <c r="AH55" s="234" t="s">
        <v>435</v>
      </c>
      <c r="AJ55" s="234" t="s">
        <v>436</v>
      </c>
      <c r="AK55" s="234">
        <v>0.97</v>
      </c>
      <c r="AL55" s="234" t="s">
        <v>551</v>
      </c>
      <c r="AM55" s="234">
        <v>1</v>
      </c>
    </row>
    <row r="56" spans="2:39" x14ac:dyDescent="0.3">
      <c r="E56" s="234" t="s">
        <v>34</v>
      </c>
      <c r="F56" s="234" t="s">
        <v>172</v>
      </c>
      <c r="G56" s="234" t="s">
        <v>383</v>
      </c>
      <c r="I56" s="234">
        <v>0.27400000000000002</v>
      </c>
      <c r="L56" s="234">
        <v>2.8571428571428599</v>
      </c>
      <c r="M56" s="234">
        <v>1</v>
      </c>
      <c r="N56" s="234">
        <v>26.82</v>
      </c>
      <c r="O56" s="234">
        <v>1.14432</v>
      </c>
      <c r="P56" s="234">
        <v>7.8638888888888898</v>
      </c>
      <c r="R56" s="234">
        <v>0.97</v>
      </c>
      <c r="T56" s="234">
        <v>25</v>
      </c>
      <c r="U56" s="234">
        <v>2.5</v>
      </c>
      <c r="V56" s="234">
        <v>72</v>
      </c>
      <c r="W56" s="234">
        <v>2</v>
      </c>
      <c r="X56" s="234">
        <v>1</v>
      </c>
      <c r="Y56" s="234">
        <v>5.3999999999999799</v>
      </c>
      <c r="Z56" s="234">
        <v>0.3</v>
      </c>
      <c r="AA56" s="234">
        <v>20</v>
      </c>
      <c r="AB56" s="234" t="s">
        <v>497</v>
      </c>
      <c r="AC56" s="234" t="s">
        <v>64</v>
      </c>
      <c r="AD56" s="234" t="s">
        <v>433</v>
      </c>
      <c r="AE56" s="234" t="s">
        <v>157</v>
      </c>
      <c r="AF56" s="234" t="s">
        <v>140</v>
      </c>
      <c r="AG56" s="234" t="s">
        <v>441</v>
      </c>
      <c r="AH56" s="234" t="s">
        <v>435</v>
      </c>
      <c r="AJ56" s="234" t="s">
        <v>436</v>
      </c>
      <c r="AK56" s="234">
        <v>0.97</v>
      </c>
      <c r="AL56" s="234" t="s">
        <v>551</v>
      </c>
      <c r="AM56" s="234">
        <v>1</v>
      </c>
    </row>
    <row r="57" spans="2:39" x14ac:dyDescent="0.3">
      <c r="F57" s="234" t="s">
        <v>172</v>
      </c>
      <c r="G57" s="234" t="s">
        <v>384</v>
      </c>
      <c r="I57" s="234">
        <v>0.27500000000000002</v>
      </c>
      <c r="L57" s="234">
        <v>2.8571428571428599</v>
      </c>
      <c r="M57" s="234">
        <v>1</v>
      </c>
      <c r="N57" s="234">
        <v>26.074999999999999</v>
      </c>
      <c r="O57" s="234">
        <v>1.0728</v>
      </c>
      <c r="P57" s="234">
        <v>7.8638888888888898</v>
      </c>
      <c r="R57" s="234">
        <v>0.97</v>
      </c>
      <c r="T57" s="234">
        <v>25</v>
      </c>
      <c r="U57" s="234">
        <v>2.5</v>
      </c>
      <c r="V57" s="234">
        <v>41</v>
      </c>
      <c r="W57" s="234">
        <v>2</v>
      </c>
      <c r="X57" s="234">
        <v>1</v>
      </c>
      <c r="Y57" s="234">
        <v>5.3999999999999799</v>
      </c>
      <c r="Z57" s="234">
        <v>0.3</v>
      </c>
      <c r="AA57" s="234">
        <v>20</v>
      </c>
      <c r="AB57" s="234" t="s">
        <v>497</v>
      </c>
      <c r="AC57" s="234" t="s">
        <v>64</v>
      </c>
      <c r="AD57" s="234" t="s">
        <v>433</v>
      </c>
      <c r="AE57" s="234" t="s">
        <v>157</v>
      </c>
      <c r="AF57" s="234" t="s">
        <v>140</v>
      </c>
      <c r="AG57" s="234" t="s">
        <v>441</v>
      </c>
      <c r="AH57" s="234" t="s">
        <v>435</v>
      </c>
      <c r="AJ57" s="234" t="s">
        <v>436</v>
      </c>
      <c r="AK57" s="234">
        <v>0.97</v>
      </c>
      <c r="AL57" s="234" t="s">
        <v>551</v>
      </c>
      <c r="AM57" s="234">
        <v>1</v>
      </c>
    </row>
    <row r="58" spans="2:39" x14ac:dyDescent="0.3">
      <c r="F58" s="234" t="s">
        <v>172</v>
      </c>
      <c r="G58" s="234" t="s">
        <v>385</v>
      </c>
      <c r="I58" s="234">
        <v>0.27</v>
      </c>
      <c r="L58" s="234">
        <v>2.8571428571428599</v>
      </c>
      <c r="M58" s="234">
        <v>1</v>
      </c>
      <c r="N58" s="234">
        <v>24.585000000000001</v>
      </c>
      <c r="O58" s="234">
        <v>0.98936000000000002</v>
      </c>
      <c r="P58" s="234">
        <v>8.0708333333333293</v>
      </c>
      <c r="R58" s="234">
        <v>0.97</v>
      </c>
      <c r="T58" s="234">
        <v>25</v>
      </c>
      <c r="U58" s="234">
        <v>2.5</v>
      </c>
      <c r="V58" s="234">
        <v>24</v>
      </c>
      <c r="W58" s="234">
        <v>1</v>
      </c>
      <c r="X58" s="234">
        <v>1</v>
      </c>
      <c r="Y58" s="234">
        <v>5.3999999999999799</v>
      </c>
      <c r="Z58" s="234">
        <v>0.3</v>
      </c>
      <c r="AA58" s="234">
        <v>20</v>
      </c>
      <c r="AB58" s="234" t="s">
        <v>497</v>
      </c>
      <c r="AC58" s="234" t="s">
        <v>64</v>
      </c>
      <c r="AD58" s="234" t="s">
        <v>433</v>
      </c>
      <c r="AE58" s="234" t="s">
        <v>157</v>
      </c>
      <c r="AF58" s="234" t="s">
        <v>140</v>
      </c>
      <c r="AG58" s="234" t="s">
        <v>441</v>
      </c>
      <c r="AH58" s="234" t="s">
        <v>435</v>
      </c>
      <c r="AJ58" s="234" t="s">
        <v>436</v>
      </c>
      <c r="AK58" s="234">
        <v>0.97</v>
      </c>
      <c r="AL58" s="234" t="s">
        <v>551</v>
      </c>
      <c r="AM58" s="234">
        <v>1</v>
      </c>
    </row>
    <row r="59" spans="2:39" x14ac:dyDescent="0.3">
      <c r="B59" s="234" t="s">
        <v>565</v>
      </c>
      <c r="C59" s="234" t="s">
        <v>499</v>
      </c>
      <c r="D59" s="234" t="s">
        <v>38</v>
      </c>
      <c r="E59" s="234" t="s">
        <v>28</v>
      </c>
      <c r="F59" s="234" t="s">
        <v>172</v>
      </c>
      <c r="G59" s="234" t="s">
        <v>375</v>
      </c>
      <c r="H59" s="234">
        <v>2020</v>
      </c>
      <c r="I59" s="234">
        <v>0.13500000000000001</v>
      </c>
      <c r="L59" s="234">
        <v>6.6666666666666696</v>
      </c>
      <c r="M59" s="234">
        <v>1</v>
      </c>
      <c r="N59" s="234">
        <v>49.914999999999999</v>
      </c>
      <c r="O59" s="234">
        <v>2.180615</v>
      </c>
      <c r="P59" s="234">
        <v>16.141666666666701</v>
      </c>
      <c r="Q59" s="234">
        <v>3.1536000000000002E-2</v>
      </c>
      <c r="R59" s="234">
        <v>0.97</v>
      </c>
      <c r="S59" s="234">
        <v>1</v>
      </c>
      <c r="T59" s="234">
        <v>25</v>
      </c>
      <c r="U59" s="234">
        <v>1</v>
      </c>
      <c r="V59" s="234">
        <v>90</v>
      </c>
      <c r="W59" s="234">
        <v>16</v>
      </c>
      <c r="X59" s="234">
        <v>1</v>
      </c>
      <c r="Y59" s="234">
        <v>5.3999999999999799</v>
      </c>
      <c r="Z59" s="234">
        <v>2</v>
      </c>
      <c r="AA59" s="234">
        <v>21</v>
      </c>
      <c r="AB59" s="234" t="s">
        <v>500</v>
      </c>
      <c r="AC59" s="234" t="s">
        <v>64</v>
      </c>
      <c r="AD59" s="234" t="s">
        <v>433</v>
      </c>
      <c r="AE59" s="234" t="s">
        <v>157</v>
      </c>
      <c r="AF59" s="234" t="s">
        <v>140</v>
      </c>
      <c r="AG59" s="234" t="s">
        <v>441</v>
      </c>
      <c r="AH59" s="234" t="s">
        <v>435</v>
      </c>
      <c r="AJ59" s="234" t="s">
        <v>436</v>
      </c>
      <c r="AK59" s="234">
        <v>0.97</v>
      </c>
      <c r="AL59" s="234" t="s">
        <v>551</v>
      </c>
      <c r="AM59" s="234">
        <v>2</v>
      </c>
    </row>
    <row r="60" spans="2:39" x14ac:dyDescent="0.3">
      <c r="E60" s="234" t="s">
        <v>34</v>
      </c>
      <c r="F60" s="234" t="s">
        <v>172</v>
      </c>
      <c r="G60" s="234" t="s">
        <v>383</v>
      </c>
      <c r="I60" s="234">
        <v>0.13500000000000001</v>
      </c>
      <c r="L60" s="234">
        <v>6.6666666666666696</v>
      </c>
      <c r="M60" s="234">
        <v>1</v>
      </c>
      <c r="N60" s="234">
        <v>48.424999999999997</v>
      </c>
      <c r="O60" s="234">
        <v>2.1523050000000001</v>
      </c>
      <c r="P60" s="234">
        <v>16.141666666666701</v>
      </c>
      <c r="R60" s="234">
        <v>0.97</v>
      </c>
      <c r="T60" s="234">
        <v>25</v>
      </c>
      <c r="U60" s="234">
        <v>1</v>
      </c>
      <c r="V60" s="234">
        <v>63</v>
      </c>
      <c r="W60" s="234">
        <v>11</v>
      </c>
      <c r="X60" s="234">
        <v>1</v>
      </c>
      <c r="Y60" s="234">
        <v>5.3999999999999799</v>
      </c>
      <c r="Z60" s="234">
        <v>0.3</v>
      </c>
      <c r="AA60" s="234">
        <v>21</v>
      </c>
      <c r="AB60" s="234" t="s">
        <v>500</v>
      </c>
      <c r="AC60" s="234" t="s">
        <v>64</v>
      </c>
      <c r="AD60" s="234" t="s">
        <v>433</v>
      </c>
      <c r="AE60" s="234" t="s">
        <v>157</v>
      </c>
      <c r="AF60" s="234" t="s">
        <v>140</v>
      </c>
      <c r="AG60" s="234" t="s">
        <v>441</v>
      </c>
      <c r="AH60" s="234" t="s">
        <v>435</v>
      </c>
      <c r="AJ60" s="234" t="s">
        <v>436</v>
      </c>
      <c r="AK60" s="234">
        <v>0.97</v>
      </c>
      <c r="AL60" s="234" t="s">
        <v>551</v>
      </c>
      <c r="AM60" s="234">
        <v>2</v>
      </c>
    </row>
    <row r="61" spans="2:39" x14ac:dyDescent="0.3">
      <c r="F61" s="234" t="s">
        <v>172</v>
      </c>
      <c r="G61" s="234" t="s">
        <v>384</v>
      </c>
      <c r="I61" s="234">
        <v>0.13600000000000001</v>
      </c>
      <c r="L61" s="234">
        <v>6.6666666666666696</v>
      </c>
      <c r="M61" s="234">
        <v>1</v>
      </c>
      <c r="N61" s="234">
        <v>46.19</v>
      </c>
      <c r="O61" s="234">
        <v>2.0897250000000001</v>
      </c>
      <c r="P61" s="234">
        <v>15.9347222222222</v>
      </c>
      <c r="R61" s="234">
        <v>0.97</v>
      </c>
      <c r="T61" s="234">
        <v>25</v>
      </c>
      <c r="U61" s="234">
        <v>1</v>
      </c>
      <c r="V61" s="234">
        <v>41</v>
      </c>
      <c r="W61" s="234">
        <v>8</v>
      </c>
      <c r="X61" s="234">
        <v>1</v>
      </c>
      <c r="Y61" s="234">
        <v>5.3999999999999799</v>
      </c>
      <c r="Z61" s="234">
        <v>0.3</v>
      </c>
      <c r="AA61" s="234">
        <v>21</v>
      </c>
      <c r="AB61" s="234" t="s">
        <v>500</v>
      </c>
      <c r="AC61" s="234" t="s">
        <v>64</v>
      </c>
      <c r="AD61" s="234" t="s">
        <v>433</v>
      </c>
      <c r="AE61" s="234" t="s">
        <v>157</v>
      </c>
      <c r="AF61" s="234" t="s">
        <v>140</v>
      </c>
      <c r="AG61" s="234" t="s">
        <v>441</v>
      </c>
      <c r="AH61" s="234" t="s">
        <v>435</v>
      </c>
      <c r="AJ61" s="234" t="s">
        <v>436</v>
      </c>
      <c r="AK61" s="234">
        <v>0.97</v>
      </c>
      <c r="AL61" s="234" t="s">
        <v>551</v>
      </c>
      <c r="AM61" s="234">
        <v>2</v>
      </c>
    </row>
    <row r="62" spans="2:39" x14ac:dyDescent="0.3">
      <c r="F62" s="234" t="s">
        <v>172</v>
      </c>
      <c r="G62" s="234" t="s">
        <v>385</v>
      </c>
      <c r="I62" s="234">
        <v>0.13300000000000001</v>
      </c>
      <c r="L62" s="234">
        <v>7.1428571428571397</v>
      </c>
      <c r="M62" s="234">
        <v>1</v>
      </c>
      <c r="N62" s="234">
        <v>44.7</v>
      </c>
      <c r="O62" s="234">
        <v>2.0703550000000002</v>
      </c>
      <c r="P62" s="234">
        <v>16.348611111111101</v>
      </c>
      <c r="R62" s="234">
        <v>0.97</v>
      </c>
      <c r="T62" s="234">
        <v>25</v>
      </c>
      <c r="U62" s="234">
        <v>1</v>
      </c>
      <c r="V62" s="234">
        <v>32</v>
      </c>
      <c r="W62" s="234">
        <v>4</v>
      </c>
      <c r="X62" s="234">
        <v>1</v>
      </c>
      <c r="Y62" s="234">
        <v>5.3999999999999799</v>
      </c>
      <c r="Z62" s="234">
        <v>0.3</v>
      </c>
      <c r="AA62" s="234">
        <v>21</v>
      </c>
      <c r="AB62" s="234" t="s">
        <v>500</v>
      </c>
      <c r="AC62" s="234" t="s">
        <v>64</v>
      </c>
      <c r="AD62" s="234" t="s">
        <v>433</v>
      </c>
      <c r="AE62" s="234" t="s">
        <v>157</v>
      </c>
      <c r="AF62" s="234" t="s">
        <v>140</v>
      </c>
      <c r="AG62" s="234" t="s">
        <v>441</v>
      </c>
      <c r="AH62" s="234" t="s">
        <v>435</v>
      </c>
      <c r="AJ62" s="234" t="s">
        <v>436</v>
      </c>
      <c r="AK62" s="234">
        <v>0.97</v>
      </c>
      <c r="AL62" s="234" t="s">
        <v>551</v>
      </c>
      <c r="AM62" s="234">
        <v>2</v>
      </c>
    </row>
    <row r="63" spans="2:39" x14ac:dyDescent="0.3">
      <c r="B63" s="234" t="s">
        <v>566</v>
      </c>
      <c r="C63" s="234" t="s">
        <v>502</v>
      </c>
      <c r="D63" s="234" t="s">
        <v>33</v>
      </c>
      <c r="E63" s="234" t="s">
        <v>34</v>
      </c>
      <c r="F63" s="234" t="s">
        <v>172</v>
      </c>
      <c r="G63" s="234" t="s">
        <v>375</v>
      </c>
      <c r="H63" s="234">
        <v>2020</v>
      </c>
      <c r="I63" s="234">
        <v>1.0009999999999999</v>
      </c>
      <c r="N63" s="234">
        <v>5.5129999999999999</v>
      </c>
      <c r="O63" s="234">
        <v>0.25330000000000003</v>
      </c>
      <c r="P63" s="234">
        <v>1.0347222222222201</v>
      </c>
      <c r="Q63" s="234">
        <v>3.1536000000000002E-2</v>
      </c>
      <c r="R63" s="234">
        <v>0.97</v>
      </c>
      <c r="S63" s="234">
        <v>1</v>
      </c>
      <c r="T63" s="234">
        <v>25</v>
      </c>
      <c r="U63" s="234">
        <v>1</v>
      </c>
      <c r="V63" s="234">
        <v>90</v>
      </c>
      <c r="X63" s="234">
        <v>1</v>
      </c>
      <c r="Y63" s="234">
        <v>4.5900000000000301</v>
      </c>
      <c r="Z63" s="234">
        <v>2</v>
      </c>
      <c r="AA63" s="234">
        <v>29</v>
      </c>
      <c r="AB63" s="234" t="s">
        <v>503</v>
      </c>
      <c r="AC63" s="234" t="s">
        <v>160</v>
      </c>
      <c r="AD63" s="234" t="s">
        <v>473</v>
      </c>
      <c r="AE63" s="234" t="s">
        <v>153</v>
      </c>
      <c r="AF63" s="234" t="s">
        <v>139</v>
      </c>
      <c r="AG63" s="234" t="s">
        <v>441</v>
      </c>
      <c r="AH63" s="234" t="s">
        <v>474</v>
      </c>
      <c r="AJ63" s="234" t="s">
        <v>475</v>
      </c>
      <c r="AK63" s="234">
        <v>0.97</v>
      </c>
      <c r="AL63" s="234" t="s">
        <v>551</v>
      </c>
      <c r="AM63" s="234">
        <v>1</v>
      </c>
    </row>
    <row r="64" spans="2:39" x14ac:dyDescent="0.3">
      <c r="F64" s="234" t="s">
        <v>172</v>
      </c>
      <c r="G64" s="234" t="s">
        <v>383</v>
      </c>
      <c r="I64" s="234">
        <v>1.0009999999999999</v>
      </c>
      <c r="N64" s="234">
        <v>5.3639999999999999</v>
      </c>
      <c r="O64" s="234">
        <v>0.24585000000000001</v>
      </c>
      <c r="P64" s="234">
        <v>1.0347222222222201</v>
      </c>
      <c r="R64" s="234">
        <v>0.97</v>
      </c>
      <c r="T64" s="234">
        <v>25</v>
      </c>
      <c r="U64" s="234">
        <v>1</v>
      </c>
      <c r="V64" s="234">
        <v>54</v>
      </c>
      <c r="X64" s="234">
        <v>1</v>
      </c>
      <c r="Y64" s="234">
        <v>4.5900000000000301</v>
      </c>
      <c r="Z64" s="234">
        <v>0.3</v>
      </c>
      <c r="AA64" s="234">
        <v>29</v>
      </c>
      <c r="AB64" s="234" t="s">
        <v>503</v>
      </c>
      <c r="AC64" s="234" t="s">
        <v>160</v>
      </c>
      <c r="AD64" s="234" t="s">
        <v>473</v>
      </c>
      <c r="AE64" s="234" t="s">
        <v>153</v>
      </c>
      <c r="AF64" s="234" t="s">
        <v>139</v>
      </c>
      <c r="AG64" s="234" t="s">
        <v>441</v>
      </c>
      <c r="AH64" s="234" t="s">
        <v>474</v>
      </c>
      <c r="AJ64" s="234" t="s">
        <v>475</v>
      </c>
      <c r="AK64" s="234">
        <v>0.97</v>
      </c>
      <c r="AL64" s="234" t="s">
        <v>551</v>
      </c>
      <c r="AM64" s="234">
        <v>1</v>
      </c>
    </row>
    <row r="65" spans="2:39" x14ac:dyDescent="0.3">
      <c r="F65" s="234" t="s">
        <v>172</v>
      </c>
      <c r="G65" s="234" t="s">
        <v>384</v>
      </c>
      <c r="I65" s="234">
        <v>1.0009999999999999</v>
      </c>
      <c r="N65" s="234">
        <v>5.1405000000000003</v>
      </c>
      <c r="O65" s="234">
        <v>0.233185</v>
      </c>
      <c r="P65" s="234">
        <v>1.0347222222222201</v>
      </c>
      <c r="R65" s="234">
        <v>0.97</v>
      </c>
      <c r="T65" s="234">
        <v>25</v>
      </c>
      <c r="U65" s="234">
        <v>1</v>
      </c>
      <c r="V65" s="234">
        <v>42</v>
      </c>
      <c r="X65" s="234">
        <v>1</v>
      </c>
      <c r="Y65" s="234">
        <v>4.5900000000000301</v>
      </c>
      <c r="Z65" s="234">
        <v>0.3</v>
      </c>
      <c r="AA65" s="234">
        <v>29</v>
      </c>
      <c r="AB65" s="234" t="s">
        <v>503</v>
      </c>
      <c r="AC65" s="234" t="s">
        <v>160</v>
      </c>
      <c r="AD65" s="234" t="s">
        <v>473</v>
      </c>
      <c r="AE65" s="234" t="s">
        <v>153</v>
      </c>
      <c r="AF65" s="234" t="s">
        <v>139</v>
      </c>
      <c r="AG65" s="234" t="s">
        <v>441</v>
      </c>
      <c r="AH65" s="234" t="s">
        <v>474</v>
      </c>
      <c r="AJ65" s="234" t="s">
        <v>475</v>
      </c>
      <c r="AK65" s="234">
        <v>0.97</v>
      </c>
      <c r="AL65" s="234" t="s">
        <v>551</v>
      </c>
      <c r="AM65" s="234">
        <v>1</v>
      </c>
    </row>
    <row r="66" spans="2:39" x14ac:dyDescent="0.3">
      <c r="F66" s="234" t="s">
        <v>172</v>
      </c>
      <c r="G66" s="234" t="s">
        <v>385</v>
      </c>
      <c r="I66" s="234">
        <v>1.0009999999999999</v>
      </c>
      <c r="N66" s="234">
        <v>4.9915000000000003</v>
      </c>
      <c r="O66" s="234">
        <v>0.21754000000000001</v>
      </c>
      <c r="P66" s="234">
        <v>1.0347222222222201</v>
      </c>
      <c r="R66" s="234">
        <v>0.97</v>
      </c>
      <c r="T66" s="234">
        <v>25</v>
      </c>
      <c r="U66" s="234">
        <v>1</v>
      </c>
      <c r="V66" s="234">
        <v>35</v>
      </c>
      <c r="X66" s="234">
        <v>1</v>
      </c>
      <c r="Y66" s="234">
        <v>4.5900000000000301</v>
      </c>
      <c r="Z66" s="234">
        <v>0.3</v>
      </c>
      <c r="AA66" s="234">
        <v>29</v>
      </c>
      <c r="AB66" s="234" t="s">
        <v>503</v>
      </c>
      <c r="AC66" s="234" t="s">
        <v>160</v>
      </c>
      <c r="AD66" s="234" t="s">
        <v>473</v>
      </c>
      <c r="AE66" s="234" t="s">
        <v>153</v>
      </c>
      <c r="AF66" s="234" t="s">
        <v>139</v>
      </c>
      <c r="AG66" s="234" t="s">
        <v>441</v>
      </c>
      <c r="AH66" s="234" t="s">
        <v>474</v>
      </c>
      <c r="AJ66" s="234" t="s">
        <v>475</v>
      </c>
      <c r="AK66" s="234">
        <v>0.97</v>
      </c>
      <c r="AL66" s="234" t="s">
        <v>551</v>
      </c>
      <c r="AM66" s="234">
        <v>1</v>
      </c>
    </row>
    <row r="67" spans="2:39" x14ac:dyDescent="0.3">
      <c r="B67" s="234" t="s">
        <v>567</v>
      </c>
      <c r="C67" s="234" t="s">
        <v>508</v>
      </c>
      <c r="D67" s="234" t="s">
        <v>33</v>
      </c>
      <c r="E67" s="234" t="s">
        <v>28</v>
      </c>
      <c r="F67" s="234" t="s">
        <v>172</v>
      </c>
      <c r="G67" s="234" t="s">
        <v>375</v>
      </c>
      <c r="H67" s="234">
        <v>2020</v>
      </c>
      <c r="I67" s="234">
        <v>0.28599999999999998</v>
      </c>
      <c r="L67" s="234">
        <v>2.2222222222222201</v>
      </c>
      <c r="M67" s="234">
        <v>1</v>
      </c>
      <c r="N67" s="234">
        <v>23.84</v>
      </c>
      <c r="O67" s="234">
        <v>0.97445999999999999</v>
      </c>
      <c r="P67" s="234">
        <v>3.5180555555555602</v>
      </c>
      <c r="Q67" s="234">
        <v>3.1536000000000002E-2</v>
      </c>
      <c r="R67" s="234">
        <v>0.97</v>
      </c>
      <c r="S67" s="234">
        <v>1</v>
      </c>
      <c r="T67" s="234">
        <v>25</v>
      </c>
      <c r="U67" s="234">
        <v>1</v>
      </c>
      <c r="V67" s="234">
        <v>78</v>
      </c>
      <c r="X67" s="234">
        <v>1</v>
      </c>
      <c r="Y67" s="234">
        <v>4.5900000000000301</v>
      </c>
      <c r="Z67" s="234">
        <v>2</v>
      </c>
      <c r="AA67" s="234">
        <v>23</v>
      </c>
      <c r="AB67" s="234" t="s">
        <v>509</v>
      </c>
      <c r="AC67" s="234" t="s">
        <v>64</v>
      </c>
      <c r="AD67" s="234" t="s">
        <v>433</v>
      </c>
      <c r="AE67" s="234" t="s">
        <v>153</v>
      </c>
      <c r="AF67" s="234" t="s">
        <v>139</v>
      </c>
      <c r="AG67" s="234" t="s">
        <v>441</v>
      </c>
      <c r="AH67" s="234" t="s">
        <v>435</v>
      </c>
      <c r="AJ67" s="234" t="s">
        <v>436</v>
      </c>
      <c r="AK67" s="234">
        <v>0.97</v>
      </c>
      <c r="AL67" s="234" t="s">
        <v>551</v>
      </c>
      <c r="AM67" s="234">
        <v>1</v>
      </c>
    </row>
    <row r="68" spans="2:39" x14ac:dyDescent="0.3">
      <c r="E68" s="234" t="s">
        <v>34</v>
      </c>
      <c r="F68" s="234" t="s">
        <v>172</v>
      </c>
      <c r="G68" s="234" t="s">
        <v>383</v>
      </c>
      <c r="I68" s="234">
        <v>0.28599999999999998</v>
      </c>
      <c r="L68" s="234">
        <v>2.2222222222222201</v>
      </c>
      <c r="M68" s="234">
        <v>1</v>
      </c>
      <c r="N68" s="234">
        <v>23.094999999999999</v>
      </c>
      <c r="O68" s="234">
        <v>0.94689500000000004</v>
      </c>
      <c r="P68" s="234">
        <v>3.5180555555555602</v>
      </c>
      <c r="R68" s="234">
        <v>0.97</v>
      </c>
      <c r="T68" s="234">
        <v>25</v>
      </c>
      <c r="U68" s="234">
        <v>1</v>
      </c>
      <c r="V68" s="234">
        <v>62</v>
      </c>
      <c r="X68" s="234">
        <v>1</v>
      </c>
      <c r="Y68" s="234">
        <v>4.5900000000000301</v>
      </c>
      <c r="Z68" s="234">
        <v>0.3</v>
      </c>
      <c r="AA68" s="234">
        <v>23</v>
      </c>
      <c r="AB68" s="234" t="s">
        <v>509</v>
      </c>
      <c r="AC68" s="234" t="s">
        <v>64</v>
      </c>
      <c r="AD68" s="234" t="s">
        <v>433</v>
      </c>
      <c r="AE68" s="234" t="s">
        <v>153</v>
      </c>
      <c r="AF68" s="234" t="s">
        <v>139</v>
      </c>
      <c r="AG68" s="234" t="s">
        <v>441</v>
      </c>
      <c r="AH68" s="234" t="s">
        <v>435</v>
      </c>
      <c r="AJ68" s="234" t="s">
        <v>436</v>
      </c>
      <c r="AK68" s="234">
        <v>0.97</v>
      </c>
      <c r="AL68" s="234" t="s">
        <v>551</v>
      </c>
      <c r="AM68" s="234">
        <v>1</v>
      </c>
    </row>
    <row r="69" spans="2:39" x14ac:dyDescent="0.3">
      <c r="F69" s="234" t="s">
        <v>172</v>
      </c>
      <c r="G69" s="234" t="s">
        <v>384</v>
      </c>
      <c r="I69" s="234">
        <v>0.28299999999999997</v>
      </c>
      <c r="L69" s="234">
        <v>2.2222222222222201</v>
      </c>
      <c r="M69" s="234">
        <v>1</v>
      </c>
      <c r="N69" s="234">
        <v>23.094999999999999</v>
      </c>
      <c r="O69" s="234">
        <v>0.91858499999999998</v>
      </c>
      <c r="P69" s="234">
        <v>3.5180555555555602</v>
      </c>
      <c r="R69" s="234">
        <v>0.97</v>
      </c>
      <c r="T69" s="234">
        <v>25</v>
      </c>
      <c r="U69" s="234">
        <v>1</v>
      </c>
      <c r="V69" s="234">
        <v>35</v>
      </c>
      <c r="X69" s="234">
        <v>1</v>
      </c>
      <c r="Y69" s="234">
        <v>4.5900000000000301</v>
      </c>
      <c r="Z69" s="234">
        <v>0.3</v>
      </c>
      <c r="AA69" s="234">
        <v>23</v>
      </c>
      <c r="AB69" s="234" t="s">
        <v>509</v>
      </c>
      <c r="AC69" s="234" t="s">
        <v>64</v>
      </c>
      <c r="AD69" s="234" t="s">
        <v>433</v>
      </c>
      <c r="AE69" s="234" t="s">
        <v>153</v>
      </c>
      <c r="AF69" s="234" t="s">
        <v>139</v>
      </c>
      <c r="AG69" s="234" t="s">
        <v>441</v>
      </c>
      <c r="AH69" s="234" t="s">
        <v>435</v>
      </c>
      <c r="AJ69" s="234" t="s">
        <v>436</v>
      </c>
      <c r="AK69" s="234">
        <v>0.97</v>
      </c>
      <c r="AL69" s="234" t="s">
        <v>551</v>
      </c>
      <c r="AM69" s="234">
        <v>1</v>
      </c>
    </row>
    <row r="70" spans="2:39" x14ac:dyDescent="0.3">
      <c r="F70" s="234" t="s">
        <v>172</v>
      </c>
      <c r="G70" s="234" t="s">
        <v>385</v>
      </c>
      <c r="I70" s="234">
        <v>0.28299999999999997</v>
      </c>
      <c r="L70" s="234">
        <v>2.2222222222222201</v>
      </c>
      <c r="M70" s="234">
        <v>1</v>
      </c>
      <c r="N70" s="234">
        <v>20.86</v>
      </c>
      <c r="O70" s="234">
        <v>0.82545999999999997</v>
      </c>
      <c r="P70" s="234">
        <v>3.5180555555555602</v>
      </c>
      <c r="R70" s="234">
        <v>0.97</v>
      </c>
      <c r="T70" s="234">
        <v>25</v>
      </c>
      <c r="U70" s="234">
        <v>1</v>
      </c>
      <c r="V70" s="234">
        <v>21</v>
      </c>
      <c r="X70" s="234">
        <v>1</v>
      </c>
      <c r="Y70" s="234">
        <v>4.5900000000000301</v>
      </c>
      <c r="Z70" s="234">
        <v>0.3</v>
      </c>
      <c r="AA70" s="234">
        <v>23</v>
      </c>
      <c r="AB70" s="234" t="s">
        <v>509</v>
      </c>
      <c r="AC70" s="234" t="s">
        <v>64</v>
      </c>
      <c r="AD70" s="234" t="s">
        <v>433</v>
      </c>
      <c r="AE70" s="234" t="s">
        <v>153</v>
      </c>
      <c r="AF70" s="234" t="s">
        <v>139</v>
      </c>
      <c r="AG70" s="234" t="s">
        <v>441</v>
      </c>
      <c r="AH70" s="234" t="s">
        <v>435</v>
      </c>
      <c r="AJ70" s="234" t="s">
        <v>436</v>
      </c>
      <c r="AK70" s="234">
        <v>0.97</v>
      </c>
      <c r="AL70" s="234" t="s">
        <v>551</v>
      </c>
      <c r="AM70" s="234">
        <v>1</v>
      </c>
    </row>
    <row r="71" spans="2:39" x14ac:dyDescent="0.3">
      <c r="B71" s="234" t="s">
        <v>568</v>
      </c>
      <c r="C71" s="234" t="s">
        <v>511</v>
      </c>
      <c r="D71" s="234" t="s">
        <v>33</v>
      </c>
      <c r="E71" s="234" t="s">
        <v>28</v>
      </c>
      <c r="F71" s="234" t="s">
        <v>172</v>
      </c>
      <c r="G71" s="234" t="s">
        <v>375</v>
      </c>
      <c r="H71" s="234">
        <v>2020</v>
      </c>
      <c r="I71" s="234">
        <v>0.14399999999999999</v>
      </c>
      <c r="L71" s="234">
        <v>5.5555555555555598</v>
      </c>
      <c r="M71" s="234">
        <v>1</v>
      </c>
      <c r="N71" s="234">
        <v>46.935000000000002</v>
      </c>
      <c r="O71" s="234">
        <v>2.092705</v>
      </c>
      <c r="P71" s="234">
        <v>7.0361111111111097</v>
      </c>
      <c r="Q71" s="234">
        <v>3.1536000000000002E-2</v>
      </c>
      <c r="R71" s="234">
        <v>0.97</v>
      </c>
      <c r="S71" s="234">
        <v>1</v>
      </c>
      <c r="T71" s="234">
        <v>25</v>
      </c>
      <c r="U71" s="234">
        <v>1</v>
      </c>
      <c r="V71" s="234">
        <v>90</v>
      </c>
      <c r="X71" s="234">
        <v>1</v>
      </c>
      <c r="Y71" s="234">
        <v>4.5900000000000301</v>
      </c>
      <c r="Z71" s="234">
        <v>2</v>
      </c>
      <c r="AA71" s="234">
        <v>24</v>
      </c>
      <c r="AB71" s="234" t="s">
        <v>512</v>
      </c>
      <c r="AC71" s="234" t="s">
        <v>64</v>
      </c>
      <c r="AD71" s="234" t="s">
        <v>433</v>
      </c>
      <c r="AE71" s="234" t="s">
        <v>153</v>
      </c>
      <c r="AF71" s="234" t="s">
        <v>139</v>
      </c>
      <c r="AG71" s="234" t="s">
        <v>441</v>
      </c>
      <c r="AH71" s="234" t="s">
        <v>435</v>
      </c>
      <c r="AJ71" s="234" t="s">
        <v>436</v>
      </c>
      <c r="AK71" s="234">
        <v>0.97</v>
      </c>
      <c r="AL71" s="234" t="s">
        <v>551</v>
      </c>
      <c r="AM71" s="234">
        <v>2</v>
      </c>
    </row>
    <row r="72" spans="2:39" x14ac:dyDescent="0.3">
      <c r="E72" s="234" t="s">
        <v>34</v>
      </c>
      <c r="F72" s="234" t="s">
        <v>172</v>
      </c>
      <c r="G72" s="234" t="s">
        <v>383</v>
      </c>
      <c r="I72" s="234">
        <v>0.14399999999999999</v>
      </c>
      <c r="L72" s="234">
        <v>5.5555555555555598</v>
      </c>
      <c r="M72" s="234">
        <v>1</v>
      </c>
      <c r="N72" s="234">
        <v>46.19</v>
      </c>
      <c r="O72" s="234">
        <v>2.0554549999999998</v>
      </c>
      <c r="P72" s="234">
        <v>7.0361111111111097</v>
      </c>
      <c r="R72" s="234">
        <v>0.97</v>
      </c>
      <c r="T72" s="234">
        <v>25</v>
      </c>
      <c r="U72" s="234">
        <v>1</v>
      </c>
      <c r="V72" s="234">
        <v>54</v>
      </c>
      <c r="X72" s="234">
        <v>1</v>
      </c>
      <c r="Y72" s="234">
        <v>4.5900000000000301</v>
      </c>
      <c r="Z72" s="234">
        <v>0.3</v>
      </c>
      <c r="AA72" s="234">
        <v>24</v>
      </c>
      <c r="AB72" s="234" t="s">
        <v>512</v>
      </c>
      <c r="AC72" s="234" t="s">
        <v>64</v>
      </c>
      <c r="AD72" s="234" t="s">
        <v>433</v>
      </c>
      <c r="AE72" s="234" t="s">
        <v>153</v>
      </c>
      <c r="AF72" s="234" t="s">
        <v>139</v>
      </c>
      <c r="AG72" s="234" t="s">
        <v>441</v>
      </c>
      <c r="AH72" s="234" t="s">
        <v>435</v>
      </c>
      <c r="AJ72" s="234" t="s">
        <v>436</v>
      </c>
      <c r="AK72" s="234">
        <v>0.97</v>
      </c>
      <c r="AL72" s="234" t="s">
        <v>551</v>
      </c>
      <c r="AM72" s="234">
        <v>2</v>
      </c>
    </row>
    <row r="73" spans="2:39" x14ac:dyDescent="0.3">
      <c r="F73" s="234" t="s">
        <v>172</v>
      </c>
      <c r="G73" s="234" t="s">
        <v>384</v>
      </c>
      <c r="I73" s="234">
        <v>0.14199999999999999</v>
      </c>
      <c r="L73" s="234">
        <v>5.5555555555555598</v>
      </c>
      <c r="M73" s="234">
        <v>1</v>
      </c>
      <c r="N73" s="234">
        <v>46.19</v>
      </c>
      <c r="O73" s="234">
        <v>2.0472600000000001</v>
      </c>
      <c r="P73" s="234">
        <v>7.0361111111111097</v>
      </c>
      <c r="R73" s="234">
        <v>0.97</v>
      </c>
      <c r="T73" s="234">
        <v>25</v>
      </c>
      <c r="U73" s="234">
        <v>1</v>
      </c>
      <c r="V73" s="234">
        <v>35</v>
      </c>
      <c r="X73" s="234">
        <v>1</v>
      </c>
      <c r="Y73" s="234">
        <v>4.5900000000000301</v>
      </c>
      <c r="Z73" s="234">
        <v>0.3</v>
      </c>
      <c r="AA73" s="234">
        <v>24</v>
      </c>
      <c r="AB73" s="234" t="s">
        <v>512</v>
      </c>
      <c r="AC73" s="234" t="s">
        <v>64</v>
      </c>
      <c r="AD73" s="234" t="s">
        <v>433</v>
      </c>
      <c r="AE73" s="234" t="s">
        <v>153</v>
      </c>
      <c r="AF73" s="234" t="s">
        <v>139</v>
      </c>
      <c r="AG73" s="234" t="s">
        <v>441</v>
      </c>
      <c r="AH73" s="234" t="s">
        <v>435</v>
      </c>
      <c r="AJ73" s="234" t="s">
        <v>436</v>
      </c>
      <c r="AK73" s="234">
        <v>0.97</v>
      </c>
      <c r="AL73" s="234" t="s">
        <v>551</v>
      </c>
      <c r="AM73" s="234">
        <v>2</v>
      </c>
    </row>
    <row r="74" spans="2:39" x14ac:dyDescent="0.3">
      <c r="F74" s="234" t="s">
        <v>172</v>
      </c>
      <c r="G74" s="234" t="s">
        <v>385</v>
      </c>
      <c r="I74" s="234">
        <v>0.14199999999999999</v>
      </c>
      <c r="L74" s="234">
        <v>5.5555555555555598</v>
      </c>
      <c r="M74" s="234">
        <v>1</v>
      </c>
      <c r="N74" s="234">
        <v>41.72</v>
      </c>
      <c r="O74" s="234">
        <v>1.9206099999999999</v>
      </c>
      <c r="P74" s="234">
        <v>7.0361111111111097</v>
      </c>
      <c r="R74" s="234">
        <v>0.97</v>
      </c>
      <c r="T74" s="234">
        <v>25</v>
      </c>
      <c r="U74" s="234">
        <v>1</v>
      </c>
      <c r="V74" s="234">
        <v>28</v>
      </c>
      <c r="X74" s="234">
        <v>1</v>
      </c>
      <c r="Y74" s="234">
        <v>4.5900000000000301</v>
      </c>
      <c r="Z74" s="234">
        <v>0.3</v>
      </c>
      <c r="AA74" s="234">
        <v>24</v>
      </c>
      <c r="AB74" s="234" t="s">
        <v>512</v>
      </c>
      <c r="AC74" s="234" t="s">
        <v>64</v>
      </c>
      <c r="AD74" s="234" t="s">
        <v>433</v>
      </c>
      <c r="AE74" s="234" t="s">
        <v>153</v>
      </c>
      <c r="AF74" s="234" t="s">
        <v>139</v>
      </c>
      <c r="AG74" s="234" t="s">
        <v>441</v>
      </c>
      <c r="AH74" s="234" t="s">
        <v>435</v>
      </c>
      <c r="AJ74" s="234" t="s">
        <v>436</v>
      </c>
      <c r="AK74" s="234">
        <v>0.97</v>
      </c>
      <c r="AL74" s="234" t="s">
        <v>551</v>
      </c>
      <c r="AM74" s="234">
        <v>2</v>
      </c>
    </row>
    <row r="75" spans="2:39" x14ac:dyDescent="0.3">
      <c r="B75" s="234" t="s">
        <v>569</v>
      </c>
      <c r="C75" s="234" t="s">
        <v>514</v>
      </c>
      <c r="D75" s="234" t="s">
        <v>351</v>
      </c>
      <c r="E75" s="234" t="s">
        <v>28</v>
      </c>
      <c r="F75" s="234" t="s">
        <v>172</v>
      </c>
      <c r="G75" s="234" t="s">
        <v>375</v>
      </c>
      <c r="H75" s="234">
        <v>2020</v>
      </c>
      <c r="I75" s="234">
        <v>0.56000000000000005</v>
      </c>
      <c r="N75" s="234">
        <v>61.835000000000001</v>
      </c>
      <c r="O75" s="234">
        <v>3.0917500000000002</v>
      </c>
      <c r="Q75" s="234">
        <v>3.1536000000000002E-2</v>
      </c>
      <c r="R75" s="234">
        <v>1</v>
      </c>
      <c r="S75" s="234">
        <v>1</v>
      </c>
      <c r="T75" s="234">
        <v>15</v>
      </c>
      <c r="U75" s="234">
        <v>1</v>
      </c>
      <c r="V75" s="234">
        <v>1.3</v>
      </c>
      <c r="W75" s="234">
        <v>1.25</v>
      </c>
      <c r="AA75" s="234">
        <v>32</v>
      </c>
      <c r="AB75" s="234" t="s">
        <v>515</v>
      </c>
      <c r="AC75" s="234" t="s">
        <v>64</v>
      </c>
      <c r="AD75" s="234" t="s">
        <v>433</v>
      </c>
      <c r="AE75" s="234" t="s">
        <v>423</v>
      </c>
      <c r="AF75" s="234" t="s">
        <v>137</v>
      </c>
      <c r="AG75" s="234" t="s">
        <v>441</v>
      </c>
      <c r="AH75" s="234" t="s">
        <v>435</v>
      </c>
      <c r="AJ75" s="234" t="s">
        <v>442</v>
      </c>
      <c r="AL75" s="234" t="s">
        <v>551</v>
      </c>
      <c r="AM75" s="234">
        <v>5</v>
      </c>
    </row>
    <row r="76" spans="2:39" x14ac:dyDescent="0.3">
      <c r="E76" s="234" t="s">
        <v>34</v>
      </c>
      <c r="F76" s="234" t="s">
        <v>172</v>
      </c>
      <c r="G76" s="234" t="s">
        <v>383</v>
      </c>
      <c r="I76" s="234">
        <v>0.57999999999999996</v>
      </c>
      <c r="L76" s="234">
        <v>0.6</v>
      </c>
      <c r="N76" s="234">
        <v>24.585000000000001</v>
      </c>
      <c r="O76" s="234">
        <v>1.22925</v>
      </c>
      <c r="R76" s="234">
        <v>1</v>
      </c>
      <c r="T76" s="234">
        <v>20</v>
      </c>
      <c r="U76" s="234">
        <v>1</v>
      </c>
      <c r="V76" s="234">
        <v>1.4</v>
      </c>
      <c r="W76" s="234">
        <v>1.25</v>
      </c>
      <c r="AA76" s="234">
        <v>32</v>
      </c>
      <c r="AB76" s="234" t="s">
        <v>515</v>
      </c>
      <c r="AC76" s="234" t="s">
        <v>64</v>
      </c>
      <c r="AD76" s="234" t="s">
        <v>433</v>
      </c>
      <c r="AE76" s="234" t="s">
        <v>423</v>
      </c>
      <c r="AF76" s="234" t="s">
        <v>137</v>
      </c>
      <c r="AG76" s="234" t="s">
        <v>441</v>
      </c>
      <c r="AH76" s="234" t="s">
        <v>435</v>
      </c>
      <c r="AJ76" s="234" t="s">
        <v>442</v>
      </c>
      <c r="AL76" s="234" t="s">
        <v>551</v>
      </c>
      <c r="AM76" s="234">
        <v>5</v>
      </c>
    </row>
    <row r="77" spans="2:39" x14ac:dyDescent="0.3">
      <c r="F77" s="234" t="s">
        <v>172</v>
      </c>
      <c r="G77" s="234" t="s">
        <v>384</v>
      </c>
      <c r="I77" s="234">
        <v>0.6</v>
      </c>
      <c r="L77" s="234">
        <v>0.62</v>
      </c>
      <c r="N77" s="234">
        <v>14.9</v>
      </c>
      <c r="O77" s="234">
        <v>0.745</v>
      </c>
      <c r="R77" s="234">
        <v>1</v>
      </c>
      <c r="T77" s="234">
        <v>20</v>
      </c>
      <c r="U77" s="234">
        <v>1</v>
      </c>
      <c r="V77" s="234">
        <v>1.5</v>
      </c>
      <c r="W77" s="234">
        <v>1.25</v>
      </c>
      <c r="AA77" s="234">
        <v>32</v>
      </c>
      <c r="AB77" s="234" t="s">
        <v>515</v>
      </c>
      <c r="AC77" s="234" t="s">
        <v>64</v>
      </c>
      <c r="AD77" s="234" t="s">
        <v>433</v>
      </c>
      <c r="AE77" s="234" t="s">
        <v>423</v>
      </c>
      <c r="AF77" s="234" t="s">
        <v>137</v>
      </c>
      <c r="AG77" s="234" t="s">
        <v>441</v>
      </c>
      <c r="AH77" s="234" t="s">
        <v>435</v>
      </c>
      <c r="AJ77" s="234" t="s">
        <v>442</v>
      </c>
      <c r="AL77" s="234" t="s">
        <v>551</v>
      </c>
      <c r="AM77" s="234">
        <v>5</v>
      </c>
    </row>
    <row r="78" spans="2:39" x14ac:dyDescent="0.3">
      <c r="F78" s="234" t="s">
        <v>172</v>
      </c>
      <c r="G78" s="234" t="s">
        <v>385</v>
      </c>
      <c r="I78" s="234">
        <v>0.6</v>
      </c>
      <c r="L78" s="234">
        <v>0.62</v>
      </c>
      <c r="N78" s="234">
        <v>5.96</v>
      </c>
      <c r="O78" s="234">
        <v>0.29799999999999999</v>
      </c>
      <c r="R78" s="234">
        <v>1</v>
      </c>
      <c r="T78" s="234">
        <v>20</v>
      </c>
      <c r="U78" s="234">
        <v>1</v>
      </c>
      <c r="V78" s="234">
        <v>1.6</v>
      </c>
      <c r="W78" s="234">
        <v>1.25</v>
      </c>
      <c r="AA78" s="234">
        <v>32</v>
      </c>
      <c r="AB78" s="234" t="s">
        <v>515</v>
      </c>
      <c r="AC78" s="234" t="s">
        <v>64</v>
      </c>
      <c r="AD78" s="234" t="s">
        <v>433</v>
      </c>
      <c r="AE78" s="234" t="s">
        <v>423</v>
      </c>
      <c r="AF78" s="234" t="s">
        <v>137</v>
      </c>
      <c r="AG78" s="234" t="s">
        <v>441</v>
      </c>
      <c r="AH78" s="234" t="s">
        <v>435</v>
      </c>
      <c r="AJ78" s="234" t="s">
        <v>442</v>
      </c>
      <c r="AL78" s="234" t="s">
        <v>551</v>
      </c>
      <c r="AM78" s="234">
        <v>5</v>
      </c>
    </row>
    <row r="79" spans="2:39" x14ac:dyDescent="0.3">
      <c r="B79" s="234" t="s">
        <v>570</v>
      </c>
      <c r="C79" s="234" t="s">
        <v>517</v>
      </c>
      <c r="D79" s="234" t="s">
        <v>518</v>
      </c>
      <c r="E79" s="234" t="s">
        <v>28</v>
      </c>
      <c r="F79" s="234" t="s">
        <v>172</v>
      </c>
      <c r="G79" s="234" t="s">
        <v>375</v>
      </c>
      <c r="H79" s="234">
        <v>2020</v>
      </c>
      <c r="I79" s="234">
        <v>0.45</v>
      </c>
      <c r="N79" s="234">
        <v>14.154999999999999</v>
      </c>
      <c r="O79" s="234">
        <v>0.70774999999999999</v>
      </c>
      <c r="Q79" s="234">
        <v>3.1536000000000002E-2</v>
      </c>
      <c r="R79" s="234">
        <v>1</v>
      </c>
      <c r="S79" s="234">
        <v>1</v>
      </c>
      <c r="T79" s="234">
        <v>10</v>
      </c>
      <c r="U79" s="234">
        <v>1</v>
      </c>
      <c r="AA79" s="234">
        <v>33</v>
      </c>
      <c r="AB79" s="234" t="s">
        <v>519</v>
      </c>
      <c r="AC79" s="234" t="s">
        <v>64</v>
      </c>
      <c r="AD79" s="234" t="s">
        <v>433</v>
      </c>
      <c r="AE79" s="234" t="s">
        <v>520</v>
      </c>
      <c r="AF79" s="234" t="s">
        <v>521</v>
      </c>
      <c r="AG79" s="234" t="s">
        <v>441</v>
      </c>
      <c r="AH79" s="234" t="s">
        <v>435</v>
      </c>
      <c r="AJ79" s="234" t="s">
        <v>442</v>
      </c>
      <c r="AK79" s="234">
        <v>0.9</v>
      </c>
      <c r="AL79" s="234" t="s">
        <v>551</v>
      </c>
      <c r="AM79" s="234">
        <v>1</v>
      </c>
    </row>
    <row r="80" spans="2:39" x14ac:dyDescent="0.3">
      <c r="E80" s="234" t="s">
        <v>34</v>
      </c>
      <c r="F80" s="234" t="s">
        <v>172</v>
      </c>
      <c r="G80" s="234" t="s">
        <v>383</v>
      </c>
      <c r="I80" s="234">
        <v>0.5</v>
      </c>
      <c r="L80" s="234">
        <v>0.8</v>
      </c>
      <c r="N80" s="234">
        <v>9.6850000000000005</v>
      </c>
      <c r="O80" s="234">
        <v>0.48425000000000001</v>
      </c>
      <c r="R80" s="234">
        <v>1</v>
      </c>
      <c r="T80" s="234">
        <v>10</v>
      </c>
      <c r="U80" s="234">
        <v>1</v>
      </c>
      <c r="AA80" s="234">
        <v>33</v>
      </c>
      <c r="AB80" s="234" t="s">
        <v>519</v>
      </c>
      <c r="AC80" s="234" t="s">
        <v>64</v>
      </c>
      <c r="AD80" s="234" t="s">
        <v>433</v>
      </c>
      <c r="AE80" s="234" t="s">
        <v>520</v>
      </c>
      <c r="AF80" s="234" t="s">
        <v>521</v>
      </c>
      <c r="AG80" s="234" t="s">
        <v>441</v>
      </c>
      <c r="AH80" s="234" t="s">
        <v>435</v>
      </c>
      <c r="AJ80" s="234" t="s">
        <v>442</v>
      </c>
      <c r="AK80" s="234">
        <v>0.9</v>
      </c>
      <c r="AL80" s="234" t="s">
        <v>551</v>
      </c>
      <c r="AM80" s="234">
        <v>1</v>
      </c>
    </row>
    <row r="81" spans="2:39" x14ac:dyDescent="0.3">
      <c r="F81" s="234" t="s">
        <v>172</v>
      </c>
      <c r="G81" s="234" t="s">
        <v>384</v>
      </c>
      <c r="I81" s="234">
        <v>0.5</v>
      </c>
      <c r="L81" s="234">
        <v>0.8</v>
      </c>
      <c r="N81" s="234">
        <v>8.1950000000000003</v>
      </c>
      <c r="O81" s="234">
        <v>0.40975</v>
      </c>
      <c r="R81" s="234">
        <v>1</v>
      </c>
      <c r="T81" s="234">
        <v>10</v>
      </c>
      <c r="U81" s="234">
        <v>1</v>
      </c>
      <c r="AA81" s="234">
        <v>33</v>
      </c>
      <c r="AB81" s="234" t="s">
        <v>519</v>
      </c>
      <c r="AC81" s="234" t="s">
        <v>64</v>
      </c>
      <c r="AD81" s="234" t="s">
        <v>433</v>
      </c>
      <c r="AE81" s="234" t="s">
        <v>520</v>
      </c>
      <c r="AF81" s="234" t="s">
        <v>521</v>
      </c>
      <c r="AG81" s="234" t="s">
        <v>441</v>
      </c>
      <c r="AH81" s="234" t="s">
        <v>435</v>
      </c>
      <c r="AJ81" s="234" t="s">
        <v>442</v>
      </c>
      <c r="AK81" s="234">
        <v>0.9</v>
      </c>
      <c r="AL81" s="234" t="s">
        <v>551</v>
      </c>
      <c r="AM81" s="234">
        <v>1</v>
      </c>
    </row>
    <row r="82" spans="2:39" x14ac:dyDescent="0.3">
      <c r="F82" s="234" t="s">
        <v>172</v>
      </c>
      <c r="G82" s="234" t="s">
        <v>385</v>
      </c>
      <c r="I82" s="234">
        <v>0.5</v>
      </c>
      <c r="L82" s="234">
        <v>0.8</v>
      </c>
      <c r="N82" s="234">
        <v>5.96</v>
      </c>
      <c r="O82" s="234">
        <v>0.29799999999999999</v>
      </c>
      <c r="R82" s="234">
        <v>1</v>
      </c>
      <c r="T82" s="234">
        <v>10</v>
      </c>
      <c r="U82" s="234">
        <v>1</v>
      </c>
      <c r="AA82" s="234">
        <v>33</v>
      </c>
      <c r="AB82" s="234" t="s">
        <v>519</v>
      </c>
      <c r="AC82" s="234" t="s">
        <v>64</v>
      </c>
      <c r="AD82" s="234" t="s">
        <v>433</v>
      </c>
      <c r="AE82" s="234" t="s">
        <v>520</v>
      </c>
      <c r="AF82" s="234" t="s">
        <v>521</v>
      </c>
      <c r="AG82" s="234" t="s">
        <v>441</v>
      </c>
      <c r="AH82" s="234" t="s">
        <v>435</v>
      </c>
      <c r="AJ82" s="234" t="s">
        <v>442</v>
      </c>
      <c r="AK82" s="234">
        <v>0.9</v>
      </c>
      <c r="AL82" s="234" t="s">
        <v>551</v>
      </c>
      <c r="AM82" s="234">
        <v>1</v>
      </c>
    </row>
    <row r="83" spans="2:39" x14ac:dyDescent="0.3">
      <c r="B83" s="234" t="s">
        <v>571</v>
      </c>
      <c r="C83" s="234" t="s">
        <v>523</v>
      </c>
      <c r="D83" s="234" t="s">
        <v>352</v>
      </c>
      <c r="E83" s="234" t="s">
        <v>34</v>
      </c>
      <c r="F83" s="234" t="s">
        <v>172</v>
      </c>
      <c r="G83" s="234" t="s">
        <v>375</v>
      </c>
      <c r="H83" s="234">
        <v>2020</v>
      </c>
      <c r="I83" s="234">
        <v>1</v>
      </c>
      <c r="J83" s="234">
        <v>0.58823529411764697</v>
      </c>
      <c r="N83" s="234">
        <v>4.47</v>
      </c>
      <c r="O83" s="234">
        <v>1.49E-2</v>
      </c>
      <c r="P83" s="234">
        <v>1.8625</v>
      </c>
      <c r="Q83" s="234">
        <v>3.1536000000000002E-2</v>
      </c>
      <c r="R83" s="234">
        <v>1</v>
      </c>
      <c r="S83" s="234">
        <v>1</v>
      </c>
      <c r="T83" s="234">
        <v>25</v>
      </c>
      <c r="U83" s="234">
        <v>0.5</v>
      </c>
      <c r="AA83" s="234">
        <v>43</v>
      </c>
      <c r="AB83" s="234" t="s">
        <v>524</v>
      </c>
      <c r="AC83" s="234" t="s">
        <v>525</v>
      </c>
      <c r="AD83" s="234" t="s">
        <v>473</v>
      </c>
      <c r="AE83" s="234" t="s">
        <v>526</v>
      </c>
      <c r="AF83" s="234" t="s">
        <v>527</v>
      </c>
      <c r="AG83" s="234" t="s">
        <v>441</v>
      </c>
      <c r="AH83" s="234" t="s">
        <v>474</v>
      </c>
      <c r="AJ83" s="234" t="s">
        <v>473</v>
      </c>
      <c r="AL83" s="234" t="s">
        <v>551</v>
      </c>
      <c r="AM83" s="234">
        <v>1</v>
      </c>
    </row>
    <row r="84" spans="2:39" x14ac:dyDescent="0.3">
      <c r="D84" s="234" t="s">
        <v>218</v>
      </c>
      <c r="F84" s="234" t="s">
        <v>172</v>
      </c>
      <c r="G84" s="234" t="s">
        <v>383</v>
      </c>
      <c r="I84" s="234">
        <v>1</v>
      </c>
      <c r="J84" s="234">
        <v>0.58479532163742698</v>
      </c>
      <c r="N84" s="234">
        <v>4.2018000000000004</v>
      </c>
      <c r="O84" s="234">
        <v>1.49E-2</v>
      </c>
      <c r="P84" s="234">
        <v>2.03219444444444</v>
      </c>
      <c r="R84" s="234">
        <v>1</v>
      </c>
      <c r="T84" s="234">
        <v>25</v>
      </c>
      <c r="U84" s="234">
        <v>0.5</v>
      </c>
      <c r="AA84" s="234">
        <v>43</v>
      </c>
      <c r="AB84" s="234" t="s">
        <v>524</v>
      </c>
      <c r="AC84" s="234" t="s">
        <v>525</v>
      </c>
      <c r="AD84" s="234" t="s">
        <v>473</v>
      </c>
      <c r="AE84" s="234" t="s">
        <v>526</v>
      </c>
      <c r="AF84" s="234" t="s">
        <v>527</v>
      </c>
      <c r="AG84" s="234" t="s">
        <v>441</v>
      </c>
      <c r="AH84" s="234" t="s">
        <v>474</v>
      </c>
      <c r="AJ84" s="234" t="s">
        <v>473</v>
      </c>
      <c r="AL84" s="234" t="s">
        <v>551</v>
      </c>
      <c r="AM84" s="234">
        <v>1</v>
      </c>
    </row>
    <row r="85" spans="2:39" x14ac:dyDescent="0.3">
      <c r="D85" s="234" t="s">
        <v>28</v>
      </c>
      <c r="F85" s="234" t="s">
        <v>172</v>
      </c>
      <c r="G85" s="234" t="s">
        <v>384</v>
      </c>
      <c r="I85" s="234">
        <v>1</v>
      </c>
      <c r="J85" s="234">
        <v>0.57803468208092501</v>
      </c>
      <c r="N85" s="234">
        <v>3.7816200000000002</v>
      </c>
      <c r="O85" s="234">
        <v>1.49E-2</v>
      </c>
      <c r="P85" s="234">
        <v>2.59466944444444</v>
      </c>
      <c r="R85" s="234">
        <v>1</v>
      </c>
      <c r="T85" s="234">
        <v>25</v>
      </c>
      <c r="U85" s="234">
        <v>0.5</v>
      </c>
      <c r="AA85" s="234">
        <v>43</v>
      </c>
      <c r="AB85" s="234" t="s">
        <v>524</v>
      </c>
      <c r="AC85" s="234" t="s">
        <v>525</v>
      </c>
      <c r="AD85" s="234" t="s">
        <v>473</v>
      </c>
      <c r="AE85" s="234" t="s">
        <v>526</v>
      </c>
      <c r="AF85" s="234" t="s">
        <v>527</v>
      </c>
      <c r="AG85" s="234" t="s">
        <v>441</v>
      </c>
      <c r="AH85" s="234" t="s">
        <v>474</v>
      </c>
      <c r="AJ85" s="234" t="s">
        <v>473</v>
      </c>
      <c r="AL85" s="234" t="s">
        <v>551</v>
      </c>
      <c r="AM85" s="234">
        <v>1</v>
      </c>
    </row>
    <row r="86" spans="2:39" x14ac:dyDescent="0.3">
      <c r="F86" s="234" t="s">
        <v>172</v>
      </c>
      <c r="G86" s="234" t="s">
        <v>385</v>
      </c>
      <c r="I86" s="234">
        <v>1</v>
      </c>
      <c r="J86" s="234">
        <v>0.57142857142857095</v>
      </c>
      <c r="N86" s="234">
        <v>3.4034580000000001</v>
      </c>
      <c r="O86" s="234">
        <v>1.49E-2</v>
      </c>
      <c r="P86" s="234">
        <v>2.9560358333333299</v>
      </c>
      <c r="R86" s="234">
        <v>1</v>
      </c>
      <c r="T86" s="234">
        <v>25</v>
      </c>
      <c r="U86" s="234">
        <v>0.5</v>
      </c>
      <c r="AA86" s="234">
        <v>43</v>
      </c>
      <c r="AB86" s="234" t="s">
        <v>524</v>
      </c>
      <c r="AC86" s="234" t="s">
        <v>525</v>
      </c>
      <c r="AD86" s="234" t="s">
        <v>473</v>
      </c>
      <c r="AE86" s="234" t="s">
        <v>526</v>
      </c>
      <c r="AF86" s="234" t="s">
        <v>527</v>
      </c>
      <c r="AG86" s="234" t="s">
        <v>441</v>
      </c>
      <c r="AH86" s="234" t="s">
        <v>474</v>
      </c>
      <c r="AJ86" s="234" t="s">
        <v>473</v>
      </c>
      <c r="AL86" s="234" t="s">
        <v>551</v>
      </c>
      <c r="AM86" s="234">
        <v>1</v>
      </c>
    </row>
    <row r="87" spans="2:39" x14ac:dyDescent="0.3">
      <c r="B87" s="234" t="s">
        <v>572</v>
      </c>
      <c r="C87" s="234" t="s">
        <v>529</v>
      </c>
      <c r="D87" s="234" t="s">
        <v>352</v>
      </c>
      <c r="E87" s="234" t="s">
        <v>34</v>
      </c>
      <c r="F87" s="234" t="s">
        <v>172</v>
      </c>
      <c r="G87" s="234" t="s">
        <v>375</v>
      </c>
      <c r="H87" s="234">
        <v>2020</v>
      </c>
      <c r="I87" s="234">
        <v>1</v>
      </c>
      <c r="J87" s="234">
        <v>0.28571428571428598</v>
      </c>
      <c r="N87" s="234">
        <v>5.2149999999999999</v>
      </c>
      <c r="O87" s="234">
        <v>1.49E-2</v>
      </c>
      <c r="P87" s="234">
        <v>6.8291666666666702</v>
      </c>
      <c r="Q87" s="234">
        <v>3.1536000000000002E-2</v>
      </c>
      <c r="R87" s="234">
        <v>1</v>
      </c>
      <c r="S87" s="234">
        <v>1</v>
      </c>
      <c r="T87" s="234">
        <v>25</v>
      </c>
      <c r="U87" s="234">
        <v>0.5</v>
      </c>
      <c r="AA87" s="234">
        <v>42</v>
      </c>
      <c r="AB87" s="234" t="s">
        <v>530</v>
      </c>
      <c r="AC87" s="234" t="s">
        <v>525</v>
      </c>
      <c r="AD87" s="234" t="s">
        <v>473</v>
      </c>
      <c r="AE87" s="234" t="s">
        <v>163</v>
      </c>
      <c r="AF87" s="234" t="s">
        <v>527</v>
      </c>
      <c r="AG87" s="234" t="s">
        <v>441</v>
      </c>
      <c r="AH87" s="234" t="s">
        <v>474</v>
      </c>
      <c r="AJ87" s="234" t="s">
        <v>473</v>
      </c>
      <c r="AL87" s="234" t="s">
        <v>551</v>
      </c>
      <c r="AM87" s="234">
        <v>2</v>
      </c>
    </row>
    <row r="88" spans="2:39" x14ac:dyDescent="0.3">
      <c r="D88" s="234" t="s">
        <v>28</v>
      </c>
      <c r="F88" s="234" t="s">
        <v>172</v>
      </c>
      <c r="G88" s="234" t="s">
        <v>383</v>
      </c>
      <c r="I88" s="234">
        <v>1</v>
      </c>
      <c r="J88" s="234">
        <v>0.27777777777777801</v>
      </c>
      <c r="N88" s="234">
        <v>4.9020999999999999</v>
      </c>
      <c r="O88" s="234">
        <v>1.49E-2</v>
      </c>
      <c r="P88" s="234">
        <v>6.62222222222222</v>
      </c>
      <c r="R88" s="234">
        <v>1</v>
      </c>
      <c r="T88" s="234">
        <v>25</v>
      </c>
      <c r="U88" s="234">
        <v>0.5</v>
      </c>
      <c r="AA88" s="234">
        <v>42</v>
      </c>
      <c r="AB88" s="234" t="s">
        <v>530</v>
      </c>
      <c r="AC88" s="234" t="s">
        <v>525</v>
      </c>
      <c r="AD88" s="234" t="s">
        <v>473</v>
      </c>
      <c r="AE88" s="234" t="s">
        <v>163</v>
      </c>
      <c r="AF88" s="234" t="s">
        <v>527</v>
      </c>
      <c r="AG88" s="234" t="s">
        <v>441</v>
      </c>
      <c r="AH88" s="234" t="s">
        <v>474</v>
      </c>
      <c r="AJ88" s="234" t="s">
        <v>473</v>
      </c>
      <c r="AL88" s="234" t="s">
        <v>551</v>
      </c>
      <c r="AM88" s="234">
        <v>2</v>
      </c>
    </row>
    <row r="89" spans="2:39" x14ac:dyDescent="0.3">
      <c r="F89" s="234" t="s">
        <v>172</v>
      </c>
      <c r="G89" s="234" t="s">
        <v>384</v>
      </c>
      <c r="I89" s="234">
        <v>1</v>
      </c>
      <c r="J89" s="234">
        <v>0.26315789473684198</v>
      </c>
      <c r="N89" s="234">
        <v>4.4118899999999996</v>
      </c>
      <c r="O89" s="234">
        <v>1.49E-2</v>
      </c>
      <c r="P89" s="234">
        <v>7.6569444444444503</v>
      </c>
      <c r="R89" s="234">
        <v>1</v>
      </c>
      <c r="T89" s="234">
        <v>25</v>
      </c>
      <c r="U89" s="234">
        <v>0.5</v>
      </c>
      <c r="AA89" s="234">
        <v>42</v>
      </c>
      <c r="AB89" s="234" t="s">
        <v>530</v>
      </c>
      <c r="AC89" s="234" t="s">
        <v>525</v>
      </c>
      <c r="AD89" s="234" t="s">
        <v>473</v>
      </c>
      <c r="AE89" s="234" t="s">
        <v>163</v>
      </c>
      <c r="AF89" s="234" t="s">
        <v>527</v>
      </c>
      <c r="AG89" s="234" t="s">
        <v>441</v>
      </c>
      <c r="AH89" s="234" t="s">
        <v>474</v>
      </c>
      <c r="AJ89" s="234" t="s">
        <v>473</v>
      </c>
      <c r="AL89" s="234" t="s">
        <v>551</v>
      </c>
      <c r="AM89" s="234">
        <v>2</v>
      </c>
    </row>
    <row r="90" spans="2:39" x14ac:dyDescent="0.3">
      <c r="F90" s="234" t="s">
        <v>172</v>
      </c>
      <c r="G90" s="234" t="s">
        <v>385</v>
      </c>
      <c r="I90" s="234">
        <v>1</v>
      </c>
      <c r="J90" s="234">
        <v>0.24390243902438999</v>
      </c>
      <c r="N90" s="234">
        <v>3.970701</v>
      </c>
      <c r="O90" s="234">
        <v>1.49E-2</v>
      </c>
      <c r="P90" s="234">
        <v>8.0708333333333293</v>
      </c>
      <c r="R90" s="234">
        <v>1</v>
      </c>
      <c r="T90" s="234">
        <v>25</v>
      </c>
      <c r="U90" s="234">
        <v>0.5</v>
      </c>
      <c r="AA90" s="234">
        <v>42</v>
      </c>
      <c r="AB90" s="234" t="s">
        <v>530</v>
      </c>
      <c r="AC90" s="234" t="s">
        <v>525</v>
      </c>
      <c r="AD90" s="234" t="s">
        <v>473</v>
      </c>
      <c r="AE90" s="234" t="s">
        <v>163</v>
      </c>
      <c r="AF90" s="234" t="s">
        <v>527</v>
      </c>
      <c r="AG90" s="234" t="s">
        <v>441</v>
      </c>
      <c r="AH90" s="234" t="s">
        <v>474</v>
      </c>
      <c r="AJ90" s="234" t="s">
        <v>473</v>
      </c>
      <c r="AL90" s="234" t="s">
        <v>551</v>
      </c>
      <c r="AM90" s="234">
        <v>2</v>
      </c>
    </row>
    <row r="91" spans="2:39" x14ac:dyDescent="0.3">
      <c r="B91" s="234" t="s">
        <v>573</v>
      </c>
      <c r="C91" s="234" t="s">
        <v>532</v>
      </c>
      <c r="D91" s="234" t="s">
        <v>28</v>
      </c>
      <c r="E91" s="234" t="s">
        <v>34</v>
      </c>
      <c r="F91" s="234" t="s">
        <v>172</v>
      </c>
      <c r="G91" s="234" t="s">
        <v>375</v>
      </c>
      <c r="H91" s="234">
        <v>2020</v>
      </c>
      <c r="I91" s="234">
        <v>0.98</v>
      </c>
      <c r="N91" s="234">
        <v>1.1174999999999999</v>
      </c>
      <c r="O91" s="234">
        <v>8.1949999999999992E-3</v>
      </c>
      <c r="P91" s="234">
        <v>1.6555555555555601</v>
      </c>
      <c r="Q91" s="234">
        <v>3.1536000000000002E-2</v>
      </c>
      <c r="R91" s="234">
        <v>0.99</v>
      </c>
      <c r="S91" s="234">
        <v>1</v>
      </c>
      <c r="T91" s="234">
        <v>20</v>
      </c>
      <c r="U91" s="234">
        <v>0.5</v>
      </c>
      <c r="AA91" s="234">
        <v>44</v>
      </c>
      <c r="AB91" s="234" t="s">
        <v>533</v>
      </c>
      <c r="AC91" s="234" t="s">
        <v>160</v>
      </c>
      <c r="AD91" s="234" t="s">
        <v>473</v>
      </c>
      <c r="AE91" s="234" t="s">
        <v>163</v>
      </c>
      <c r="AF91" s="234" t="s">
        <v>28</v>
      </c>
      <c r="AG91" s="234" t="s">
        <v>441</v>
      </c>
      <c r="AH91" s="234" t="s">
        <v>474</v>
      </c>
      <c r="AJ91" s="234" t="s">
        <v>475</v>
      </c>
      <c r="AK91" s="234">
        <v>0.99</v>
      </c>
      <c r="AL91" s="234" t="s">
        <v>551</v>
      </c>
      <c r="AM91" s="234">
        <v>1</v>
      </c>
    </row>
    <row r="92" spans="2:39" x14ac:dyDescent="0.3">
      <c r="F92" s="234" t="s">
        <v>172</v>
      </c>
      <c r="G92" s="234" t="s">
        <v>383</v>
      </c>
      <c r="I92" s="234">
        <v>0.99</v>
      </c>
      <c r="N92" s="234">
        <v>1.1174999999999999</v>
      </c>
      <c r="O92" s="234">
        <v>7.9714999999999994E-3</v>
      </c>
      <c r="P92" s="234">
        <v>1.8625</v>
      </c>
      <c r="R92" s="234">
        <v>0.99</v>
      </c>
      <c r="T92" s="234">
        <v>20</v>
      </c>
      <c r="U92" s="234">
        <v>0.5</v>
      </c>
      <c r="AA92" s="234">
        <v>44</v>
      </c>
      <c r="AB92" s="234" t="s">
        <v>533</v>
      </c>
      <c r="AC92" s="234" t="s">
        <v>160</v>
      </c>
      <c r="AD92" s="234" t="s">
        <v>473</v>
      </c>
      <c r="AE92" s="234" t="s">
        <v>163</v>
      </c>
      <c r="AF92" s="234" t="s">
        <v>28</v>
      </c>
      <c r="AG92" s="234" t="s">
        <v>441</v>
      </c>
      <c r="AH92" s="234" t="s">
        <v>474</v>
      </c>
      <c r="AJ92" s="234" t="s">
        <v>475</v>
      </c>
      <c r="AK92" s="234">
        <v>0.99</v>
      </c>
      <c r="AL92" s="234" t="s">
        <v>551</v>
      </c>
      <c r="AM92" s="234">
        <v>1</v>
      </c>
    </row>
    <row r="93" spans="2:39" x14ac:dyDescent="0.3">
      <c r="F93" s="234" t="s">
        <v>172</v>
      </c>
      <c r="G93" s="234" t="s">
        <v>384</v>
      </c>
      <c r="I93" s="234">
        <v>0.99</v>
      </c>
      <c r="N93" s="234">
        <v>1.0429999999999999</v>
      </c>
      <c r="O93" s="234">
        <v>7.5989999999999999E-3</v>
      </c>
      <c r="P93" s="234">
        <v>2.0694444444444402</v>
      </c>
      <c r="R93" s="234">
        <v>0.99</v>
      </c>
      <c r="T93" s="234">
        <v>20</v>
      </c>
      <c r="U93" s="234">
        <v>0.5</v>
      </c>
      <c r="AA93" s="234">
        <v>44</v>
      </c>
      <c r="AB93" s="234" t="s">
        <v>533</v>
      </c>
      <c r="AC93" s="234" t="s">
        <v>160</v>
      </c>
      <c r="AD93" s="234" t="s">
        <v>473</v>
      </c>
      <c r="AE93" s="234" t="s">
        <v>163</v>
      </c>
      <c r="AF93" s="234" t="s">
        <v>28</v>
      </c>
      <c r="AG93" s="234" t="s">
        <v>441</v>
      </c>
      <c r="AH93" s="234" t="s">
        <v>474</v>
      </c>
      <c r="AJ93" s="234" t="s">
        <v>475</v>
      </c>
      <c r="AK93" s="234">
        <v>0.99</v>
      </c>
      <c r="AL93" s="234" t="s">
        <v>551</v>
      </c>
      <c r="AM93" s="234">
        <v>1</v>
      </c>
    </row>
    <row r="94" spans="2:39" x14ac:dyDescent="0.3">
      <c r="F94" s="234" t="s">
        <v>172</v>
      </c>
      <c r="G94" s="234" t="s">
        <v>385</v>
      </c>
      <c r="I94" s="234">
        <v>0.99</v>
      </c>
      <c r="N94" s="234">
        <v>0.96850000000000003</v>
      </c>
      <c r="O94" s="234">
        <v>6.8539999999999998E-3</v>
      </c>
      <c r="P94" s="234">
        <v>2.0694444444444402</v>
      </c>
      <c r="R94" s="234">
        <v>0.99</v>
      </c>
      <c r="T94" s="234">
        <v>20</v>
      </c>
      <c r="U94" s="234">
        <v>0.5</v>
      </c>
      <c r="AA94" s="234">
        <v>44</v>
      </c>
      <c r="AB94" s="234" t="s">
        <v>533</v>
      </c>
      <c r="AC94" s="234" t="s">
        <v>160</v>
      </c>
      <c r="AD94" s="234" t="s">
        <v>473</v>
      </c>
      <c r="AE94" s="234" t="s">
        <v>163</v>
      </c>
      <c r="AF94" s="234" t="s">
        <v>28</v>
      </c>
      <c r="AG94" s="234" t="s">
        <v>441</v>
      </c>
      <c r="AH94" s="234" t="s">
        <v>474</v>
      </c>
      <c r="AJ94" s="234" t="s">
        <v>475</v>
      </c>
      <c r="AK94" s="234">
        <v>0.99</v>
      </c>
      <c r="AL94" s="234" t="s">
        <v>551</v>
      </c>
      <c r="AM94" s="234">
        <v>1</v>
      </c>
    </row>
    <row r="95" spans="2:39" x14ac:dyDescent="0.3">
      <c r="B95" s="234" t="s">
        <v>574</v>
      </c>
      <c r="C95" s="234" t="s">
        <v>535</v>
      </c>
      <c r="D95" s="234" t="s">
        <v>351</v>
      </c>
      <c r="E95" s="234" t="s">
        <v>34</v>
      </c>
      <c r="F95" s="234" t="s">
        <v>172</v>
      </c>
      <c r="G95" s="234" t="s">
        <v>375</v>
      </c>
      <c r="H95" s="234">
        <v>2020</v>
      </c>
      <c r="I95" s="234">
        <v>1.03</v>
      </c>
      <c r="N95" s="234">
        <v>0.44700000000000001</v>
      </c>
      <c r="O95" s="234">
        <v>1.49E-2</v>
      </c>
      <c r="P95" s="234">
        <v>2.2763888888888899</v>
      </c>
      <c r="Q95" s="234">
        <v>3.1536000000000002E-2</v>
      </c>
      <c r="R95" s="234">
        <v>0.99</v>
      </c>
      <c r="S95" s="234">
        <v>1</v>
      </c>
      <c r="T95" s="234">
        <v>25</v>
      </c>
      <c r="U95" s="234">
        <v>0.5</v>
      </c>
      <c r="V95" s="234">
        <v>10</v>
      </c>
      <c r="W95" s="234">
        <v>3</v>
      </c>
      <c r="X95" s="234">
        <v>1</v>
      </c>
      <c r="Y95" s="234">
        <v>0.3</v>
      </c>
      <c r="AA95" s="234">
        <v>45</v>
      </c>
      <c r="AB95" s="234" t="s">
        <v>536</v>
      </c>
      <c r="AC95" s="234" t="s">
        <v>160</v>
      </c>
      <c r="AD95" s="234" t="s">
        <v>473</v>
      </c>
      <c r="AE95" s="234" t="s">
        <v>423</v>
      </c>
      <c r="AF95" s="234" t="s">
        <v>137</v>
      </c>
      <c r="AG95" s="234" t="s">
        <v>441</v>
      </c>
      <c r="AH95" s="234" t="s">
        <v>474</v>
      </c>
      <c r="AJ95" s="234" t="s">
        <v>475</v>
      </c>
      <c r="AK95" s="234">
        <v>0.99</v>
      </c>
      <c r="AL95" s="234" t="s">
        <v>551</v>
      </c>
      <c r="AM95" s="234">
        <v>1</v>
      </c>
    </row>
    <row r="96" spans="2:39" x14ac:dyDescent="0.3">
      <c r="F96" s="234" t="s">
        <v>172</v>
      </c>
      <c r="G96" s="234" t="s">
        <v>383</v>
      </c>
      <c r="I96" s="234">
        <v>1.03</v>
      </c>
      <c r="N96" s="234">
        <v>0.44700000000000001</v>
      </c>
      <c r="O96" s="234">
        <v>1.45275E-2</v>
      </c>
      <c r="P96" s="234">
        <v>2.2763888888888899</v>
      </c>
      <c r="R96" s="234">
        <v>0.99</v>
      </c>
      <c r="T96" s="234">
        <v>25</v>
      </c>
      <c r="U96" s="234">
        <v>0.5</v>
      </c>
      <c r="V96" s="234">
        <v>9</v>
      </c>
      <c r="W96" s="234">
        <v>3</v>
      </c>
      <c r="X96" s="234">
        <v>1</v>
      </c>
      <c r="Y96" s="234">
        <v>0.3</v>
      </c>
      <c r="AA96" s="234">
        <v>45</v>
      </c>
      <c r="AB96" s="234" t="s">
        <v>536</v>
      </c>
      <c r="AC96" s="234" t="s">
        <v>160</v>
      </c>
      <c r="AD96" s="234" t="s">
        <v>473</v>
      </c>
      <c r="AE96" s="234" t="s">
        <v>423</v>
      </c>
      <c r="AF96" s="234" t="s">
        <v>137</v>
      </c>
      <c r="AG96" s="234" t="s">
        <v>441</v>
      </c>
      <c r="AH96" s="234" t="s">
        <v>474</v>
      </c>
      <c r="AJ96" s="234" t="s">
        <v>475</v>
      </c>
      <c r="AK96" s="234">
        <v>0.99</v>
      </c>
      <c r="AL96" s="234" t="s">
        <v>551</v>
      </c>
      <c r="AM96" s="234">
        <v>1</v>
      </c>
    </row>
    <row r="97" spans="2:39" x14ac:dyDescent="0.3">
      <c r="F97" s="234" t="s">
        <v>172</v>
      </c>
      <c r="G97" s="234" t="s">
        <v>384</v>
      </c>
      <c r="I97" s="234">
        <v>1.04</v>
      </c>
      <c r="N97" s="234">
        <v>0.3725</v>
      </c>
      <c r="O97" s="234">
        <v>1.4154999999999999E-2</v>
      </c>
      <c r="P97" s="234">
        <v>2.0694444444444402</v>
      </c>
      <c r="R97" s="234">
        <v>0.99</v>
      </c>
      <c r="T97" s="234">
        <v>25</v>
      </c>
      <c r="U97" s="234">
        <v>0.5</v>
      </c>
      <c r="V97" s="234">
        <v>7</v>
      </c>
      <c r="W97" s="234">
        <v>2</v>
      </c>
      <c r="X97" s="234">
        <v>1</v>
      </c>
      <c r="Y97" s="234">
        <v>0.3</v>
      </c>
      <c r="AA97" s="234">
        <v>45</v>
      </c>
      <c r="AB97" s="234" t="s">
        <v>536</v>
      </c>
      <c r="AC97" s="234" t="s">
        <v>160</v>
      </c>
      <c r="AD97" s="234" t="s">
        <v>473</v>
      </c>
      <c r="AE97" s="234" t="s">
        <v>423</v>
      </c>
      <c r="AF97" s="234" t="s">
        <v>137</v>
      </c>
      <c r="AG97" s="234" t="s">
        <v>441</v>
      </c>
      <c r="AH97" s="234" t="s">
        <v>474</v>
      </c>
      <c r="AJ97" s="234" t="s">
        <v>475</v>
      </c>
      <c r="AK97" s="234">
        <v>0.99</v>
      </c>
      <c r="AL97" s="234" t="s">
        <v>551</v>
      </c>
      <c r="AM97" s="234">
        <v>1</v>
      </c>
    </row>
    <row r="98" spans="2:39" x14ac:dyDescent="0.3">
      <c r="F98" s="234" t="s">
        <v>172</v>
      </c>
      <c r="G98" s="234" t="s">
        <v>385</v>
      </c>
      <c r="I98" s="234">
        <v>1.04</v>
      </c>
      <c r="N98" s="234">
        <v>0.3725</v>
      </c>
      <c r="O98" s="234">
        <v>1.2664999999999999E-2</v>
      </c>
      <c r="P98" s="234">
        <v>2.0694444444444402</v>
      </c>
      <c r="R98" s="234">
        <v>0.99</v>
      </c>
      <c r="T98" s="234">
        <v>25</v>
      </c>
      <c r="U98" s="234">
        <v>0.5</v>
      </c>
      <c r="V98" s="234">
        <v>6</v>
      </c>
      <c r="W98" s="234">
        <v>2</v>
      </c>
      <c r="X98" s="234">
        <v>1</v>
      </c>
      <c r="Y98" s="234">
        <v>0.3</v>
      </c>
      <c r="AA98" s="234">
        <v>45</v>
      </c>
      <c r="AB98" s="234" t="s">
        <v>536</v>
      </c>
      <c r="AC98" s="234" t="s">
        <v>160</v>
      </c>
      <c r="AD98" s="234" t="s">
        <v>473</v>
      </c>
      <c r="AE98" s="234" t="s">
        <v>423</v>
      </c>
      <c r="AF98" s="234" t="s">
        <v>137</v>
      </c>
      <c r="AG98" s="234" t="s">
        <v>441</v>
      </c>
      <c r="AH98" s="234" t="s">
        <v>474</v>
      </c>
      <c r="AJ98" s="234" t="s">
        <v>475</v>
      </c>
      <c r="AK98" s="234">
        <v>0.99</v>
      </c>
      <c r="AL98" s="234" t="s">
        <v>551</v>
      </c>
      <c r="AM98" s="234">
        <v>1</v>
      </c>
    </row>
    <row r="99" spans="2:39" x14ac:dyDescent="0.3">
      <c r="B99" s="234" t="s">
        <v>575</v>
      </c>
      <c r="C99" s="234" t="s">
        <v>538</v>
      </c>
      <c r="D99" s="234" t="s">
        <v>182</v>
      </c>
      <c r="E99" s="234" t="s">
        <v>34</v>
      </c>
      <c r="F99" s="234" t="s">
        <v>172</v>
      </c>
      <c r="G99" s="234" t="s">
        <v>375</v>
      </c>
      <c r="H99" s="234">
        <v>2020</v>
      </c>
      <c r="I99" s="234">
        <v>0.95</v>
      </c>
      <c r="J99" s="234">
        <v>0.05</v>
      </c>
      <c r="K99" s="234">
        <v>0.58823529411764697</v>
      </c>
      <c r="N99" s="234">
        <v>13.41</v>
      </c>
      <c r="O99" s="234">
        <v>0.14899999999999999</v>
      </c>
      <c r="P99" s="234">
        <v>10.8645833333333</v>
      </c>
      <c r="Q99" s="234">
        <v>3.1536000000000002E-2</v>
      </c>
      <c r="R99" s="234">
        <v>0.98</v>
      </c>
      <c r="S99" s="234">
        <v>1</v>
      </c>
      <c r="T99" s="234">
        <v>25</v>
      </c>
      <c r="U99" s="234">
        <v>4.5</v>
      </c>
      <c r="AA99" s="234">
        <v>47</v>
      </c>
      <c r="AB99" s="234" t="s">
        <v>539</v>
      </c>
      <c r="AC99" s="234" t="s">
        <v>161</v>
      </c>
      <c r="AD99" s="234" t="s">
        <v>473</v>
      </c>
      <c r="AE99" s="234" t="s">
        <v>526</v>
      </c>
      <c r="AF99" s="234" t="s">
        <v>198</v>
      </c>
      <c r="AG99" s="234" t="s">
        <v>441</v>
      </c>
      <c r="AH99" s="234" t="s">
        <v>474</v>
      </c>
      <c r="AJ99" s="234" t="s">
        <v>473</v>
      </c>
      <c r="AK99" s="234">
        <v>0.98</v>
      </c>
      <c r="AL99" s="234" t="s">
        <v>551</v>
      </c>
      <c r="AM99" s="234">
        <v>1</v>
      </c>
    </row>
    <row r="100" spans="2:39" x14ac:dyDescent="0.3">
      <c r="D100" s="234" t="s">
        <v>218</v>
      </c>
      <c r="F100" s="234" t="s">
        <v>172</v>
      </c>
      <c r="G100" s="234" t="s">
        <v>383</v>
      </c>
      <c r="I100" s="234">
        <v>0.95</v>
      </c>
      <c r="J100" s="234">
        <v>0.05</v>
      </c>
      <c r="K100" s="234">
        <v>0.58823529411764697</v>
      </c>
      <c r="N100" s="234">
        <v>13.41</v>
      </c>
      <c r="O100" s="234">
        <v>0.14899999999999999</v>
      </c>
      <c r="P100" s="234">
        <v>11.3819444444444</v>
      </c>
      <c r="R100" s="234">
        <v>0.98</v>
      </c>
      <c r="T100" s="234">
        <v>25</v>
      </c>
      <c r="U100" s="234">
        <v>4.5</v>
      </c>
      <c r="AA100" s="234">
        <v>47</v>
      </c>
      <c r="AB100" s="234" t="s">
        <v>539</v>
      </c>
      <c r="AC100" s="234" t="s">
        <v>161</v>
      </c>
      <c r="AD100" s="234" t="s">
        <v>473</v>
      </c>
      <c r="AE100" s="234" t="s">
        <v>526</v>
      </c>
      <c r="AF100" s="234" t="s">
        <v>198</v>
      </c>
      <c r="AG100" s="234" t="s">
        <v>441</v>
      </c>
      <c r="AH100" s="234" t="s">
        <v>474</v>
      </c>
      <c r="AJ100" s="234" t="s">
        <v>473</v>
      </c>
      <c r="AK100" s="234">
        <v>0.98</v>
      </c>
      <c r="AL100" s="234" t="s">
        <v>551</v>
      </c>
      <c r="AM100" s="234">
        <v>1</v>
      </c>
    </row>
    <row r="101" spans="2:39" x14ac:dyDescent="0.3">
      <c r="D101" s="234" t="s">
        <v>28</v>
      </c>
      <c r="F101" s="234" t="s">
        <v>172</v>
      </c>
      <c r="G101" s="234" t="s">
        <v>384</v>
      </c>
      <c r="I101" s="234">
        <v>0.95</v>
      </c>
      <c r="J101" s="234">
        <v>0.05</v>
      </c>
      <c r="K101" s="234">
        <v>0.58823529411764697</v>
      </c>
      <c r="N101" s="234">
        <v>12.664999999999999</v>
      </c>
      <c r="O101" s="234">
        <v>0.14899999999999999</v>
      </c>
      <c r="P101" s="234">
        <v>13.4513888888889</v>
      </c>
      <c r="R101" s="234">
        <v>0.98</v>
      </c>
      <c r="T101" s="234">
        <v>30</v>
      </c>
      <c r="U101" s="234">
        <v>4.5</v>
      </c>
      <c r="AA101" s="234">
        <v>47</v>
      </c>
      <c r="AB101" s="234" t="s">
        <v>539</v>
      </c>
      <c r="AC101" s="234" t="s">
        <v>161</v>
      </c>
      <c r="AD101" s="234" t="s">
        <v>473</v>
      </c>
      <c r="AE101" s="234" t="s">
        <v>526</v>
      </c>
      <c r="AF101" s="234" t="s">
        <v>198</v>
      </c>
      <c r="AG101" s="234" t="s">
        <v>441</v>
      </c>
      <c r="AH101" s="234" t="s">
        <v>474</v>
      </c>
      <c r="AJ101" s="234" t="s">
        <v>473</v>
      </c>
      <c r="AK101" s="234">
        <v>0.98</v>
      </c>
      <c r="AL101" s="234" t="s">
        <v>551</v>
      </c>
      <c r="AM101" s="234">
        <v>1</v>
      </c>
    </row>
    <row r="102" spans="2:39" x14ac:dyDescent="0.3">
      <c r="F102" s="234" t="s">
        <v>172</v>
      </c>
      <c r="G102" s="234" t="s">
        <v>385</v>
      </c>
      <c r="I102" s="234">
        <v>0.95</v>
      </c>
      <c r="J102" s="234">
        <v>0.05</v>
      </c>
      <c r="K102" s="234">
        <v>0.58823529411764697</v>
      </c>
      <c r="N102" s="234">
        <v>11.92</v>
      </c>
      <c r="O102" s="234">
        <v>0.14899999999999999</v>
      </c>
      <c r="P102" s="234">
        <v>15.0034722222222</v>
      </c>
      <c r="R102" s="234">
        <v>0.98</v>
      </c>
      <c r="T102" s="234">
        <v>30</v>
      </c>
      <c r="U102" s="234">
        <v>4.5</v>
      </c>
      <c r="AA102" s="234">
        <v>47</v>
      </c>
      <c r="AB102" s="234" t="s">
        <v>539</v>
      </c>
      <c r="AC102" s="234" t="s">
        <v>161</v>
      </c>
      <c r="AD102" s="234" t="s">
        <v>473</v>
      </c>
      <c r="AE102" s="234" t="s">
        <v>526</v>
      </c>
      <c r="AF102" s="234" t="s">
        <v>198</v>
      </c>
      <c r="AG102" s="234" t="s">
        <v>441</v>
      </c>
      <c r="AH102" s="234" t="s">
        <v>474</v>
      </c>
      <c r="AJ102" s="234" t="s">
        <v>473</v>
      </c>
      <c r="AK102" s="234">
        <v>0.98</v>
      </c>
      <c r="AL102" s="234" t="s">
        <v>551</v>
      </c>
      <c r="AM102" s="234">
        <v>1</v>
      </c>
    </row>
    <row r="103" spans="2:39" x14ac:dyDescent="0.3">
      <c r="B103" s="234" t="s">
        <v>576</v>
      </c>
      <c r="C103" s="234" t="s">
        <v>541</v>
      </c>
      <c r="D103" s="234" t="s">
        <v>182</v>
      </c>
      <c r="E103" s="234" t="s">
        <v>34</v>
      </c>
      <c r="F103" s="234" t="s">
        <v>172</v>
      </c>
      <c r="G103" s="234" t="s">
        <v>375</v>
      </c>
      <c r="H103" s="234">
        <v>2020</v>
      </c>
      <c r="I103" s="234">
        <v>0.92</v>
      </c>
      <c r="J103" s="234">
        <v>0.08</v>
      </c>
      <c r="K103" s="234">
        <v>0.41152263374485598</v>
      </c>
      <c r="N103" s="234">
        <v>10.43</v>
      </c>
      <c r="O103" s="234">
        <v>0.20860000000000001</v>
      </c>
      <c r="P103" s="234">
        <v>14.4861111111111</v>
      </c>
      <c r="Q103" s="234">
        <v>3.1536000000000002E-2</v>
      </c>
      <c r="R103" s="234">
        <v>0.98</v>
      </c>
      <c r="S103" s="234">
        <v>1</v>
      </c>
      <c r="T103" s="234">
        <v>25</v>
      </c>
      <c r="U103" s="234">
        <v>4.5</v>
      </c>
      <c r="AA103" s="234">
        <v>46</v>
      </c>
      <c r="AB103" s="234" t="s">
        <v>542</v>
      </c>
      <c r="AC103" s="234" t="s">
        <v>161</v>
      </c>
      <c r="AD103" s="234" t="s">
        <v>473</v>
      </c>
      <c r="AE103" s="234" t="s">
        <v>526</v>
      </c>
      <c r="AF103" s="234" t="s">
        <v>198</v>
      </c>
      <c r="AG103" s="234" t="s">
        <v>441</v>
      </c>
      <c r="AH103" s="234" t="s">
        <v>474</v>
      </c>
      <c r="AJ103" s="234" t="s">
        <v>473</v>
      </c>
      <c r="AK103" s="234">
        <v>0.98</v>
      </c>
      <c r="AL103" s="234" t="s">
        <v>551</v>
      </c>
      <c r="AM103" s="234">
        <v>2</v>
      </c>
    </row>
    <row r="104" spans="2:39" x14ac:dyDescent="0.3">
      <c r="D104" s="234" t="s">
        <v>218</v>
      </c>
      <c r="F104" s="234" t="s">
        <v>172</v>
      </c>
      <c r="G104" s="234" t="s">
        <v>383</v>
      </c>
      <c r="I104" s="234">
        <v>0.92</v>
      </c>
      <c r="J104" s="234">
        <v>0.08</v>
      </c>
      <c r="K104" s="234">
        <v>0.41152263374485598</v>
      </c>
      <c r="N104" s="234">
        <v>10.43</v>
      </c>
      <c r="O104" s="234">
        <v>0.20860000000000001</v>
      </c>
      <c r="P104" s="234">
        <v>15.5208333333333</v>
      </c>
      <c r="R104" s="234">
        <v>0.98</v>
      </c>
      <c r="T104" s="234">
        <v>25</v>
      </c>
      <c r="U104" s="234">
        <v>4.5</v>
      </c>
      <c r="AA104" s="234">
        <v>46</v>
      </c>
      <c r="AB104" s="234" t="s">
        <v>542</v>
      </c>
      <c r="AC104" s="234" t="s">
        <v>161</v>
      </c>
      <c r="AD104" s="234" t="s">
        <v>473</v>
      </c>
      <c r="AE104" s="234" t="s">
        <v>526</v>
      </c>
      <c r="AF104" s="234" t="s">
        <v>198</v>
      </c>
      <c r="AG104" s="234" t="s">
        <v>441</v>
      </c>
      <c r="AH104" s="234" t="s">
        <v>474</v>
      </c>
      <c r="AJ104" s="234" t="s">
        <v>473</v>
      </c>
      <c r="AK104" s="234">
        <v>0.98</v>
      </c>
      <c r="AL104" s="234" t="s">
        <v>551</v>
      </c>
      <c r="AM104" s="234">
        <v>2</v>
      </c>
    </row>
    <row r="105" spans="2:39" x14ac:dyDescent="0.3">
      <c r="D105" s="234" t="s">
        <v>28</v>
      </c>
      <c r="F105" s="234" t="s">
        <v>172</v>
      </c>
      <c r="G105" s="234" t="s">
        <v>384</v>
      </c>
      <c r="I105" s="234">
        <v>0.94</v>
      </c>
      <c r="J105" s="234">
        <v>6.0000000000000102E-2</v>
      </c>
      <c r="K105" s="234">
        <v>0.41152263374485598</v>
      </c>
      <c r="N105" s="234">
        <v>9.6850000000000005</v>
      </c>
      <c r="O105" s="234">
        <v>0.16389999999999999</v>
      </c>
      <c r="P105" s="234">
        <v>15.5208333333333</v>
      </c>
      <c r="R105" s="234">
        <v>0.98</v>
      </c>
      <c r="T105" s="234">
        <v>30</v>
      </c>
      <c r="U105" s="234">
        <v>4.5</v>
      </c>
      <c r="AA105" s="234">
        <v>46</v>
      </c>
      <c r="AB105" s="234" t="s">
        <v>542</v>
      </c>
      <c r="AC105" s="234" t="s">
        <v>161</v>
      </c>
      <c r="AD105" s="234" t="s">
        <v>473</v>
      </c>
      <c r="AE105" s="234" t="s">
        <v>526</v>
      </c>
      <c r="AF105" s="234" t="s">
        <v>198</v>
      </c>
      <c r="AG105" s="234" t="s">
        <v>441</v>
      </c>
      <c r="AH105" s="234" t="s">
        <v>474</v>
      </c>
      <c r="AJ105" s="234" t="s">
        <v>473</v>
      </c>
      <c r="AK105" s="234">
        <v>0.98</v>
      </c>
      <c r="AL105" s="234" t="s">
        <v>551</v>
      </c>
      <c r="AM105" s="234">
        <v>2</v>
      </c>
    </row>
    <row r="106" spans="2:39" x14ac:dyDescent="0.3">
      <c r="F106" s="234" t="s">
        <v>172</v>
      </c>
      <c r="G106" s="234" t="s">
        <v>385</v>
      </c>
      <c r="I106" s="234">
        <v>0.94</v>
      </c>
      <c r="J106" s="234">
        <v>6.0000000000000102E-2</v>
      </c>
      <c r="K106" s="234">
        <v>0.41152263374485598</v>
      </c>
      <c r="N106" s="234">
        <v>9.6850000000000005</v>
      </c>
      <c r="O106" s="234">
        <v>0.14899999999999999</v>
      </c>
      <c r="P106" s="234">
        <v>17.5902777777778</v>
      </c>
      <c r="R106" s="234">
        <v>0.98</v>
      </c>
      <c r="T106" s="234">
        <v>30</v>
      </c>
      <c r="U106" s="234">
        <v>4.5</v>
      </c>
      <c r="AA106" s="234">
        <v>46</v>
      </c>
      <c r="AB106" s="234" t="s">
        <v>542</v>
      </c>
      <c r="AC106" s="234" t="s">
        <v>161</v>
      </c>
      <c r="AD106" s="234" t="s">
        <v>473</v>
      </c>
      <c r="AE106" s="234" t="s">
        <v>526</v>
      </c>
      <c r="AF106" s="234" t="s">
        <v>198</v>
      </c>
      <c r="AG106" s="234" t="s">
        <v>441</v>
      </c>
      <c r="AH106" s="234" t="s">
        <v>474</v>
      </c>
      <c r="AJ106" s="234" t="s">
        <v>473</v>
      </c>
      <c r="AK106" s="234">
        <v>0.98</v>
      </c>
      <c r="AL106" s="234" t="s">
        <v>551</v>
      </c>
      <c r="AM106" s="234">
        <v>2</v>
      </c>
    </row>
    <row r="107" spans="2:39" x14ac:dyDescent="0.3">
      <c r="B107" s="234" t="s">
        <v>577</v>
      </c>
      <c r="C107" s="234" t="s">
        <v>544</v>
      </c>
      <c r="D107" s="234" t="s">
        <v>182</v>
      </c>
      <c r="E107" s="234" t="s">
        <v>34</v>
      </c>
      <c r="F107" s="234" t="s">
        <v>172</v>
      </c>
      <c r="G107" s="234" t="s">
        <v>375</v>
      </c>
      <c r="H107" s="234">
        <v>2020</v>
      </c>
      <c r="I107" s="234">
        <v>0.92</v>
      </c>
      <c r="J107" s="234">
        <v>0.08</v>
      </c>
      <c r="K107" s="234">
        <v>0.89285714285714302</v>
      </c>
      <c r="N107" s="234">
        <v>10.43</v>
      </c>
      <c r="O107" s="234">
        <v>0.20860000000000001</v>
      </c>
      <c r="P107" s="234">
        <v>14.4861111111111</v>
      </c>
      <c r="Q107" s="234">
        <v>3.1536000000000002E-2</v>
      </c>
      <c r="R107" s="234">
        <v>0.98</v>
      </c>
      <c r="S107" s="234">
        <v>1</v>
      </c>
      <c r="T107" s="234">
        <v>25</v>
      </c>
      <c r="U107" s="234">
        <v>4.5</v>
      </c>
      <c r="AA107" s="234">
        <v>48</v>
      </c>
      <c r="AB107" s="234" t="s">
        <v>545</v>
      </c>
      <c r="AC107" s="234" t="s">
        <v>161</v>
      </c>
      <c r="AD107" s="234" t="s">
        <v>473</v>
      </c>
      <c r="AE107" s="234" t="s">
        <v>163</v>
      </c>
      <c r="AF107" s="234" t="s">
        <v>198</v>
      </c>
      <c r="AG107" s="234" t="s">
        <v>441</v>
      </c>
      <c r="AH107" s="234" t="s">
        <v>474</v>
      </c>
      <c r="AJ107" s="234" t="s">
        <v>473</v>
      </c>
      <c r="AK107" s="234">
        <v>0.98</v>
      </c>
      <c r="AL107" s="234" t="s">
        <v>551</v>
      </c>
      <c r="AM107" s="234">
        <v>3</v>
      </c>
    </row>
    <row r="108" spans="2:39" x14ac:dyDescent="0.3">
      <c r="D108" s="234" t="s">
        <v>28</v>
      </c>
      <c r="F108" s="234" t="s">
        <v>172</v>
      </c>
      <c r="G108" s="234" t="s">
        <v>383</v>
      </c>
      <c r="I108" s="234">
        <v>0.92</v>
      </c>
      <c r="J108" s="234">
        <v>0.08</v>
      </c>
      <c r="K108" s="234">
        <v>0.89285714285714302</v>
      </c>
      <c r="N108" s="234">
        <v>10.43</v>
      </c>
      <c r="O108" s="234">
        <v>0.20860000000000001</v>
      </c>
      <c r="P108" s="234">
        <v>15.5208333333333</v>
      </c>
      <c r="R108" s="234">
        <v>0.98</v>
      </c>
      <c r="T108" s="234">
        <v>25</v>
      </c>
      <c r="U108" s="234">
        <v>4.5</v>
      </c>
      <c r="AA108" s="234">
        <v>48</v>
      </c>
      <c r="AB108" s="234" t="s">
        <v>545</v>
      </c>
      <c r="AC108" s="234" t="s">
        <v>161</v>
      </c>
      <c r="AD108" s="234" t="s">
        <v>473</v>
      </c>
      <c r="AE108" s="234" t="s">
        <v>163</v>
      </c>
      <c r="AF108" s="234" t="s">
        <v>198</v>
      </c>
      <c r="AG108" s="234" t="s">
        <v>441</v>
      </c>
      <c r="AH108" s="234" t="s">
        <v>474</v>
      </c>
      <c r="AJ108" s="234" t="s">
        <v>473</v>
      </c>
      <c r="AK108" s="234">
        <v>0.98</v>
      </c>
      <c r="AL108" s="234" t="s">
        <v>551</v>
      </c>
      <c r="AM108" s="234">
        <v>3</v>
      </c>
    </row>
    <row r="109" spans="2:39" x14ac:dyDescent="0.3">
      <c r="F109" s="234" t="s">
        <v>172</v>
      </c>
      <c r="G109" s="234" t="s">
        <v>384</v>
      </c>
      <c r="I109" s="234">
        <v>0.94</v>
      </c>
      <c r="J109" s="234">
        <v>6.0000000000000102E-2</v>
      </c>
      <c r="K109" s="234">
        <v>0.89285714285714302</v>
      </c>
      <c r="N109" s="234">
        <v>9.6850000000000005</v>
      </c>
      <c r="O109" s="234">
        <v>0.16389999999999999</v>
      </c>
      <c r="P109" s="234">
        <v>15.5208333333333</v>
      </c>
      <c r="R109" s="234">
        <v>0.98</v>
      </c>
      <c r="T109" s="234">
        <v>30</v>
      </c>
      <c r="U109" s="234">
        <v>4.5</v>
      </c>
      <c r="AA109" s="234">
        <v>48</v>
      </c>
      <c r="AB109" s="234" t="s">
        <v>545</v>
      </c>
      <c r="AC109" s="234" t="s">
        <v>161</v>
      </c>
      <c r="AD109" s="234" t="s">
        <v>473</v>
      </c>
      <c r="AE109" s="234" t="s">
        <v>163</v>
      </c>
      <c r="AF109" s="234" t="s">
        <v>198</v>
      </c>
      <c r="AG109" s="234" t="s">
        <v>441</v>
      </c>
      <c r="AH109" s="234" t="s">
        <v>474</v>
      </c>
      <c r="AJ109" s="234" t="s">
        <v>473</v>
      </c>
      <c r="AK109" s="234">
        <v>0.98</v>
      </c>
      <c r="AL109" s="234" t="s">
        <v>551</v>
      </c>
      <c r="AM109" s="234">
        <v>3</v>
      </c>
    </row>
    <row r="110" spans="2:39" x14ac:dyDescent="0.3">
      <c r="F110" s="234" t="s">
        <v>172</v>
      </c>
      <c r="G110" s="234" t="s">
        <v>385</v>
      </c>
      <c r="I110" s="234">
        <v>0.94</v>
      </c>
      <c r="J110" s="234">
        <v>6.0000000000000102E-2</v>
      </c>
      <c r="K110" s="234">
        <v>0.89285714285714302</v>
      </c>
      <c r="N110" s="234">
        <v>9.6850000000000005</v>
      </c>
      <c r="O110" s="234">
        <v>0.14899999999999999</v>
      </c>
      <c r="P110" s="234">
        <v>17.5902777777778</v>
      </c>
      <c r="R110" s="234">
        <v>0.98</v>
      </c>
      <c r="T110" s="234">
        <v>30</v>
      </c>
      <c r="U110" s="234">
        <v>4.5</v>
      </c>
      <c r="AA110" s="234">
        <v>48</v>
      </c>
      <c r="AB110" s="234" t="s">
        <v>545</v>
      </c>
      <c r="AC110" s="234" t="s">
        <v>161</v>
      </c>
      <c r="AD110" s="234" t="s">
        <v>473</v>
      </c>
      <c r="AE110" s="234" t="s">
        <v>163</v>
      </c>
      <c r="AF110" s="234" t="s">
        <v>198</v>
      </c>
      <c r="AG110" s="234" t="s">
        <v>441</v>
      </c>
      <c r="AH110" s="234" t="s">
        <v>474</v>
      </c>
      <c r="AJ110" s="234" t="s">
        <v>473</v>
      </c>
      <c r="AK110" s="234">
        <v>0.98</v>
      </c>
      <c r="AL110" s="234" t="s">
        <v>551</v>
      </c>
      <c r="AM110" s="234">
        <v>3</v>
      </c>
    </row>
    <row r="111" spans="2:39" x14ac:dyDescent="0.3">
      <c r="B111" s="234" t="s">
        <v>578</v>
      </c>
      <c r="C111" s="234" t="s">
        <v>547</v>
      </c>
      <c r="D111" s="234" t="s">
        <v>184</v>
      </c>
      <c r="E111" s="234" t="s">
        <v>34</v>
      </c>
      <c r="F111" s="234" t="s">
        <v>172</v>
      </c>
      <c r="G111" s="234" t="s">
        <v>375</v>
      </c>
      <c r="H111" s="234">
        <v>2020</v>
      </c>
      <c r="I111" s="234">
        <v>1</v>
      </c>
      <c r="N111" s="234">
        <v>3.64222222222222</v>
      </c>
      <c r="O111" s="234">
        <v>6.7049999999999998E-4</v>
      </c>
      <c r="P111" s="234">
        <v>0.39319444444444501</v>
      </c>
      <c r="Q111" s="234">
        <v>3.1536000000000002E-2</v>
      </c>
      <c r="S111" s="234">
        <v>0.3</v>
      </c>
      <c r="T111" s="234">
        <v>30</v>
      </c>
      <c r="U111" s="234">
        <v>0.25</v>
      </c>
      <c r="AA111" s="234">
        <v>49</v>
      </c>
      <c r="AB111" s="234" t="s">
        <v>548</v>
      </c>
      <c r="AC111" s="234" t="s">
        <v>405</v>
      </c>
      <c r="AD111" s="234" t="s">
        <v>473</v>
      </c>
      <c r="AE111" s="234" t="s">
        <v>405</v>
      </c>
      <c r="AF111" s="234" t="s">
        <v>195</v>
      </c>
      <c r="AG111" s="234" t="s">
        <v>441</v>
      </c>
      <c r="AH111" s="234" t="s">
        <v>474</v>
      </c>
      <c r="AI111" s="234">
        <v>0.114155251141553</v>
      </c>
      <c r="AJ111" s="234" t="s">
        <v>549</v>
      </c>
      <c r="AK111" s="234">
        <v>0.114155251141553</v>
      </c>
      <c r="AL111" s="234" t="s">
        <v>551</v>
      </c>
      <c r="AM111" s="234">
        <v>1</v>
      </c>
    </row>
    <row r="112" spans="2:39" x14ac:dyDescent="0.3">
      <c r="F112" s="234" t="s">
        <v>172</v>
      </c>
      <c r="G112" s="234" t="s">
        <v>383</v>
      </c>
      <c r="I112" s="234">
        <v>1</v>
      </c>
      <c r="N112" s="234">
        <v>3.3702790767620598</v>
      </c>
      <c r="O112" s="234">
        <v>6.7049999999999998E-4</v>
      </c>
      <c r="P112" s="234">
        <v>0.43458333333333299</v>
      </c>
      <c r="T112" s="234">
        <v>30</v>
      </c>
      <c r="U112" s="234">
        <v>0.25</v>
      </c>
      <c r="AA112" s="234">
        <v>49</v>
      </c>
      <c r="AB112" s="234" t="s">
        <v>548</v>
      </c>
      <c r="AC112" s="234" t="s">
        <v>405</v>
      </c>
      <c r="AD112" s="234" t="s">
        <v>473</v>
      </c>
      <c r="AE112" s="234" t="s">
        <v>405</v>
      </c>
      <c r="AF112" s="234" t="s">
        <v>195</v>
      </c>
      <c r="AG112" s="234" t="s">
        <v>441</v>
      </c>
      <c r="AH112" s="234" t="s">
        <v>474</v>
      </c>
      <c r="AI112" s="234">
        <v>0.114155251141553</v>
      </c>
      <c r="AJ112" s="234" t="s">
        <v>549</v>
      </c>
      <c r="AK112" s="234">
        <v>0.114155251141553</v>
      </c>
      <c r="AL112" s="234" t="s">
        <v>551</v>
      </c>
      <c r="AM112" s="234">
        <v>1</v>
      </c>
    </row>
    <row r="113" spans="6:39" x14ac:dyDescent="0.3">
      <c r="F113" s="234" t="s">
        <v>172</v>
      </c>
      <c r="G113" s="234" t="s">
        <v>384</v>
      </c>
      <c r="I113" s="234">
        <v>1</v>
      </c>
      <c r="N113" s="234">
        <v>3.1000548885491299</v>
      </c>
      <c r="O113" s="234">
        <v>5.9599999999999996E-4</v>
      </c>
      <c r="P113" s="234">
        <v>0.62083333333333302</v>
      </c>
      <c r="T113" s="234">
        <v>30</v>
      </c>
      <c r="U113" s="234">
        <v>0.25</v>
      </c>
      <c r="AA113" s="234">
        <v>49</v>
      </c>
      <c r="AB113" s="234" t="s">
        <v>548</v>
      </c>
      <c r="AC113" s="234" t="s">
        <v>405</v>
      </c>
      <c r="AD113" s="234" t="s">
        <v>473</v>
      </c>
      <c r="AE113" s="234" t="s">
        <v>405</v>
      </c>
      <c r="AF113" s="234" t="s">
        <v>195</v>
      </c>
      <c r="AG113" s="234" t="s">
        <v>441</v>
      </c>
      <c r="AH113" s="234" t="s">
        <v>474</v>
      </c>
      <c r="AI113" s="234">
        <v>0.114155251141553</v>
      </c>
      <c r="AJ113" s="234" t="s">
        <v>549</v>
      </c>
      <c r="AK113" s="234">
        <v>0.114155251141553</v>
      </c>
      <c r="AL113" s="234" t="s">
        <v>551</v>
      </c>
      <c r="AM113" s="234">
        <v>1</v>
      </c>
    </row>
    <row r="114" spans="6:39" x14ac:dyDescent="0.3">
      <c r="F114" s="234" t="s">
        <v>172</v>
      </c>
      <c r="G114" s="234" t="s">
        <v>385</v>
      </c>
      <c r="I114" s="234">
        <v>1</v>
      </c>
      <c r="N114" s="234">
        <v>2.8116203829751401</v>
      </c>
      <c r="O114" s="234">
        <v>5.9599999999999996E-4</v>
      </c>
      <c r="P114" s="234">
        <v>0.72430555555555598</v>
      </c>
      <c r="T114" s="234">
        <v>30</v>
      </c>
      <c r="U114" s="234">
        <v>0.25</v>
      </c>
      <c r="AA114" s="234">
        <v>49</v>
      </c>
      <c r="AB114" s="234" t="s">
        <v>548</v>
      </c>
      <c r="AC114" s="234" t="s">
        <v>405</v>
      </c>
      <c r="AD114" s="234" t="s">
        <v>473</v>
      </c>
      <c r="AE114" s="234" t="s">
        <v>405</v>
      </c>
      <c r="AF114" s="234" t="s">
        <v>195</v>
      </c>
      <c r="AG114" s="234" t="s">
        <v>441</v>
      </c>
      <c r="AH114" s="234" t="s">
        <v>474</v>
      </c>
      <c r="AI114" s="234">
        <v>0.114155251141553</v>
      </c>
      <c r="AJ114" s="234" t="s">
        <v>549</v>
      </c>
      <c r="AK114" s="234">
        <v>0.114155251141553</v>
      </c>
      <c r="AL114" s="234" t="s">
        <v>551</v>
      </c>
      <c r="AM114" s="234">
        <v>1</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7">
    <tabColor rgb="FF00B050"/>
  </sheetPr>
  <dimension ref="B1:R68"/>
  <sheetViews>
    <sheetView showGridLines="0" workbookViewId="0">
      <pane ySplit="10" topLeftCell="A11" activePane="bottomLeft" state="frozen"/>
      <selection activeCell="C14" sqref="C14"/>
      <selection pane="bottomLeft" activeCell="F37" sqref="F37"/>
    </sheetView>
  </sheetViews>
  <sheetFormatPr defaultColWidth="9.109375" defaultRowHeight="12.75" customHeight="1" x14ac:dyDescent="0.3"/>
  <cols>
    <col min="1" max="1" width="2.6640625" style="3" customWidth="1"/>
    <col min="2" max="2" width="14.5546875" style="3" customWidth="1"/>
    <col min="3" max="3" width="11.109375" style="3" bestFit="1" customWidth="1"/>
    <col min="4" max="4" width="12.33203125" style="3" bestFit="1" customWidth="1"/>
    <col min="5" max="5" width="27.88671875" style="3" bestFit="1" customWidth="1"/>
    <col min="6" max="6" width="7.88671875" style="3" customWidth="1"/>
    <col min="7" max="7" width="13.88671875" style="3" customWidth="1"/>
    <col min="8" max="8" width="10.6640625" style="3" customWidth="1"/>
    <col min="9" max="9" width="12.5546875" style="3" customWidth="1"/>
    <col min="10" max="10" width="14.33203125" style="3" customWidth="1"/>
    <col min="11" max="16384" width="9.109375" style="3"/>
  </cols>
  <sheetData>
    <row r="1" spans="2:10" ht="12.75" customHeight="1" x14ac:dyDescent="0.3">
      <c r="H1" s="33"/>
    </row>
    <row r="2" spans="2:10" ht="12.75" customHeight="1" x14ac:dyDescent="0.3">
      <c r="B2" s="3" t="s">
        <v>85</v>
      </c>
      <c r="H2" s="33"/>
    </row>
    <row r="3" spans="2:10" ht="12.75" customHeight="1" x14ac:dyDescent="0.3">
      <c r="H3" s="33"/>
    </row>
    <row r="4" spans="2:10" ht="12.75" customHeight="1" x14ac:dyDescent="0.3">
      <c r="B4" s="4" t="s">
        <v>86</v>
      </c>
      <c r="H4" s="33"/>
    </row>
    <row r="5" spans="2:10" ht="12.75" customHeight="1" x14ac:dyDescent="0.3">
      <c r="C5" s="34"/>
    </row>
    <row r="7" spans="2:10" ht="12.75" customHeight="1" x14ac:dyDescent="0.3">
      <c r="E7" s="6"/>
      <c r="F7" s="6"/>
      <c r="G7" s="6"/>
      <c r="H7" s="6"/>
      <c r="I7" s="6"/>
      <c r="J7" s="6"/>
    </row>
    <row r="8" spans="2:10" ht="12.75" customHeight="1" x14ac:dyDescent="0.3">
      <c r="B8" s="44" t="s">
        <v>87</v>
      </c>
      <c r="C8" s="45"/>
      <c r="D8" s="50"/>
      <c r="E8" s="50"/>
      <c r="F8" s="50"/>
      <c r="G8" s="50"/>
      <c r="H8" s="50"/>
      <c r="I8" s="50"/>
      <c r="J8" s="50"/>
    </row>
    <row r="9" spans="2:10" ht="12.75" customHeight="1" x14ac:dyDescent="0.3">
      <c r="B9" s="51" t="s">
        <v>88</v>
      </c>
      <c r="C9" s="47" t="s">
        <v>4</v>
      </c>
      <c r="D9" s="51" t="s">
        <v>89</v>
      </c>
      <c r="E9" s="51" t="s">
        <v>90</v>
      </c>
      <c r="F9" s="52" t="s">
        <v>91</v>
      </c>
      <c r="G9" s="52" t="s">
        <v>92</v>
      </c>
      <c r="H9" s="52" t="s">
        <v>93</v>
      </c>
      <c r="I9" s="52" t="s">
        <v>94</v>
      </c>
      <c r="J9" s="52" t="s">
        <v>95</v>
      </c>
    </row>
    <row r="10" spans="2:10" ht="28.2" thickBot="1" x14ac:dyDescent="0.35">
      <c r="B10" s="53" t="s">
        <v>96</v>
      </c>
      <c r="C10" s="48" t="s">
        <v>54</v>
      </c>
      <c r="D10" s="53" t="s">
        <v>97</v>
      </c>
      <c r="E10" s="53" t="s">
        <v>98</v>
      </c>
      <c r="F10" s="53" t="s">
        <v>91</v>
      </c>
      <c r="G10" s="53" t="s">
        <v>99</v>
      </c>
      <c r="H10" s="53" t="s">
        <v>100</v>
      </c>
      <c r="I10" s="53" t="s">
        <v>101</v>
      </c>
      <c r="J10" s="53" t="s">
        <v>102</v>
      </c>
    </row>
    <row r="11" spans="2:10" ht="12.75" customHeight="1" x14ac:dyDescent="0.3">
      <c r="B11" s="54" t="s">
        <v>103</v>
      </c>
      <c r="C11" s="54"/>
      <c r="D11" s="54" t="s">
        <v>104</v>
      </c>
      <c r="E11" s="54" t="s">
        <v>105</v>
      </c>
      <c r="F11" s="54" t="s">
        <v>106</v>
      </c>
      <c r="G11" s="54"/>
      <c r="H11" s="54" t="s">
        <v>41</v>
      </c>
      <c r="I11" s="54"/>
      <c r="J11" s="54"/>
    </row>
    <row r="12" spans="2:10" s="68" customFormat="1" ht="12.75" customHeight="1" x14ac:dyDescent="0.3">
      <c r="B12" s="58"/>
      <c r="C12" s="58"/>
      <c r="D12" s="58" t="s">
        <v>158</v>
      </c>
      <c r="E12" s="58" t="s">
        <v>159</v>
      </c>
      <c r="F12" s="58" t="s">
        <v>106</v>
      </c>
      <c r="G12" s="58"/>
      <c r="H12" s="58" t="s">
        <v>41</v>
      </c>
      <c r="I12" s="58"/>
      <c r="J12" s="58"/>
    </row>
    <row r="13" spans="2:10" s="68" customFormat="1" ht="12.75" customHeight="1" x14ac:dyDescent="0.3">
      <c r="B13" s="58"/>
      <c r="C13" s="58"/>
      <c r="D13" s="58" t="s">
        <v>582</v>
      </c>
      <c r="E13" s="58" t="s">
        <v>587</v>
      </c>
      <c r="F13" s="58" t="s">
        <v>592</v>
      </c>
      <c r="G13" s="58"/>
      <c r="H13" s="58" t="s">
        <v>41</v>
      </c>
      <c r="I13" s="58"/>
      <c r="J13" s="58"/>
    </row>
    <row r="14" spans="2:10" s="68" customFormat="1" ht="12.75" customHeight="1" x14ac:dyDescent="0.3">
      <c r="B14" s="58"/>
      <c r="C14" s="58"/>
      <c r="D14" s="58" t="s">
        <v>583</v>
      </c>
      <c r="E14" s="58" t="s">
        <v>588</v>
      </c>
      <c r="F14" s="58" t="s">
        <v>592</v>
      </c>
      <c r="G14" s="58"/>
      <c r="H14" s="58" t="s">
        <v>41</v>
      </c>
      <c r="I14" s="58"/>
      <c r="J14" s="58"/>
    </row>
    <row r="15" spans="2:10" s="68" customFormat="1" ht="12.75" customHeight="1" x14ac:dyDescent="0.3">
      <c r="B15" s="58"/>
      <c r="C15" s="58"/>
      <c r="D15" s="58" t="s">
        <v>584</v>
      </c>
      <c r="E15" s="58" t="s">
        <v>589</v>
      </c>
      <c r="F15" s="58" t="s">
        <v>592</v>
      </c>
      <c r="G15" s="58"/>
      <c r="H15" s="58" t="s">
        <v>41</v>
      </c>
      <c r="I15" s="58"/>
      <c r="J15" s="58"/>
    </row>
    <row r="16" spans="2:10" s="68" customFormat="1" ht="12.75" customHeight="1" x14ac:dyDescent="0.3">
      <c r="B16" s="58"/>
      <c r="C16" s="58"/>
      <c r="D16" s="58" t="s">
        <v>585</v>
      </c>
      <c r="E16" s="58" t="s">
        <v>590</v>
      </c>
      <c r="F16" s="58" t="s">
        <v>592</v>
      </c>
      <c r="G16" s="58"/>
      <c r="H16" s="58" t="s">
        <v>41</v>
      </c>
      <c r="I16" s="58"/>
      <c r="J16" s="58"/>
    </row>
    <row r="17" spans="2:18" s="68" customFormat="1" ht="12.75" customHeight="1" x14ac:dyDescent="0.3">
      <c r="B17" s="58"/>
      <c r="C17" s="58"/>
      <c r="D17" s="58" t="s">
        <v>586</v>
      </c>
      <c r="E17" s="58" t="s">
        <v>591</v>
      </c>
      <c r="F17" s="58" t="s">
        <v>592</v>
      </c>
      <c r="G17" s="58"/>
      <c r="H17" s="58" t="s">
        <v>41</v>
      </c>
      <c r="I17" s="58"/>
      <c r="J17" s="58"/>
    </row>
    <row r="18" spans="2:18" ht="12.75" customHeight="1" x14ac:dyDescent="0.3">
      <c r="B18" s="55" t="s">
        <v>107</v>
      </c>
      <c r="C18" s="55"/>
      <c r="D18" s="55" t="s">
        <v>28</v>
      </c>
      <c r="E18" s="55" t="s">
        <v>108</v>
      </c>
      <c r="F18" s="55" t="s">
        <v>62</v>
      </c>
      <c r="G18" s="55"/>
      <c r="H18" s="55" t="s">
        <v>44</v>
      </c>
      <c r="I18" s="55"/>
      <c r="J18" s="55" t="s">
        <v>109</v>
      </c>
      <c r="L18" s="81"/>
      <c r="M18" s="81"/>
      <c r="N18" s="81"/>
      <c r="O18" s="81"/>
      <c r="P18" s="81"/>
      <c r="Q18" s="81"/>
      <c r="R18" s="81"/>
    </row>
    <row r="19" spans="2:18" ht="12.75" customHeight="1" x14ac:dyDescent="0.3">
      <c r="B19" s="56"/>
      <c r="C19" s="56"/>
      <c r="D19" s="56" t="s">
        <v>32</v>
      </c>
      <c r="E19" s="56" t="s">
        <v>110</v>
      </c>
      <c r="F19" s="56" t="s">
        <v>62</v>
      </c>
      <c r="G19" s="56"/>
      <c r="H19" s="56" t="s">
        <v>44</v>
      </c>
      <c r="I19" s="56"/>
      <c r="J19" s="56"/>
      <c r="L19" s="81"/>
      <c r="M19" s="81"/>
      <c r="N19" s="81"/>
      <c r="O19" s="81"/>
      <c r="P19" s="81"/>
      <c r="Q19" s="81"/>
      <c r="R19" s="81"/>
    </row>
    <row r="20" spans="2:18" ht="12.75" customHeight="1" x14ac:dyDescent="0.3">
      <c r="B20" s="57"/>
      <c r="C20" s="57"/>
      <c r="D20" s="57" t="s">
        <v>34</v>
      </c>
      <c r="E20" s="57" t="s">
        <v>111</v>
      </c>
      <c r="F20" s="57" t="s">
        <v>62</v>
      </c>
      <c r="G20" s="57"/>
      <c r="H20" s="57" t="s">
        <v>44</v>
      </c>
      <c r="I20" s="57"/>
      <c r="J20" s="57"/>
      <c r="L20" s="81"/>
      <c r="M20" s="81"/>
      <c r="N20" s="81"/>
      <c r="O20" s="81"/>
      <c r="P20" s="81"/>
      <c r="Q20" s="81"/>
      <c r="R20" s="81"/>
    </row>
    <row r="21" spans="2:18" ht="12.75" customHeight="1" x14ac:dyDescent="0.3">
      <c r="B21" s="58" t="s">
        <v>107</v>
      </c>
      <c r="C21" s="58"/>
      <c r="D21" s="58" t="s">
        <v>29</v>
      </c>
      <c r="E21" s="58" t="s">
        <v>113</v>
      </c>
      <c r="F21" s="58" t="s">
        <v>62</v>
      </c>
      <c r="G21" s="58"/>
      <c r="H21" s="58"/>
      <c r="I21" s="58"/>
      <c r="J21" s="58"/>
      <c r="L21" s="81"/>
      <c r="M21" s="68"/>
      <c r="N21" s="68"/>
      <c r="O21" s="68"/>
      <c r="P21" s="68"/>
      <c r="Q21" s="81"/>
      <c r="R21" s="81"/>
    </row>
    <row r="22" spans="2:18" ht="12.75" customHeight="1" x14ac:dyDescent="0.3">
      <c r="B22" s="58"/>
      <c r="C22" s="58"/>
      <c r="D22" s="58" t="s">
        <v>37</v>
      </c>
      <c r="E22" s="58" t="s">
        <v>145</v>
      </c>
      <c r="F22" s="58" t="s">
        <v>62</v>
      </c>
      <c r="G22" s="58" t="s">
        <v>30</v>
      </c>
      <c r="H22" s="58"/>
      <c r="I22" s="58"/>
      <c r="J22" s="58"/>
      <c r="L22" s="81"/>
      <c r="M22" s="68"/>
      <c r="N22" s="68"/>
      <c r="O22" s="68"/>
      <c r="P22" s="68"/>
      <c r="Q22" s="81"/>
      <c r="R22" s="81"/>
    </row>
    <row r="23" spans="2:18" ht="12.75" customHeight="1" x14ac:dyDescent="0.3">
      <c r="B23" s="58"/>
      <c r="C23" s="58"/>
      <c r="D23" s="58" t="s">
        <v>147</v>
      </c>
      <c r="E23" s="58" t="s">
        <v>156</v>
      </c>
      <c r="F23" s="58" t="s">
        <v>62</v>
      </c>
      <c r="G23" s="58"/>
      <c r="H23" s="58"/>
      <c r="I23" s="58"/>
      <c r="J23" s="58"/>
      <c r="L23" s="81"/>
      <c r="M23" s="68"/>
      <c r="N23" s="68"/>
      <c r="O23" s="68"/>
      <c r="P23" s="68"/>
      <c r="Q23" s="81"/>
      <c r="R23" s="81"/>
    </row>
    <row r="24" spans="2:18" s="68" customFormat="1" ht="12.75" customHeight="1" x14ac:dyDescent="0.3">
      <c r="B24" s="58"/>
      <c r="C24" s="58"/>
      <c r="D24" s="58" t="s">
        <v>36</v>
      </c>
      <c r="E24" s="58" t="s">
        <v>114</v>
      </c>
      <c r="F24" s="58" t="s">
        <v>62</v>
      </c>
      <c r="G24" s="58" t="s">
        <v>30</v>
      </c>
      <c r="H24" s="58"/>
      <c r="I24" s="58"/>
      <c r="J24" s="58"/>
      <c r="L24" s="81"/>
      <c r="Q24" s="81"/>
      <c r="R24" s="81"/>
    </row>
    <row r="25" spans="2:18" ht="12.75" customHeight="1" x14ac:dyDescent="0.3">
      <c r="B25" s="58"/>
      <c r="C25" s="58"/>
      <c r="D25" s="58" t="s">
        <v>33</v>
      </c>
      <c r="E25" s="58" t="s">
        <v>115</v>
      </c>
      <c r="F25" s="58" t="s">
        <v>62</v>
      </c>
      <c r="G25" s="58" t="s">
        <v>30</v>
      </c>
      <c r="H25" s="58"/>
      <c r="I25" s="58"/>
      <c r="J25" s="58"/>
      <c r="L25" s="81"/>
      <c r="M25" s="68"/>
      <c r="N25" s="68"/>
      <c r="O25" s="68"/>
      <c r="P25" s="68"/>
      <c r="Q25" s="81"/>
      <c r="R25" s="81"/>
    </row>
    <row r="26" spans="2:18" ht="12.75" customHeight="1" x14ac:dyDescent="0.3">
      <c r="B26" s="58"/>
      <c r="C26" s="58"/>
      <c r="D26" s="58" t="s">
        <v>38</v>
      </c>
      <c r="E26" s="58" t="s">
        <v>116</v>
      </c>
      <c r="F26" s="58" t="s">
        <v>62</v>
      </c>
      <c r="G26" s="58" t="s">
        <v>30</v>
      </c>
      <c r="H26" s="58"/>
      <c r="I26" s="58"/>
      <c r="J26" s="58"/>
      <c r="L26" s="81"/>
      <c r="M26" s="68"/>
      <c r="N26" s="68"/>
      <c r="O26" s="68"/>
      <c r="P26" s="68"/>
      <c r="Q26" s="81"/>
      <c r="R26" s="81"/>
    </row>
    <row r="27" spans="2:18" ht="12.75" customHeight="1" x14ac:dyDescent="0.3">
      <c r="B27" s="58"/>
      <c r="C27" s="58"/>
      <c r="D27" s="58" t="s">
        <v>35</v>
      </c>
      <c r="E27" s="58" t="s">
        <v>117</v>
      </c>
      <c r="F27" s="58" t="s">
        <v>62</v>
      </c>
      <c r="G27" s="58" t="s">
        <v>118</v>
      </c>
      <c r="H27" s="58"/>
      <c r="I27" s="58"/>
      <c r="J27" s="58"/>
      <c r="L27" s="81"/>
      <c r="M27" s="68"/>
      <c r="N27" s="68"/>
      <c r="O27" s="68"/>
      <c r="P27" s="68"/>
      <c r="Q27" s="81"/>
      <c r="R27" s="81"/>
    </row>
    <row r="28" spans="2:18" ht="12.75" customHeight="1" x14ac:dyDescent="0.3">
      <c r="B28" s="58"/>
      <c r="C28" s="58"/>
      <c r="D28" s="58" t="s">
        <v>119</v>
      </c>
      <c r="E28" s="58" t="s">
        <v>120</v>
      </c>
      <c r="F28" s="58" t="s">
        <v>62</v>
      </c>
      <c r="G28" s="58" t="s">
        <v>30</v>
      </c>
      <c r="H28" s="58"/>
      <c r="I28" s="58"/>
      <c r="J28" s="58"/>
      <c r="L28" s="81"/>
      <c r="M28" s="68"/>
      <c r="N28" s="68"/>
      <c r="O28" s="68"/>
      <c r="P28" s="68"/>
      <c r="Q28" s="81"/>
      <c r="R28" s="81"/>
    </row>
    <row r="29" spans="2:18" ht="12.75" customHeight="1" x14ac:dyDescent="0.3">
      <c r="B29" s="58"/>
      <c r="C29" s="58"/>
      <c r="D29" s="58" t="s">
        <v>121</v>
      </c>
      <c r="E29" s="58" t="s">
        <v>122</v>
      </c>
      <c r="F29" s="58" t="s">
        <v>62</v>
      </c>
      <c r="G29" s="58" t="s">
        <v>30</v>
      </c>
      <c r="H29" s="58"/>
      <c r="I29" s="58"/>
      <c r="J29" s="58"/>
      <c r="L29" s="81"/>
      <c r="M29" s="68"/>
      <c r="N29" s="68"/>
      <c r="O29" s="68"/>
      <c r="P29" s="68"/>
      <c r="Q29" s="81"/>
      <c r="R29" s="81"/>
    </row>
    <row r="30" spans="2:18" ht="12.75" customHeight="1" x14ac:dyDescent="0.3">
      <c r="B30" s="58"/>
      <c r="C30" s="58"/>
      <c r="D30" s="58" t="s">
        <v>31</v>
      </c>
      <c r="E30" s="58" t="s">
        <v>112</v>
      </c>
      <c r="F30" s="58" t="s">
        <v>62</v>
      </c>
      <c r="G30" s="58"/>
      <c r="H30" s="58"/>
      <c r="I30" s="58"/>
      <c r="J30" s="58"/>
      <c r="L30" s="81"/>
      <c r="M30" s="68"/>
      <c r="N30" s="68"/>
      <c r="O30" s="68"/>
      <c r="P30" s="68"/>
      <c r="Q30" s="81"/>
      <c r="R30" s="81"/>
    </row>
    <row r="31" spans="2:18" ht="12.75" customHeight="1" x14ac:dyDescent="0.3">
      <c r="B31" s="58"/>
      <c r="C31" s="58"/>
      <c r="D31" s="58" t="s">
        <v>182</v>
      </c>
      <c r="E31" s="58" t="s">
        <v>191</v>
      </c>
      <c r="F31" s="58" t="s">
        <v>62</v>
      </c>
      <c r="G31" s="58"/>
      <c r="H31" s="58"/>
      <c r="I31" s="58"/>
      <c r="J31" s="58"/>
      <c r="K31" s="68"/>
      <c r="L31" s="81"/>
      <c r="M31" s="68"/>
      <c r="N31" s="68"/>
      <c r="O31" s="68"/>
      <c r="P31" s="68"/>
      <c r="Q31" s="81"/>
      <c r="R31" s="81"/>
    </row>
    <row r="32" spans="2:18" s="68" customFormat="1" ht="12.75" customHeight="1" x14ac:dyDescent="0.3">
      <c r="B32" s="58"/>
      <c r="C32" s="58"/>
      <c r="D32" s="58" t="s">
        <v>184</v>
      </c>
      <c r="E32" s="58" t="s">
        <v>190</v>
      </c>
      <c r="F32" s="58" t="s">
        <v>62</v>
      </c>
      <c r="G32" s="58"/>
      <c r="H32" s="58"/>
      <c r="I32" s="58"/>
      <c r="J32" s="58"/>
      <c r="L32" s="81"/>
      <c r="Q32" s="81"/>
      <c r="R32" s="81"/>
    </row>
    <row r="33" spans="2:18" s="68" customFormat="1" ht="12.75" customHeight="1" x14ac:dyDescent="0.3">
      <c r="B33" s="58"/>
      <c r="C33" s="58"/>
      <c r="D33" s="58" t="s">
        <v>185</v>
      </c>
      <c r="E33" s="58" t="s">
        <v>189</v>
      </c>
      <c r="F33" s="58" t="s">
        <v>62</v>
      </c>
      <c r="G33" s="58"/>
      <c r="H33" s="58"/>
      <c r="I33" s="58"/>
      <c r="J33" s="58"/>
      <c r="L33" s="81"/>
      <c r="Q33" s="81"/>
      <c r="R33" s="81"/>
    </row>
    <row r="34" spans="2:18" s="68" customFormat="1" ht="12.75" customHeight="1" x14ac:dyDescent="0.3">
      <c r="B34" s="58"/>
      <c r="C34" s="58"/>
      <c r="D34" s="58" t="s">
        <v>186</v>
      </c>
      <c r="E34" s="58" t="s">
        <v>192</v>
      </c>
      <c r="F34" s="58" t="s">
        <v>62</v>
      </c>
      <c r="G34" s="58"/>
      <c r="H34" s="58"/>
      <c r="I34" s="58"/>
      <c r="J34" s="58"/>
      <c r="L34" s="81"/>
      <c r="Q34" s="81"/>
      <c r="R34" s="81"/>
    </row>
    <row r="35" spans="2:18" s="68" customFormat="1" ht="12.75" customHeight="1" x14ac:dyDescent="0.3">
      <c r="B35" s="58"/>
      <c r="C35" s="58"/>
      <c r="D35" s="120" t="s">
        <v>215</v>
      </c>
      <c r="E35" s="120" t="s">
        <v>217</v>
      </c>
      <c r="F35" s="120" t="s">
        <v>62</v>
      </c>
      <c r="G35" s="58"/>
      <c r="H35" s="58"/>
      <c r="I35" s="58"/>
      <c r="J35" s="58"/>
      <c r="L35" s="81"/>
      <c r="Q35" s="81"/>
      <c r="R35" s="81"/>
    </row>
    <row r="36" spans="2:18" ht="12.75" customHeight="1" x14ac:dyDescent="0.3">
      <c r="B36" s="58"/>
      <c r="C36" s="58"/>
      <c r="D36" s="58" t="s">
        <v>183</v>
      </c>
      <c r="E36" s="58" t="s">
        <v>187</v>
      </c>
      <c r="F36" s="58" t="s">
        <v>62</v>
      </c>
      <c r="G36" s="58"/>
      <c r="H36" s="58"/>
      <c r="I36" s="58"/>
      <c r="J36" s="58"/>
      <c r="K36" s="68"/>
      <c r="M36" s="68"/>
      <c r="N36" s="68"/>
      <c r="O36" s="68"/>
      <c r="P36" s="68"/>
    </row>
    <row r="37" spans="2:18" ht="12.75" customHeight="1" x14ac:dyDescent="0.3">
      <c r="B37" s="58"/>
      <c r="C37" s="58"/>
      <c r="D37" s="58" t="s">
        <v>181</v>
      </c>
      <c r="E37" s="58" t="s">
        <v>188</v>
      </c>
      <c r="F37" s="58" t="s">
        <v>62</v>
      </c>
      <c r="G37" s="58"/>
      <c r="H37" s="58"/>
      <c r="I37" s="58"/>
      <c r="J37" s="58"/>
      <c r="K37" s="68"/>
    </row>
    <row r="38" spans="2:18" ht="12.75" customHeight="1" x14ac:dyDescent="0.3">
      <c r="B38" s="58"/>
      <c r="C38" s="58"/>
      <c r="D38" s="58" t="s">
        <v>518</v>
      </c>
      <c r="E38" s="58" t="s">
        <v>628</v>
      </c>
      <c r="F38" s="58" t="s">
        <v>62</v>
      </c>
      <c r="G38" s="58"/>
      <c r="H38" s="58"/>
      <c r="I38" s="58"/>
      <c r="J38" s="58"/>
    </row>
    <row r="39" spans="2:18" ht="12.75" customHeight="1" x14ac:dyDescent="0.3">
      <c r="B39" s="68"/>
      <c r="C39" s="68"/>
      <c r="D39" s="121" t="s">
        <v>218</v>
      </c>
      <c r="E39" s="121" t="s">
        <v>219</v>
      </c>
      <c r="F39" s="121" t="s">
        <v>62</v>
      </c>
      <c r="G39" s="68"/>
      <c r="H39" s="68"/>
      <c r="I39" s="68"/>
      <c r="J39" s="68"/>
    </row>
    <row r="41" spans="2:18" ht="12.75" customHeight="1" x14ac:dyDescent="0.3">
      <c r="B41" s="68"/>
      <c r="C41" s="68"/>
      <c r="D41" s="68"/>
      <c r="F41" s="68"/>
      <c r="G41" s="68"/>
      <c r="H41" s="68"/>
      <c r="I41" s="68"/>
      <c r="J41" s="68"/>
    </row>
    <row r="42" spans="2:18" ht="12.75" customHeight="1" x14ac:dyDescent="0.3">
      <c r="B42" s="68"/>
      <c r="C42" s="68"/>
      <c r="D42" s="68"/>
      <c r="E42" s="68"/>
      <c r="F42" s="68"/>
      <c r="G42" s="68"/>
      <c r="H42" s="68"/>
      <c r="I42" s="68"/>
      <c r="J42" s="68"/>
    </row>
    <row r="43" spans="2:18" ht="12.75" customHeight="1" x14ac:dyDescent="0.3">
      <c r="B43" s="68"/>
      <c r="C43" s="68"/>
      <c r="D43" s="68"/>
      <c r="E43" s="68"/>
      <c r="F43" s="68"/>
      <c r="G43" s="68"/>
      <c r="H43" s="68"/>
      <c r="I43" s="68"/>
      <c r="J43" s="68"/>
    </row>
    <row r="44" spans="2:18" ht="12.75" customHeight="1" x14ac:dyDescent="0.3">
      <c r="B44" s="68"/>
      <c r="C44" s="68"/>
      <c r="D44" s="68"/>
      <c r="E44" s="68"/>
      <c r="F44" s="68"/>
      <c r="G44" s="68"/>
      <c r="H44" s="68"/>
      <c r="I44" s="68"/>
      <c r="J44" s="68"/>
    </row>
    <row r="45" spans="2:18" ht="12.75" customHeight="1" x14ac:dyDescent="0.3">
      <c r="B45" s="68"/>
      <c r="C45" s="68"/>
      <c r="D45" s="68"/>
      <c r="E45" s="68"/>
      <c r="F45" s="68"/>
      <c r="G45" s="68"/>
      <c r="H45" s="68"/>
      <c r="I45" s="68"/>
      <c r="J45" s="68"/>
    </row>
    <row r="46" spans="2:18" ht="12.75" customHeight="1" x14ac:dyDescent="0.3">
      <c r="B46" s="68"/>
      <c r="C46" s="68"/>
      <c r="D46" s="68"/>
      <c r="E46" s="68"/>
      <c r="F46" s="68"/>
      <c r="G46" s="68"/>
      <c r="H46" s="68"/>
      <c r="I46" s="68"/>
      <c r="J46" s="68"/>
    </row>
    <row r="47" spans="2:18" ht="12.75" customHeight="1" x14ac:dyDescent="0.3">
      <c r="B47" s="68"/>
      <c r="C47" s="68"/>
      <c r="D47" s="68"/>
      <c r="E47" s="68"/>
      <c r="F47" s="68"/>
      <c r="G47" s="68"/>
      <c r="H47" s="68"/>
      <c r="I47" s="68"/>
      <c r="J47" s="68"/>
    </row>
    <row r="48" spans="2:18" ht="12.75" customHeight="1" x14ac:dyDescent="0.3">
      <c r="B48" s="68"/>
      <c r="C48" s="68"/>
      <c r="D48" s="68"/>
      <c r="E48" s="68"/>
      <c r="F48" s="68"/>
      <c r="G48" s="68"/>
      <c r="H48" s="68"/>
      <c r="I48" s="68"/>
      <c r="J48" s="68"/>
    </row>
    <row r="49" spans="2:10" ht="12.75" customHeight="1" x14ac:dyDescent="0.3">
      <c r="B49" s="68"/>
      <c r="C49" s="68"/>
      <c r="D49" s="68"/>
      <c r="E49" s="68"/>
      <c r="F49" s="68"/>
      <c r="G49" s="68"/>
      <c r="H49" s="68"/>
      <c r="I49" s="68"/>
      <c r="J49" s="68"/>
    </row>
    <row r="50" spans="2:10" ht="12.75" customHeight="1" x14ac:dyDescent="0.3">
      <c r="B50" s="68"/>
      <c r="C50" s="68"/>
      <c r="D50" s="68"/>
      <c r="E50" s="68"/>
      <c r="F50" s="68"/>
      <c r="G50" s="68"/>
      <c r="H50" s="68"/>
      <c r="I50" s="68"/>
      <c r="J50" s="68"/>
    </row>
    <row r="51" spans="2:10" ht="12.75" customHeight="1" x14ac:dyDescent="0.3">
      <c r="B51" s="68"/>
      <c r="C51" s="68"/>
      <c r="D51" s="68"/>
      <c r="E51" s="68"/>
      <c r="F51" s="68"/>
      <c r="G51" s="68"/>
      <c r="H51" s="68"/>
      <c r="I51" s="68"/>
      <c r="J51" s="68"/>
    </row>
    <row r="52" spans="2:10" ht="12.75" customHeight="1" x14ac:dyDescent="0.3">
      <c r="B52" s="68"/>
      <c r="C52" s="68"/>
      <c r="D52" s="68"/>
      <c r="E52" s="68"/>
      <c r="F52" s="68"/>
      <c r="G52" s="68"/>
      <c r="H52" s="68"/>
      <c r="I52" s="68"/>
      <c r="J52" s="68"/>
    </row>
    <row r="53" spans="2:10" ht="12.75" customHeight="1" x14ac:dyDescent="0.3">
      <c r="B53" s="68"/>
      <c r="C53" s="68"/>
      <c r="D53" s="68"/>
      <c r="E53" s="68"/>
      <c r="F53" s="68"/>
      <c r="G53" s="68"/>
      <c r="H53" s="68"/>
      <c r="I53" s="68"/>
      <c r="J53" s="68"/>
    </row>
    <row r="54" spans="2:10" ht="12.75" customHeight="1" x14ac:dyDescent="0.3">
      <c r="B54" s="68"/>
      <c r="C54" s="68"/>
      <c r="D54" s="68"/>
      <c r="E54" s="68"/>
      <c r="F54" s="68"/>
      <c r="G54" s="68"/>
      <c r="H54" s="68"/>
      <c r="I54" s="68"/>
      <c r="J54" s="68"/>
    </row>
    <row r="55" spans="2:10" ht="12.75" customHeight="1" x14ac:dyDescent="0.3">
      <c r="B55" s="68"/>
      <c r="C55" s="68"/>
      <c r="D55" s="68"/>
      <c r="E55" s="68"/>
      <c r="F55" s="68"/>
      <c r="G55" s="68"/>
      <c r="H55" s="68"/>
      <c r="I55" s="68"/>
      <c r="J55" s="68"/>
    </row>
    <row r="56" spans="2:10" ht="12.75" customHeight="1" x14ac:dyDescent="0.3">
      <c r="B56" s="68"/>
      <c r="C56" s="68"/>
      <c r="D56" s="68"/>
      <c r="E56" s="68"/>
      <c r="F56" s="68"/>
      <c r="G56" s="68"/>
      <c r="H56" s="68"/>
      <c r="I56" s="68"/>
      <c r="J56" s="68"/>
    </row>
    <row r="57" spans="2:10" ht="12.75" customHeight="1" x14ac:dyDescent="0.3">
      <c r="B57" s="68"/>
      <c r="C57" s="68"/>
      <c r="D57" s="68"/>
      <c r="E57" s="68"/>
      <c r="F57" s="68"/>
      <c r="G57" s="68"/>
      <c r="H57" s="68"/>
      <c r="I57" s="68"/>
      <c r="J57" s="68"/>
    </row>
    <row r="58" spans="2:10" ht="12.75" customHeight="1" x14ac:dyDescent="0.3">
      <c r="B58" s="68"/>
      <c r="C58" s="68"/>
      <c r="D58" s="68"/>
      <c r="E58" s="68"/>
      <c r="F58" s="68"/>
      <c r="G58" s="68"/>
      <c r="H58" s="68"/>
      <c r="I58" s="68"/>
      <c r="J58" s="68"/>
    </row>
    <row r="59" spans="2:10" ht="12.75" customHeight="1" x14ac:dyDescent="0.3">
      <c r="B59" s="68"/>
      <c r="C59" s="68"/>
      <c r="D59" s="68"/>
      <c r="E59" s="68"/>
      <c r="F59" s="68"/>
      <c r="G59" s="68"/>
      <c r="H59" s="68"/>
      <c r="I59" s="68"/>
      <c r="J59" s="68"/>
    </row>
    <row r="60" spans="2:10" ht="12.75" customHeight="1" x14ac:dyDescent="0.3">
      <c r="B60" s="68"/>
      <c r="C60" s="68"/>
      <c r="D60" s="68"/>
      <c r="E60" s="68"/>
      <c r="F60" s="68"/>
      <c r="G60" s="68"/>
      <c r="H60" s="68"/>
      <c r="I60" s="68"/>
      <c r="J60" s="68"/>
    </row>
    <row r="61" spans="2:10" ht="12.75" customHeight="1" x14ac:dyDescent="0.3">
      <c r="B61" s="68"/>
      <c r="C61" s="68"/>
      <c r="D61" s="68"/>
      <c r="E61" s="68"/>
      <c r="F61" s="68"/>
      <c r="G61" s="68"/>
      <c r="H61" s="68"/>
      <c r="I61" s="68"/>
      <c r="J61" s="68"/>
    </row>
    <row r="62" spans="2:10" ht="12.75" customHeight="1" x14ac:dyDescent="0.3">
      <c r="B62" s="68"/>
      <c r="C62" s="68"/>
      <c r="D62" s="68"/>
      <c r="E62" s="68"/>
      <c r="F62" s="68"/>
      <c r="G62" s="68"/>
      <c r="H62" s="68"/>
      <c r="I62" s="68"/>
      <c r="J62" s="68"/>
    </row>
    <row r="63" spans="2:10" ht="12.75" customHeight="1" x14ac:dyDescent="0.3">
      <c r="B63" s="68"/>
      <c r="C63" s="68"/>
      <c r="D63" s="68"/>
      <c r="E63" s="68"/>
      <c r="F63" s="68"/>
      <c r="G63" s="68"/>
      <c r="H63" s="68"/>
      <c r="I63" s="68"/>
      <c r="J63" s="68"/>
    </row>
    <row r="64" spans="2:10" ht="12.75" customHeight="1" x14ac:dyDescent="0.3">
      <c r="B64" s="68"/>
      <c r="C64" s="68"/>
      <c r="D64" s="68"/>
      <c r="E64" s="68"/>
      <c r="F64" s="68"/>
      <c r="G64" s="68"/>
      <c r="H64" s="68"/>
      <c r="I64" s="68"/>
      <c r="J64" s="68"/>
    </row>
    <row r="65" spans="2:10" ht="12.75" customHeight="1" x14ac:dyDescent="0.3">
      <c r="B65" s="68"/>
      <c r="C65" s="68"/>
      <c r="D65" s="68"/>
      <c r="E65" s="68"/>
      <c r="F65" s="68"/>
      <c r="G65" s="68"/>
      <c r="H65" s="68"/>
      <c r="I65" s="68"/>
      <c r="J65" s="68"/>
    </row>
    <row r="66" spans="2:10" ht="12.75" customHeight="1" x14ac:dyDescent="0.3">
      <c r="B66" s="68"/>
      <c r="C66" s="68"/>
      <c r="D66" s="68"/>
      <c r="E66" s="68"/>
      <c r="F66" s="68"/>
      <c r="G66" s="68"/>
      <c r="H66" s="68"/>
      <c r="I66" s="68"/>
      <c r="J66" s="68"/>
    </row>
    <row r="67" spans="2:10" ht="12.75" customHeight="1" x14ac:dyDescent="0.3">
      <c r="B67" s="68"/>
      <c r="C67" s="68"/>
      <c r="D67" s="68"/>
      <c r="E67" s="68"/>
      <c r="F67" s="68"/>
      <c r="G67" s="68"/>
      <c r="H67" s="68"/>
      <c r="I67" s="68"/>
      <c r="J67" s="68"/>
    </row>
    <row r="68" spans="2:10" ht="12.75" customHeight="1" x14ac:dyDescent="0.3">
      <c r="B68" s="68"/>
      <c r="C68" s="68"/>
      <c r="D68" s="68"/>
      <c r="E68" s="68"/>
      <c r="F68" s="68"/>
      <c r="G68" s="68"/>
      <c r="H68" s="68"/>
      <c r="I68" s="68"/>
      <c r="J68" s="6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6">
    <tabColor rgb="FF00B050"/>
  </sheetPr>
  <dimension ref="B1:R109"/>
  <sheetViews>
    <sheetView showGridLines="0" zoomScale="80" zoomScaleNormal="80" workbookViewId="0">
      <pane ySplit="10" topLeftCell="A38" activePane="bottomLeft" state="frozen"/>
      <selection activeCell="C14" sqref="C14"/>
      <selection pane="bottomLeft" activeCell="D48" sqref="D48"/>
    </sheetView>
  </sheetViews>
  <sheetFormatPr defaultColWidth="9.109375" defaultRowHeight="12.75" customHeight="1" x14ac:dyDescent="0.3"/>
  <cols>
    <col min="1" max="1" width="2.6640625" style="3" customWidth="1"/>
    <col min="2" max="2" width="12.5546875" style="3" customWidth="1"/>
    <col min="3" max="3" width="10.44140625" style="3" customWidth="1"/>
    <col min="4" max="4" width="23.88671875" style="3" customWidth="1"/>
    <col min="5" max="5" width="59.109375" style="3" customWidth="1"/>
    <col min="6" max="6" width="8.33203125" style="3" customWidth="1"/>
    <col min="7" max="7" width="9.5546875" style="3" customWidth="1"/>
    <col min="8" max="8" width="15.5546875" style="3" customWidth="1"/>
    <col min="9" max="9" width="15.44140625" style="3" customWidth="1"/>
    <col min="10" max="10" width="10" style="3" customWidth="1"/>
    <col min="11" max="11" width="9.109375" style="3"/>
    <col min="12" max="12" width="8.88671875" style="3" customWidth="1"/>
    <col min="13" max="13" width="19.88671875" style="3" customWidth="1"/>
    <col min="14" max="16384" width="9.109375" style="3"/>
  </cols>
  <sheetData>
    <row r="1" spans="2:18" ht="12.75" customHeight="1" x14ac:dyDescent="0.3">
      <c r="H1" s="33"/>
      <c r="I1" s="33"/>
      <c r="J1" s="33"/>
    </row>
    <row r="2" spans="2:18" ht="12.75" customHeight="1" x14ac:dyDescent="0.3">
      <c r="B2" s="3" t="s">
        <v>42</v>
      </c>
      <c r="H2" s="33"/>
      <c r="I2" s="25"/>
      <c r="J2" s="25"/>
    </row>
    <row r="3" spans="2:18" ht="12.75" customHeight="1" x14ac:dyDescent="0.3">
      <c r="H3" s="33"/>
      <c r="I3" s="25"/>
      <c r="J3" s="25"/>
    </row>
    <row r="4" spans="2:18" ht="12.75" customHeight="1" x14ac:dyDescent="0.3">
      <c r="B4" s="4" t="s">
        <v>43</v>
      </c>
      <c r="H4" s="33"/>
      <c r="I4" s="25"/>
      <c r="J4" s="25"/>
    </row>
    <row r="5" spans="2:18" ht="12.75" customHeight="1" x14ac:dyDescent="0.3">
      <c r="D5" s="68"/>
      <c r="E5" s="68"/>
      <c r="H5" s="25"/>
      <c r="I5" s="25"/>
      <c r="J5" s="25"/>
    </row>
    <row r="6" spans="2:18" ht="12.75" customHeight="1" x14ac:dyDescent="0.3">
      <c r="D6" s="68"/>
      <c r="E6" s="68"/>
    </row>
    <row r="8" spans="2:18" ht="12.75" customHeight="1" x14ac:dyDescent="0.3">
      <c r="B8" s="44" t="s">
        <v>45</v>
      </c>
      <c r="C8" s="45"/>
      <c r="D8" s="46"/>
      <c r="E8" s="46"/>
      <c r="F8" s="46"/>
      <c r="G8" s="46"/>
      <c r="H8" s="46"/>
      <c r="I8" s="46"/>
      <c r="J8" s="46"/>
    </row>
    <row r="9" spans="2:18" ht="12.75" customHeight="1" x14ac:dyDescent="0.3">
      <c r="B9" s="47" t="s">
        <v>46</v>
      </c>
      <c r="C9" s="47" t="s">
        <v>4</v>
      </c>
      <c r="D9" s="47" t="s">
        <v>2</v>
      </c>
      <c r="E9" s="47" t="s">
        <v>47</v>
      </c>
      <c r="F9" s="47" t="s">
        <v>48</v>
      </c>
      <c r="G9" s="47" t="s">
        <v>49</v>
      </c>
      <c r="H9" s="47" t="s">
        <v>50</v>
      </c>
      <c r="I9" s="47" t="s">
        <v>51</v>
      </c>
      <c r="J9" s="47" t="s">
        <v>52</v>
      </c>
    </row>
    <row r="10" spans="2:18" ht="42" thickBot="1" x14ac:dyDescent="0.35">
      <c r="B10" s="48" t="s">
        <v>53</v>
      </c>
      <c r="C10" s="48" t="s">
        <v>54</v>
      </c>
      <c r="D10" s="48" t="s">
        <v>55</v>
      </c>
      <c r="E10" s="48" t="s">
        <v>56</v>
      </c>
      <c r="F10" s="48" t="s">
        <v>57</v>
      </c>
      <c r="G10" s="48" t="s">
        <v>58</v>
      </c>
      <c r="H10" s="48" t="s">
        <v>59</v>
      </c>
      <c r="I10" s="48" t="s">
        <v>60</v>
      </c>
      <c r="J10" s="48" t="s">
        <v>61</v>
      </c>
      <c r="L10" s="68"/>
      <c r="M10" s="68"/>
      <c r="N10" s="68"/>
      <c r="O10" s="68"/>
    </row>
    <row r="11" spans="2:18" s="68" customFormat="1" ht="12.75" customHeight="1" x14ac:dyDescent="0.3">
      <c r="B11" s="79" t="s">
        <v>63</v>
      </c>
      <c r="C11" s="79" t="str">
        <f>Tech!D10</f>
        <v>AZ1</v>
      </c>
      <c r="D11" s="79" t="str">
        <f>Tech!B10</f>
        <v>ETNGATPPTP1E</v>
      </c>
      <c r="E11" s="79" t="str">
        <f>Tech!C10</f>
        <v>TPP</v>
      </c>
      <c r="F11" s="68" t="s">
        <v>62</v>
      </c>
      <c r="G11" s="79" t="s">
        <v>26</v>
      </c>
      <c r="H11" s="46" t="s">
        <v>44</v>
      </c>
      <c r="I11" s="46"/>
      <c r="J11" s="46"/>
    </row>
    <row r="12" spans="2:18" s="68" customFormat="1" ht="12.75" customHeight="1" x14ac:dyDescent="0.3">
      <c r="B12" s="79" t="s">
        <v>63</v>
      </c>
      <c r="C12" s="79" t="str">
        <f>Tech!D11</f>
        <v>AZ1</v>
      </c>
      <c r="D12" s="79" t="str">
        <f>Tech!B11</f>
        <v>ETNGACPPJa1E</v>
      </c>
      <c r="E12" s="79" t="str">
        <f>Tech!C11</f>
        <v>Janub CCPP</v>
      </c>
      <c r="F12" s="68" t="s">
        <v>62</v>
      </c>
      <c r="G12" s="79" t="s">
        <v>26</v>
      </c>
      <c r="H12" s="46" t="s">
        <v>44</v>
      </c>
      <c r="I12" s="46"/>
      <c r="J12" s="46"/>
    </row>
    <row r="13" spans="2:18" ht="12.75" customHeight="1" x14ac:dyDescent="0.3">
      <c r="B13" s="79" t="s">
        <v>63</v>
      </c>
      <c r="C13" s="79" t="str">
        <f>Tech!D12</f>
        <v>AZ1</v>
      </c>
      <c r="D13" s="79" t="str">
        <f>Tech!B12</f>
        <v>ETNGACPPSu1E</v>
      </c>
      <c r="E13" s="79" t="str">
        <f>Tech!C12</f>
        <v>Sumgait CCPP</v>
      </c>
      <c r="F13" s="3" t="s">
        <v>62</v>
      </c>
      <c r="G13" s="79" t="s">
        <v>26</v>
      </c>
      <c r="H13" s="46" t="s">
        <v>44</v>
      </c>
      <c r="I13" s="46"/>
      <c r="J13" s="46"/>
      <c r="L13" s="68"/>
      <c r="M13" s="68"/>
      <c r="N13" s="68"/>
      <c r="O13" s="68"/>
    </row>
    <row r="14" spans="2:18" ht="12.75" customHeight="1" x14ac:dyDescent="0.3">
      <c r="B14" s="79" t="s">
        <v>63</v>
      </c>
      <c r="C14" s="79" t="str">
        <f>Tech!D13</f>
        <v>AZ1</v>
      </c>
      <c r="D14" s="79" t="str">
        <f>Tech!B13</f>
        <v>ETNGACPPSh1E</v>
      </c>
      <c r="E14" s="79" t="str">
        <f>Tech!C13</f>
        <v>Shimal 1 CCPP</v>
      </c>
      <c r="F14" s="3" t="s">
        <v>62</v>
      </c>
      <c r="G14" s="79" t="s">
        <v>26</v>
      </c>
      <c r="H14" s="46" t="s">
        <v>44</v>
      </c>
      <c r="I14" s="46"/>
      <c r="J14" s="46"/>
      <c r="L14" s="68"/>
      <c r="M14" s="68"/>
      <c r="N14" s="68"/>
      <c r="O14" s="68"/>
      <c r="P14" s="68"/>
    </row>
    <row r="15" spans="2:18" ht="12.75" customHeight="1" x14ac:dyDescent="0.3">
      <c r="B15" s="79" t="s">
        <v>63</v>
      </c>
      <c r="C15" s="79" t="str">
        <f>Tech!D14</f>
        <v>AZ1</v>
      </c>
      <c r="D15" s="79" t="str">
        <f>Tech!B14</f>
        <v>ETNGACPPSh2E</v>
      </c>
      <c r="E15" s="79" t="str">
        <f>Tech!C14</f>
        <v>Shimal 2  CCPP</v>
      </c>
      <c r="F15" s="3" t="s">
        <v>62</v>
      </c>
      <c r="G15" s="79" t="s">
        <v>26</v>
      </c>
      <c r="H15" s="46" t="s">
        <v>44</v>
      </c>
      <c r="I15" s="46"/>
      <c r="J15" s="46"/>
      <c r="L15" s="68"/>
      <c r="M15" s="68"/>
      <c r="N15" s="68"/>
      <c r="O15" s="68"/>
      <c r="P15" s="68"/>
      <c r="Q15" s="68"/>
      <c r="R15" s="68"/>
    </row>
    <row r="16" spans="2:18" ht="12.75" customHeight="1" x14ac:dyDescent="0.3">
      <c r="B16" s="79" t="s">
        <v>64</v>
      </c>
      <c r="C16" s="79" t="str">
        <f>Tech!D15</f>
        <v>AZ1</v>
      </c>
      <c r="D16" s="79" t="str">
        <f>Tech!B15</f>
        <v>ECNGACHPBa1E</v>
      </c>
      <c r="E16" s="79" t="str">
        <f>Tech!C15</f>
        <v>Baku CHP</v>
      </c>
      <c r="F16" s="3" t="s">
        <v>62</v>
      </c>
      <c r="G16" s="79" t="s">
        <v>26</v>
      </c>
      <c r="H16" s="46" t="s">
        <v>44</v>
      </c>
      <c r="I16" s="46"/>
      <c r="J16" s="46"/>
      <c r="L16" s="68"/>
      <c r="M16" s="68"/>
      <c r="N16" s="68"/>
      <c r="O16" s="68"/>
      <c r="P16" s="68"/>
      <c r="Q16" s="68"/>
      <c r="R16" s="68"/>
    </row>
    <row r="17" spans="2:18" ht="12.75" customHeight="1" x14ac:dyDescent="0.3">
      <c r="B17" s="79" t="s">
        <v>63</v>
      </c>
      <c r="C17" s="79" t="str">
        <f>Tech!D17</f>
        <v>AZ1</v>
      </c>
      <c r="D17" s="79" t="str">
        <f>Tech!B17</f>
        <v>ETNGATPPBa1E</v>
      </c>
      <c r="E17" s="79" t="str">
        <f>Tech!C17</f>
        <v>Baku TPP</v>
      </c>
      <c r="F17" s="3" t="s">
        <v>62</v>
      </c>
      <c r="G17" s="93" t="s">
        <v>26</v>
      </c>
      <c r="H17" s="46" t="s">
        <v>44</v>
      </c>
      <c r="I17" s="93"/>
      <c r="J17" s="46"/>
      <c r="L17" s="68"/>
      <c r="M17" s="68"/>
      <c r="N17" s="68"/>
      <c r="O17" s="68"/>
      <c r="P17" s="68"/>
      <c r="Q17" s="68"/>
      <c r="R17" s="68"/>
    </row>
    <row r="18" spans="2:18" ht="12.75" customHeight="1" x14ac:dyDescent="0.3">
      <c r="B18" s="79" t="s">
        <v>63</v>
      </c>
      <c r="C18" s="79" t="str">
        <f>Tech!D18</f>
        <v>AZ1</v>
      </c>
      <c r="D18" s="79" t="str">
        <f>Tech!B18</f>
        <v>ETNGATPPOt1E</v>
      </c>
      <c r="E18" s="79" t="str">
        <f>Tech!C18</f>
        <v>Other TPP</v>
      </c>
      <c r="F18" s="3" t="s">
        <v>62</v>
      </c>
      <c r="G18" s="93" t="s">
        <v>26</v>
      </c>
      <c r="H18" s="46" t="s">
        <v>44</v>
      </c>
      <c r="I18" s="93"/>
      <c r="J18" s="46"/>
      <c r="L18" s="68"/>
      <c r="M18" s="68"/>
      <c r="N18" s="68"/>
      <c r="O18" s="68"/>
      <c r="P18" s="68"/>
      <c r="Q18" s="68"/>
      <c r="R18" s="68"/>
    </row>
    <row r="19" spans="2:18" s="68" customFormat="1" ht="12.75" customHeight="1" x14ac:dyDescent="0.3">
      <c r="B19" s="79" t="s">
        <v>63</v>
      </c>
      <c r="C19" s="79" t="str">
        <f>Tech!D19</f>
        <v>AZ1</v>
      </c>
      <c r="D19" s="79" t="str">
        <f>Tech!B19</f>
        <v>ERHYDHPPMi1E</v>
      </c>
      <c r="E19" s="79" t="str">
        <f>Tech!C19</f>
        <v>Mingachevir HPP</v>
      </c>
      <c r="F19" s="68" t="s">
        <v>62</v>
      </c>
      <c r="G19" s="93" t="s">
        <v>26</v>
      </c>
      <c r="H19" s="46" t="s">
        <v>44</v>
      </c>
      <c r="I19" s="93"/>
      <c r="J19" s="46"/>
    </row>
    <row r="20" spans="2:18" s="68" customFormat="1" ht="12.75" customHeight="1" x14ac:dyDescent="0.3">
      <c r="B20" s="79" t="s">
        <v>63</v>
      </c>
      <c r="C20" s="79" t="str">
        <f>Tech!D20</f>
        <v>AZ1</v>
      </c>
      <c r="D20" s="79" t="str">
        <f>Tech!B20</f>
        <v>ERHYDHPPSh1E</v>
      </c>
      <c r="E20" s="79" t="str">
        <f>Tech!C20</f>
        <v>Shamkir  HPP</v>
      </c>
      <c r="F20" s="68" t="s">
        <v>62</v>
      </c>
      <c r="G20" s="93" t="s">
        <v>26</v>
      </c>
      <c r="H20" s="46" t="s">
        <v>44</v>
      </c>
      <c r="I20" s="93"/>
      <c r="J20" s="46"/>
    </row>
    <row r="21" spans="2:18" s="68" customFormat="1" ht="12.75" customHeight="1" x14ac:dyDescent="0.3">
      <c r="B21" s="79" t="s">
        <v>63</v>
      </c>
      <c r="C21" s="79" t="str">
        <f>Tech!D21</f>
        <v>AZ1</v>
      </c>
      <c r="D21" s="79" t="str">
        <f>Tech!B21</f>
        <v>ERHYDHPPYe1E</v>
      </c>
      <c r="E21" s="79" t="str">
        <f>Tech!C21</f>
        <v>Yenikend HPP</v>
      </c>
      <c r="F21" s="68" t="s">
        <v>62</v>
      </c>
      <c r="G21" s="93" t="s">
        <v>26</v>
      </c>
      <c r="H21" s="46" t="s">
        <v>44</v>
      </c>
      <c r="I21" s="93"/>
      <c r="J21" s="46"/>
    </row>
    <row r="22" spans="2:18" s="68" customFormat="1" ht="12.75" customHeight="1" x14ac:dyDescent="0.3">
      <c r="B22" s="79" t="s">
        <v>63</v>
      </c>
      <c r="C22" s="79" t="str">
        <f>Tech!D22</f>
        <v>AZ1</v>
      </c>
      <c r="D22" s="79" t="str">
        <f>Tech!B22</f>
        <v>ERHYDHPPOt1E</v>
      </c>
      <c r="E22" s="79" t="str">
        <f>Tech!C22</f>
        <v>Other HPP</v>
      </c>
      <c r="F22" s="68" t="s">
        <v>62</v>
      </c>
      <c r="G22" s="79" t="s">
        <v>26</v>
      </c>
      <c r="H22" s="46" t="s">
        <v>44</v>
      </c>
      <c r="I22" s="46"/>
      <c r="J22" s="46"/>
    </row>
    <row r="23" spans="2:18" s="68" customFormat="1" ht="12.75" customHeight="1" x14ac:dyDescent="0.3">
      <c r="B23" s="79" t="s">
        <v>63</v>
      </c>
      <c r="C23" s="79" t="str">
        <f>Tech!D23</f>
        <v>AZ1</v>
      </c>
      <c r="D23" s="79" t="str">
        <f>Tech!B23</f>
        <v>ERWINWPPWi1E</v>
      </c>
      <c r="E23" s="79" t="str">
        <f>Tech!C23</f>
        <v>Wind WPP</v>
      </c>
      <c r="F23" s="68" t="s">
        <v>62</v>
      </c>
      <c r="G23" s="79" t="s">
        <v>26</v>
      </c>
      <c r="H23" s="46" t="s">
        <v>44</v>
      </c>
      <c r="I23" s="46"/>
      <c r="J23" s="46"/>
    </row>
    <row r="24" spans="2:18" s="68" customFormat="1" ht="12.75" customHeight="1" x14ac:dyDescent="0.3">
      <c r="B24" s="79" t="s">
        <v>63</v>
      </c>
      <c r="C24" s="79" t="str">
        <f>Tech!D24</f>
        <v>AZ1</v>
      </c>
      <c r="D24" s="79" t="str">
        <f>Tech!B24</f>
        <v>ERSOLSPPSo1E</v>
      </c>
      <c r="E24" s="79" t="str">
        <f>Tech!C24</f>
        <v>Solar SPP</v>
      </c>
      <c r="F24" s="68" t="s">
        <v>62</v>
      </c>
      <c r="G24" s="79" t="s">
        <v>26</v>
      </c>
      <c r="H24" s="46" t="s">
        <v>44</v>
      </c>
      <c r="I24" s="46"/>
      <c r="J24" s="46"/>
    </row>
    <row r="25" spans="2:18" s="68" customFormat="1" ht="12.75" customHeight="1" x14ac:dyDescent="0.3">
      <c r="B25" s="79" t="s">
        <v>63</v>
      </c>
      <c r="C25" s="79" t="str">
        <f>Tech!D25</f>
        <v>AZ1</v>
      </c>
      <c r="D25" s="79" t="str">
        <f>Tech!B25</f>
        <v>ETNGAIPPBP1E</v>
      </c>
      <c r="E25" s="79" t="str">
        <f>Tech!C25</f>
        <v>BP Azerbaijan IPP</v>
      </c>
      <c r="F25" s="68" t="s">
        <v>62</v>
      </c>
      <c r="G25" s="79" t="s">
        <v>26</v>
      </c>
      <c r="H25" s="46" t="s">
        <v>44</v>
      </c>
      <c r="I25" s="46"/>
      <c r="J25" s="46"/>
    </row>
    <row r="26" spans="2:18" ht="12.75" customHeight="1" x14ac:dyDescent="0.3">
      <c r="B26" s="79" t="s">
        <v>63</v>
      </c>
      <c r="C26" s="79" t="str">
        <f>Tech!D26</f>
        <v>AZ1</v>
      </c>
      <c r="D26" s="79" t="str">
        <f>Tech!B26</f>
        <v>ETNGAIPPSO1E</v>
      </c>
      <c r="E26" s="79" t="str">
        <f>Tech!C26</f>
        <v>SOCAR IPP</v>
      </c>
      <c r="F26" s="3" t="s">
        <v>62</v>
      </c>
      <c r="G26" s="79" t="s">
        <v>26</v>
      </c>
      <c r="H26" s="46" t="s">
        <v>44</v>
      </c>
      <c r="I26" s="46"/>
      <c r="J26" s="46"/>
      <c r="L26" s="68"/>
      <c r="M26" s="68"/>
      <c r="N26" s="68"/>
      <c r="O26" s="68"/>
      <c r="P26" s="68"/>
      <c r="Q26" s="68"/>
      <c r="R26" s="68"/>
    </row>
    <row r="27" spans="2:18" ht="12.75" customHeight="1" x14ac:dyDescent="0.3">
      <c r="B27" s="79" t="s">
        <v>63</v>
      </c>
      <c r="C27" s="79" t="str">
        <f>Tech!D27</f>
        <v>AZ1</v>
      </c>
      <c r="D27" s="79" t="str">
        <f>Tech!B27</f>
        <v>ETNGAIPPAz1E</v>
      </c>
      <c r="E27" s="79" t="str">
        <f>Tech!C27</f>
        <v>Azersun Holding (Sugar Production Plant) IPP</v>
      </c>
      <c r="F27" s="3" t="s">
        <v>62</v>
      </c>
      <c r="G27" s="79" t="s">
        <v>26</v>
      </c>
      <c r="H27" s="46" t="s">
        <v>44</v>
      </c>
      <c r="I27" s="46"/>
      <c r="J27" s="46"/>
      <c r="L27" s="68"/>
      <c r="M27" s="68"/>
      <c r="N27" s="68"/>
      <c r="O27" s="68"/>
      <c r="P27" s="68"/>
      <c r="Q27" s="68"/>
      <c r="R27" s="68"/>
    </row>
    <row r="28" spans="2:18" ht="12.75" customHeight="1" x14ac:dyDescent="0.3">
      <c r="B28" s="79" t="s">
        <v>63</v>
      </c>
      <c r="C28" s="79" t="str">
        <f>Tech!D28</f>
        <v>AZ1</v>
      </c>
      <c r="D28" s="79" t="str">
        <f>Tech!B28</f>
        <v>ETWSTIPPAz2E</v>
      </c>
      <c r="E28" s="79" t="str">
        <f>Tech!C28</f>
        <v>Azersun Holding (Sugar Production Plant) IPP</v>
      </c>
      <c r="F28" s="3" t="s">
        <v>62</v>
      </c>
      <c r="G28" s="79" t="s">
        <v>26</v>
      </c>
      <c r="H28" s="46" t="s">
        <v>44</v>
      </c>
      <c r="I28" s="46"/>
      <c r="J28" s="46"/>
      <c r="L28" s="68"/>
      <c r="M28" s="68"/>
      <c r="N28" s="68"/>
      <c r="O28" s="68"/>
      <c r="P28" s="68"/>
      <c r="Q28" s="68"/>
      <c r="R28" s="68"/>
    </row>
    <row r="29" spans="2:18" ht="12.75" customHeight="1" x14ac:dyDescent="0.3">
      <c r="B29" s="79" t="s">
        <v>63</v>
      </c>
      <c r="C29" s="79" t="str">
        <f>Tech!D29</f>
        <v>AZ1</v>
      </c>
      <c r="D29" s="79" t="str">
        <f>Tech!B29</f>
        <v>ETBGATPPBi1E</v>
      </c>
      <c r="E29" s="79" t="str">
        <f>Tech!C29</f>
        <v>Biogas TPP</v>
      </c>
      <c r="F29" s="3" t="s">
        <v>62</v>
      </c>
      <c r="G29" s="79" t="s">
        <v>26</v>
      </c>
      <c r="H29" s="243" t="s">
        <v>44</v>
      </c>
      <c r="I29" s="46"/>
      <c r="J29" s="46"/>
      <c r="L29" s="68"/>
      <c r="M29" s="68"/>
      <c r="N29" s="68"/>
      <c r="O29" s="68"/>
      <c r="P29" s="68"/>
      <c r="Q29" s="68"/>
      <c r="R29" s="68"/>
    </row>
    <row r="30" spans="2:18" ht="12.75" customHeight="1" x14ac:dyDescent="0.3">
      <c r="B30" s="79" t="s">
        <v>63</v>
      </c>
      <c r="C30" s="79" t="str">
        <f>Tech!D30</f>
        <v>AZ2</v>
      </c>
      <c r="D30" s="79" t="str">
        <f>Tech!B30</f>
        <v>ERHYDHPPOt1E</v>
      </c>
      <c r="E30" s="79" t="str">
        <f>Tech!C30</f>
        <v>Other HPP</v>
      </c>
      <c r="F30" s="3" t="s">
        <v>62</v>
      </c>
      <c r="G30" s="89" t="s">
        <v>26</v>
      </c>
      <c r="H30" s="46" t="s">
        <v>44</v>
      </c>
      <c r="I30" s="91"/>
      <c r="J30" s="91"/>
      <c r="L30" s="68"/>
      <c r="M30" s="68"/>
      <c r="N30" s="68"/>
      <c r="O30" s="68"/>
      <c r="P30" s="68"/>
      <c r="Q30" s="68"/>
      <c r="R30" s="68"/>
    </row>
    <row r="31" spans="2:18" ht="12.75" customHeight="1" x14ac:dyDescent="0.3">
      <c r="B31" s="79" t="s">
        <v>63</v>
      </c>
      <c r="C31" s="79" t="str">
        <f>Tech!D31</f>
        <v>AZ2</v>
      </c>
      <c r="D31" s="79" t="str">
        <f>Tech!B31</f>
        <v>ERSOLSPPSo1E</v>
      </c>
      <c r="E31" s="79" t="str">
        <f>Tech!C31</f>
        <v>Solar SPP</v>
      </c>
      <c r="F31" s="3" t="s">
        <v>62</v>
      </c>
      <c r="G31" s="79" t="s">
        <v>26</v>
      </c>
      <c r="H31" s="46" t="s">
        <v>44</v>
      </c>
      <c r="I31" s="46"/>
      <c r="J31" s="46"/>
      <c r="L31" s="68"/>
      <c r="M31" s="68"/>
      <c r="N31" s="68"/>
      <c r="O31" s="68"/>
      <c r="P31" s="68"/>
      <c r="Q31" s="68"/>
      <c r="R31" s="68"/>
    </row>
    <row r="32" spans="2:18" s="68" customFormat="1" ht="12.75" customHeight="1" x14ac:dyDescent="0.3">
      <c r="B32" s="79" t="s">
        <v>63</v>
      </c>
      <c r="C32" s="79" t="str">
        <f>Tech!D32</f>
        <v>AZ3</v>
      </c>
      <c r="D32" s="79" t="str">
        <f>Tech!B32</f>
        <v>ETNGATPPTP1E</v>
      </c>
      <c r="E32" s="79" t="str">
        <f>Tech!C32</f>
        <v>TPP</v>
      </c>
      <c r="F32" s="68" t="s">
        <v>62</v>
      </c>
      <c r="G32" s="79" t="s">
        <v>26</v>
      </c>
      <c r="H32" s="46" t="s">
        <v>44</v>
      </c>
      <c r="I32" s="46"/>
      <c r="J32" s="46"/>
    </row>
    <row r="33" spans="2:18" s="68" customFormat="1" ht="12.75" customHeight="1" x14ac:dyDescent="0.3">
      <c r="B33" s="79" t="s">
        <v>63</v>
      </c>
      <c r="C33" s="79" t="str">
        <f>Tech!D33</f>
        <v>AZ3</v>
      </c>
      <c r="D33" s="79" t="str">
        <f>Tech!B33</f>
        <v>ETNGATPPOt1E</v>
      </c>
      <c r="E33" s="79" t="str">
        <f>Tech!C33</f>
        <v>Other TPP</v>
      </c>
      <c r="F33" s="68" t="s">
        <v>62</v>
      </c>
      <c r="G33" s="79" t="s">
        <v>26</v>
      </c>
      <c r="H33" s="46" t="s">
        <v>44</v>
      </c>
      <c r="I33" s="79"/>
      <c r="J33" s="46"/>
    </row>
    <row r="34" spans="2:18" s="68" customFormat="1" ht="12.75" customHeight="1" x14ac:dyDescent="0.3">
      <c r="B34" s="79" t="s">
        <v>63</v>
      </c>
      <c r="C34" s="79" t="str">
        <f>Tech!D34</f>
        <v>AZ3</v>
      </c>
      <c r="D34" s="79" t="str">
        <f>Tech!B34</f>
        <v>ERHYDHPPOt1E</v>
      </c>
      <c r="E34" s="79" t="str">
        <f>Tech!C34</f>
        <v>Other HPP</v>
      </c>
      <c r="F34" s="68" t="s">
        <v>62</v>
      </c>
      <c r="G34" s="79" t="s">
        <v>26</v>
      </c>
      <c r="H34" s="46" t="s">
        <v>44</v>
      </c>
      <c r="I34" s="79"/>
      <c r="J34" s="46"/>
    </row>
    <row r="35" spans="2:18" s="68" customFormat="1" ht="12.75" customHeight="1" x14ac:dyDescent="0.3">
      <c r="B35" s="79" t="s">
        <v>63</v>
      </c>
      <c r="C35" s="79" t="str">
        <f>Tech!D35</f>
        <v>AZ3</v>
      </c>
      <c r="D35" s="79" t="str">
        <f>Tech!B35</f>
        <v>ERSOLSPPSo1E</v>
      </c>
      <c r="E35" s="79" t="str">
        <f>Tech!C35</f>
        <v>Solar SPP</v>
      </c>
      <c r="F35" s="68" t="s">
        <v>62</v>
      </c>
      <c r="G35" s="79" t="s">
        <v>26</v>
      </c>
      <c r="H35" s="46" t="s">
        <v>44</v>
      </c>
      <c r="I35" s="79"/>
      <c r="J35" s="46"/>
    </row>
    <row r="36" spans="2:18" s="68" customFormat="1" ht="12.75" customHeight="1" x14ac:dyDescent="0.3">
      <c r="B36" s="79" t="s">
        <v>725</v>
      </c>
      <c r="C36" s="79" t="str">
        <f>Tech!D36</f>
        <v>AZ1</v>
      </c>
      <c r="D36" s="79" t="str">
        <f>Tech!B36</f>
        <v>EHNGAantNa1E</v>
      </c>
      <c r="E36" s="79" t="str">
        <f>Tech!C36</f>
        <v>Natural gas heating plant</v>
      </c>
      <c r="F36" s="68" t="s">
        <v>62</v>
      </c>
      <c r="G36" s="79" t="s">
        <v>26</v>
      </c>
      <c r="H36" s="46" t="s">
        <v>44</v>
      </c>
      <c r="I36" s="79"/>
      <c r="J36" s="46"/>
    </row>
    <row r="37" spans="2:18" ht="12.75" customHeight="1" x14ac:dyDescent="0.3">
      <c r="B37" s="91" t="s">
        <v>65</v>
      </c>
      <c r="C37" s="91"/>
      <c r="D37" s="91" t="s">
        <v>69</v>
      </c>
      <c r="E37" s="91" t="s">
        <v>70</v>
      </c>
      <c r="F37" s="91" t="s">
        <v>62</v>
      </c>
      <c r="G37" s="91" t="s">
        <v>66</v>
      </c>
      <c r="H37" s="91"/>
      <c r="I37" s="91"/>
      <c r="J37" s="91"/>
      <c r="L37" s="68"/>
      <c r="M37" s="68"/>
      <c r="N37" s="68"/>
      <c r="O37" s="68"/>
      <c r="P37" s="68"/>
      <c r="Q37" s="68"/>
      <c r="R37" s="68"/>
    </row>
    <row r="38" spans="2:18" ht="12.75" customHeight="1" x14ac:dyDescent="0.3">
      <c r="B38" s="46"/>
      <c r="C38" s="46"/>
      <c r="D38" s="46" t="s">
        <v>146</v>
      </c>
      <c r="E38" s="46" t="s">
        <v>151</v>
      </c>
      <c r="F38" s="46" t="s">
        <v>62</v>
      </c>
      <c r="G38" s="46" t="s">
        <v>66</v>
      </c>
      <c r="H38" s="46"/>
      <c r="I38" s="46"/>
      <c r="J38" s="46"/>
      <c r="L38" s="68"/>
      <c r="M38" s="68"/>
      <c r="N38" s="68"/>
      <c r="O38" s="68"/>
      <c r="P38" s="68"/>
      <c r="Q38" s="68"/>
      <c r="R38" s="68"/>
    </row>
    <row r="39" spans="2:18" ht="12.75" customHeight="1" x14ac:dyDescent="0.3">
      <c r="B39" s="46"/>
      <c r="C39" s="46"/>
      <c r="D39" s="46" t="s">
        <v>79</v>
      </c>
      <c r="E39" s="46" t="s">
        <v>80</v>
      </c>
      <c r="F39" s="46" t="s">
        <v>62</v>
      </c>
      <c r="G39" s="46" t="s">
        <v>66</v>
      </c>
      <c r="H39" s="46"/>
      <c r="I39" s="46"/>
      <c r="J39" s="46"/>
      <c r="L39" s="68"/>
      <c r="M39" s="68"/>
      <c r="N39" s="68"/>
      <c r="O39" s="68"/>
      <c r="P39" s="68"/>
      <c r="Q39" s="68"/>
      <c r="R39" s="68"/>
    </row>
    <row r="40" spans="2:18" ht="12.75" customHeight="1" x14ac:dyDescent="0.3">
      <c r="B40" s="46"/>
      <c r="C40" s="46"/>
      <c r="D40" s="46" t="s">
        <v>81</v>
      </c>
      <c r="E40" s="46" t="s">
        <v>82</v>
      </c>
      <c r="F40" s="46" t="s">
        <v>62</v>
      </c>
      <c r="G40" s="46" t="s">
        <v>66</v>
      </c>
      <c r="H40" s="46"/>
      <c r="I40" s="46"/>
      <c r="J40" s="46"/>
      <c r="L40" s="68"/>
      <c r="M40" s="68"/>
      <c r="N40" s="68"/>
      <c r="O40" s="68"/>
      <c r="P40" s="68"/>
      <c r="Q40" s="68"/>
      <c r="R40" s="68"/>
    </row>
    <row r="41" spans="2:18" ht="12.75" customHeight="1" x14ac:dyDescent="0.3">
      <c r="B41" s="46"/>
      <c r="C41" s="46"/>
      <c r="D41" s="46" t="s">
        <v>83</v>
      </c>
      <c r="E41" s="46" t="s">
        <v>84</v>
      </c>
      <c r="F41" s="46" t="s">
        <v>62</v>
      </c>
      <c r="G41" s="46" t="s">
        <v>66</v>
      </c>
      <c r="H41" s="46"/>
      <c r="I41" s="46"/>
      <c r="J41" s="46"/>
      <c r="L41" s="68"/>
      <c r="M41" s="68"/>
      <c r="N41" s="68"/>
      <c r="O41" s="68"/>
      <c r="P41" s="68"/>
      <c r="Q41" s="68"/>
      <c r="R41" s="68"/>
    </row>
    <row r="42" spans="2:18" ht="12.75" customHeight="1" x14ac:dyDescent="0.3">
      <c r="B42" s="46"/>
      <c r="C42" s="46"/>
      <c r="D42" s="46" t="s">
        <v>73</v>
      </c>
      <c r="E42" s="46" t="s">
        <v>74</v>
      </c>
      <c r="F42" s="46" t="s">
        <v>62</v>
      </c>
      <c r="G42" s="46" t="s">
        <v>66</v>
      </c>
      <c r="H42" s="46"/>
      <c r="I42" s="46"/>
      <c r="J42" s="46"/>
      <c r="L42" s="68"/>
      <c r="M42" s="68"/>
      <c r="N42" s="68"/>
      <c r="O42" s="68"/>
      <c r="P42" s="68"/>
      <c r="Q42" s="68"/>
      <c r="R42" s="68"/>
    </row>
    <row r="43" spans="2:18" ht="12.75" customHeight="1" x14ac:dyDescent="0.3">
      <c r="B43" s="46"/>
      <c r="C43" s="46"/>
      <c r="D43" s="46" t="s">
        <v>75</v>
      </c>
      <c r="E43" s="46" t="s">
        <v>76</v>
      </c>
      <c r="F43" s="46" t="s">
        <v>62</v>
      </c>
      <c r="G43" s="46" t="s">
        <v>66</v>
      </c>
      <c r="H43" s="46"/>
      <c r="I43" s="46"/>
      <c r="J43" s="46"/>
      <c r="L43" s="68"/>
      <c r="M43" s="68"/>
      <c r="N43" s="68"/>
      <c r="O43" s="68"/>
      <c r="P43" s="68"/>
      <c r="Q43" s="68"/>
      <c r="R43" s="68"/>
    </row>
    <row r="44" spans="2:18" ht="12.75" customHeight="1" x14ac:dyDescent="0.3">
      <c r="B44" s="46"/>
      <c r="C44" s="46"/>
      <c r="D44" s="46" t="s">
        <v>77</v>
      </c>
      <c r="E44" s="46" t="s">
        <v>78</v>
      </c>
      <c r="F44" s="46" t="s">
        <v>62</v>
      </c>
      <c r="G44" s="46" t="s">
        <v>66</v>
      </c>
      <c r="H44" s="46"/>
      <c r="I44" s="46"/>
      <c r="J44" s="46"/>
      <c r="K44" s="68"/>
      <c r="L44" s="68"/>
      <c r="M44" s="68"/>
      <c r="N44" s="68"/>
      <c r="O44" s="68"/>
      <c r="P44" s="68"/>
      <c r="Q44" s="68"/>
      <c r="R44" s="68"/>
    </row>
    <row r="45" spans="2:18" ht="12.75" customHeight="1" x14ac:dyDescent="0.3">
      <c r="B45" s="46"/>
      <c r="C45" s="46"/>
      <c r="D45" s="46" t="s">
        <v>71</v>
      </c>
      <c r="E45" s="46" t="s">
        <v>72</v>
      </c>
      <c r="F45" s="46" t="s">
        <v>62</v>
      </c>
      <c r="G45" s="46" t="s">
        <v>66</v>
      </c>
      <c r="H45" s="46"/>
      <c r="I45" s="46"/>
      <c r="J45" s="46"/>
      <c r="K45" s="68"/>
      <c r="L45" s="68"/>
      <c r="M45" s="68"/>
      <c r="N45" s="68"/>
      <c r="O45" s="68"/>
      <c r="P45" s="68"/>
      <c r="Q45" s="68"/>
      <c r="R45" s="68"/>
    </row>
    <row r="46" spans="2:18" ht="12.75" customHeight="1" x14ac:dyDescent="0.3">
      <c r="B46" s="79"/>
      <c r="C46" s="79"/>
      <c r="D46" s="46" t="s">
        <v>67</v>
      </c>
      <c r="E46" s="46" t="s">
        <v>68</v>
      </c>
      <c r="F46" s="46" t="s">
        <v>62</v>
      </c>
      <c r="G46" s="46" t="s">
        <v>66</v>
      </c>
      <c r="H46" s="46"/>
      <c r="I46" s="46"/>
      <c r="J46" s="46"/>
      <c r="K46" s="68"/>
      <c r="L46" s="92"/>
      <c r="N46" s="68"/>
      <c r="P46" s="68"/>
      <c r="Q46" s="68"/>
      <c r="R46" s="68"/>
    </row>
    <row r="47" spans="2:18" s="68" customFormat="1" ht="12.75" customHeight="1" x14ac:dyDescent="0.3">
      <c r="B47" s="79"/>
      <c r="C47" s="79"/>
      <c r="D47" s="46" t="s">
        <v>193</v>
      </c>
      <c r="E47" s="46" t="s">
        <v>194</v>
      </c>
      <c r="F47" s="46" t="s">
        <v>62</v>
      </c>
      <c r="G47" s="46" t="s">
        <v>66</v>
      </c>
      <c r="H47" s="46"/>
      <c r="I47" s="46"/>
      <c r="J47" s="46"/>
      <c r="L47" s="92"/>
    </row>
    <row r="48" spans="2:18" s="68" customFormat="1" ht="12.75" customHeight="1" x14ac:dyDescent="0.3">
      <c r="B48" s="79"/>
      <c r="C48" s="79"/>
      <c r="D48" s="46" t="s">
        <v>196</v>
      </c>
      <c r="E48" s="46" t="s">
        <v>197</v>
      </c>
      <c r="F48" s="46" t="s">
        <v>62</v>
      </c>
      <c r="G48" s="46" t="s">
        <v>66</v>
      </c>
      <c r="H48" s="46"/>
      <c r="I48" s="46"/>
      <c r="J48" s="46"/>
      <c r="L48" s="92"/>
    </row>
    <row r="49" spans="2:13" s="68" customFormat="1" ht="12.75" customHeight="1" x14ac:dyDescent="0.3">
      <c r="B49" s="3"/>
      <c r="C49" s="3"/>
      <c r="D49" s="46" t="s">
        <v>199</v>
      </c>
      <c r="E49" s="46" t="s">
        <v>200</v>
      </c>
      <c r="F49" s="46" t="s">
        <v>62</v>
      </c>
      <c r="G49" s="46" t="s">
        <v>66</v>
      </c>
      <c r="H49" s="46"/>
      <c r="I49" s="46"/>
      <c r="J49" s="46"/>
      <c r="L49" s="92"/>
    </row>
    <row r="50" spans="2:13" s="68" customFormat="1" ht="12.75" customHeight="1" x14ac:dyDescent="0.3">
      <c r="D50" s="46" t="s">
        <v>202</v>
      </c>
      <c r="E50" s="46" t="s">
        <v>203</v>
      </c>
      <c r="F50" s="46" t="s">
        <v>62</v>
      </c>
      <c r="G50" s="46" t="s">
        <v>66</v>
      </c>
      <c r="H50" s="46"/>
      <c r="L50" s="92"/>
    </row>
    <row r="51" spans="2:13" s="68" customFormat="1" ht="12.75" customHeight="1" x14ac:dyDescent="0.3">
      <c r="D51" s="90" t="s">
        <v>212</v>
      </c>
      <c r="E51" s="90" t="s">
        <v>213</v>
      </c>
      <c r="F51" s="90" t="s">
        <v>62</v>
      </c>
      <c r="G51" s="90" t="s">
        <v>66</v>
      </c>
      <c r="H51" s="46"/>
      <c r="L51" s="92"/>
    </row>
    <row r="52" spans="2:13" s="68" customFormat="1" ht="12.75" customHeight="1" x14ac:dyDescent="0.3">
      <c r="D52" s="46" t="s">
        <v>205</v>
      </c>
      <c r="E52" s="46" t="s">
        <v>206</v>
      </c>
      <c r="F52" s="46" t="s">
        <v>62</v>
      </c>
      <c r="G52" s="46" t="s">
        <v>211</v>
      </c>
      <c r="H52" s="46"/>
      <c r="J52" s="3"/>
      <c r="L52" s="92"/>
    </row>
    <row r="53" spans="2:13" ht="12.75" customHeight="1" x14ac:dyDescent="0.3">
      <c r="B53" s="68"/>
      <c r="C53" s="68"/>
      <c r="D53" s="46" t="s">
        <v>209</v>
      </c>
      <c r="E53" s="46" t="s">
        <v>210</v>
      </c>
      <c r="F53" s="46" t="s">
        <v>62</v>
      </c>
      <c r="G53" s="46" t="s">
        <v>66</v>
      </c>
      <c r="H53" s="46"/>
      <c r="I53" s="68"/>
      <c r="J53" s="68"/>
      <c r="K53" s="68"/>
      <c r="L53" s="92"/>
    </row>
    <row r="54" spans="2:13" s="68" customFormat="1" ht="12.75" customHeight="1" x14ac:dyDescent="0.3">
      <c r="D54" s="46" t="s">
        <v>629</v>
      </c>
      <c r="E54" s="46" t="s">
        <v>630</v>
      </c>
      <c r="F54" s="46" t="s">
        <v>62</v>
      </c>
      <c r="G54" s="46" t="s">
        <v>66</v>
      </c>
      <c r="H54" s="46"/>
      <c r="L54" s="92"/>
    </row>
    <row r="55" spans="2:13" ht="12.75" customHeight="1" x14ac:dyDescent="0.3">
      <c r="B55" s="68"/>
      <c r="C55" s="68"/>
      <c r="D55" s="46"/>
      <c r="E55" s="46"/>
      <c r="F55" s="46"/>
      <c r="G55" s="46"/>
      <c r="H55" s="46"/>
      <c r="I55" s="68"/>
      <c r="J55" s="68"/>
      <c r="K55" s="68"/>
      <c r="L55" s="92"/>
    </row>
    <row r="56" spans="2:13" ht="12.75" customHeight="1" x14ac:dyDescent="0.3">
      <c r="B56" s="68"/>
      <c r="C56" s="68"/>
      <c r="D56" s="46"/>
      <c r="E56" s="46"/>
      <c r="F56" s="46"/>
      <c r="G56" s="46"/>
      <c r="H56" s="46"/>
      <c r="I56" s="68"/>
      <c r="J56" s="68"/>
      <c r="K56" s="68"/>
      <c r="L56" s="92"/>
    </row>
    <row r="57" spans="2:13" ht="12.75" customHeight="1" x14ac:dyDescent="0.3">
      <c r="B57" s="68"/>
      <c r="C57" s="68"/>
      <c r="D57" s="46"/>
      <c r="E57" s="46"/>
      <c r="F57" s="46"/>
      <c r="G57" s="46"/>
      <c r="H57" s="46"/>
      <c r="I57" s="68"/>
      <c r="J57" s="68"/>
      <c r="K57" s="68"/>
      <c r="L57" s="92"/>
      <c r="M57" s="92"/>
    </row>
    <row r="58" spans="2:13" ht="12.75" customHeight="1" x14ac:dyDescent="0.3">
      <c r="B58" s="68"/>
      <c r="C58" s="68"/>
      <c r="D58" s="68"/>
      <c r="E58" s="68"/>
      <c r="F58" s="68"/>
      <c r="G58" s="68"/>
      <c r="H58" s="68"/>
      <c r="I58" s="68"/>
      <c r="J58" s="68"/>
      <c r="K58" s="68"/>
    </row>
    <row r="59" spans="2:13" ht="12.75" customHeight="1" x14ac:dyDescent="0.3">
      <c r="B59" s="68"/>
      <c r="C59" s="68"/>
      <c r="D59" s="68"/>
      <c r="E59" s="68"/>
      <c r="F59" s="68"/>
      <c r="G59" s="68"/>
      <c r="H59" s="68"/>
      <c r="I59" s="68"/>
      <c r="J59" s="68"/>
      <c r="K59" s="68"/>
    </row>
    <row r="60" spans="2:13" ht="12.75" customHeight="1" x14ac:dyDescent="0.3">
      <c r="B60" s="68"/>
      <c r="C60" s="68"/>
      <c r="D60" s="68"/>
      <c r="E60" s="68"/>
      <c r="F60" s="68"/>
      <c r="G60" s="68"/>
      <c r="H60" s="68"/>
      <c r="I60" s="68"/>
      <c r="J60" s="68"/>
      <c r="K60" s="68"/>
    </row>
    <row r="61" spans="2:13" ht="12.75" customHeight="1" x14ac:dyDescent="0.3">
      <c r="B61" s="68"/>
      <c r="C61" s="68"/>
      <c r="D61" s="68"/>
      <c r="E61" s="68"/>
      <c r="F61" s="68"/>
      <c r="G61" s="68"/>
      <c r="H61" s="68"/>
      <c r="I61" s="68"/>
      <c r="J61" s="68"/>
      <c r="K61" s="68"/>
    </row>
    <row r="62" spans="2:13" ht="12.75" customHeight="1" x14ac:dyDescent="0.3">
      <c r="B62" s="68"/>
      <c r="C62" s="68"/>
      <c r="D62" s="68"/>
      <c r="E62" s="68"/>
      <c r="F62" s="68"/>
      <c r="G62" s="68"/>
      <c r="H62" s="68"/>
      <c r="I62" s="68"/>
      <c r="J62" s="68"/>
      <c r="K62" s="88"/>
    </row>
    <row r="63" spans="2:13" ht="12.75" customHeight="1" x14ac:dyDescent="0.3">
      <c r="B63" s="68"/>
      <c r="C63" s="68"/>
      <c r="D63" s="68"/>
      <c r="E63" s="68"/>
      <c r="F63" s="68"/>
      <c r="G63" s="68"/>
      <c r="H63" s="68"/>
      <c r="I63" s="68"/>
      <c r="J63" s="68"/>
      <c r="K63" s="88"/>
    </row>
    <row r="64" spans="2:13" ht="12.75" customHeight="1" x14ac:dyDescent="0.3">
      <c r="B64" s="49"/>
      <c r="C64" s="49"/>
      <c r="D64" s="49"/>
      <c r="E64" s="49"/>
      <c r="F64" s="46"/>
      <c r="G64" s="46"/>
      <c r="H64" s="88"/>
      <c r="I64" s="88"/>
      <c r="J64" s="88"/>
      <c r="K64" s="88"/>
    </row>
    <row r="65" spans="2:11" ht="12.75" customHeight="1" x14ac:dyDescent="0.3">
      <c r="B65" s="49"/>
      <c r="C65" s="49"/>
      <c r="D65" s="49"/>
      <c r="E65" s="49"/>
      <c r="F65" s="46"/>
      <c r="G65" s="46"/>
      <c r="H65" s="88"/>
      <c r="I65" s="88"/>
      <c r="J65" s="88"/>
      <c r="K65" s="88"/>
    </row>
    <row r="66" spans="2:11" ht="12.75" customHeight="1" x14ac:dyDescent="0.3">
      <c r="B66" s="49"/>
      <c r="C66" s="49"/>
      <c r="D66" s="49"/>
      <c r="E66" s="49"/>
      <c r="F66" s="46"/>
      <c r="G66" s="46"/>
      <c r="H66" s="88"/>
      <c r="I66" s="88"/>
      <c r="J66" s="88"/>
      <c r="K66" s="88"/>
    </row>
    <row r="67" spans="2:11" ht="12.75" customHeight="1" x14ac:dyDescent="0.3">
      <c r="B67" s="49"/>
      <c r="C67" s="49"/>
      <c r="D67" s="49"/>
      <c r="E67" s="49"/>
      <c r="F67" s="46"/>
      <c r="G67" s="46"/>
      <c r="H67" s="88"/>
      <c r="I67" s="88"/>
      <c r="J67" s="88"/>
      <c r="K67" s="88"/>
    </row>
    <row r="68" spans="2:11" ht="12.75" customHeight="1" x14ac:dyDescent="0.3">
      <c r="B68" s="49"/>
      <c r="C68" s="49"/>
      <c r="D68" s="49"/>
      <c r="E68" s="49"/>
      <c r="F68" s="46"/>
      <c r="G68" s="46"/>
      <c r="H68" s="88"/>
      <c r="I68" s="88"/>
      <c r="J68" s="88"/>
      <c r="K68" s="88"/>
    </row>
    <row r="69" spans="2:11" ht="12.75" customHeight="1" x14ac:dyDescent="0.3">
      <c r="B69" s="49"/>
      <c r="C69" s="49"/>
      <c r="D69" s="49"/>
      <c r="E69" s="49"/>
      <c r="F69" s="46"/>
      <c r="G69" s="46"/>
      <c r="H69" s="88"/>
      <c r="I69" s="88"/>
      <c r="J69" s="88"/>
      <c r="K69" s="88"/>
    </row>
    <row r="70" spans="2:11" ht="12.75" customHeight="1" x14ac:dyDescent="0.3">
      <c r="B70" s="49"/>
      <c r="C70" s="49"/>
      <c r="D70" s="49"/>
      <c r="E70" s="49"/>
      <c r="F70" s="46"/>
      <c r="G70" s="46"/>
      <c r="H70" s="88"/>
      <c r="I70" s="88"/>
      <c r="J70" s="88"/>
      <c r="K70" s="88"/>
    </row>
    <row r="71" spans="2:11" ht="12.75" customHeight="1" x14ac:dyDescent="0.3">
      <c r="B71" s="49"/>
      <c r="C71" s="49"/>
      <c r="D71" s="49"/>
      <c r="E71" s="49"/>
      <c r="F71" s="46"/>
      <c r="G71" s="46"/>
      <c r="H71" s="88"/>
      <c r="I71" s="88"/>
      <c r="J71" s="88"/>
      <c r="K71" s="88"/>
    </row>
    <row r="72" spans="2:11" ht="12.75" customHeight="1" x14ac:dyDescent="0.3">
      <c r="B72" s="49"/>
      <c r="C72" s="49"/>
      <c r="D72" s="49"/>
      <c r="E72" s="49"/>
      <c r="F72" s="46"/>
      <c r="G72" s="46"/>
      <c r="H72" s="88"/>
      <c r="I72" s="88"/>
      <c r="J72" s="88"/>
      <c r="K72" s="88"/>
    </row>
    <row r="73" spans="2:11" ht="12.75" customHeight="1" x14ac:dyDescent="0.3">
      <c r="B73" s="49"/>
      <c r="C73" s="49"/>
      <c r="D73" s="49"/>
      <c r="E73" s="49"/>
      <c r="F73" s="46"/>
      <c r="G73" s="46"/>
      <c r="H73" s="46"/>
      <c r="I73" s="46"/>
      <c r="J73" s="46"/>
      <c r="K73" s="88"/>
    </row>
    <row r="74" spans="2:11" ht="12.75" customHeight="1" x14ac:dyDescent="0.3">
      <c r="B74" s="49"/>
      <c r="C74" s="49"/>
      <c r="D74" s="49"/>
      <c r="E74" s="49"/>
      <c r="F74" s="46"/>
      <c r="G74" s="46"/>
      <c r="H74" s="46"/>
      <c r="I74" s="46"/>
      <c r="J74" s="46"/>
      <c r="K74" s="46"/>
    </row>
    <row r="75" spans="2:11" ht="12.75" customHeight="1" x14ac:dyDescent="0.3">
      <c r="B75" s="49"/>
      <c r="C75" s="49"/>
      <c r="D75" s="49"/>
      <c r="E75" s="49"/>
      <c r="F75" s="46"/>
      <c r="G75" s="46"/>
      <c r="H75" s="46"/>
      <c r="I75" s="46"/>
      <c r="J75" s="46"/>
      <c r="K75" s="46"/>
    </row>
    <row r="76" spans="2:11" ht="12.75" customHeight="1" x14ac:dyDescent="0.3">
      <c r="B76" s="49"/>
      <c r="C76" s="49"/>
      <c r="D76" s="49"/>
      <c r="E76" s="49"/>
      <c r="F76" s="46"/>
      <c r="G76" s="46"/>
      <c r="H76" s="46"/>
      <c r="I76" s="46"/>
      <c r="J76" s="46"/>
      <c r="K76" s="46"/>
    </row>
    <row r="77" spans="2:11" ht="12.75" customHeight="1" x14ac:dyDescent="0.3">
      <c r="B77" s="49"/>
      <c r="C77" s="49"/>
      <c r="D77" s="49"/>
      <c r="E77" s="49"/>
      <c r="F77" s="46"/>
      <c r="G77" s="46"/>
      <c r="H77" s="46"/>
      <c r="I77" s="46"/>
      <c r="J77" s="46"/>
      <c r="K77" s="46"/>
    </row>
    <row r="78" spans="2:11" ht="12.75" customHeight="1" x14ac:dyDescent="0.3">
      <c r="B78" s="49"/>
      <c r="C78" s="49"/>
      <c r="D78" s="49"/>
      <c r="E78" s="49"/>
      <c r="F78" s="46"/>
      <c r="G78" s="46"/>
      <c r="H78" s="46"/>
      <c r="I78" s="46"/>
      <c r="J78" s="46"/>
      <c r="K78" s="46"/>
    </row>
    <row r="79" spans="2:11" ht="12.75" customHeight="1" x14ac:dyDescent="0.3">
      <c r="B79" s="49"/>
      <c r="C79" s="49"/>
      <c r="D79" s="49"/>
      <c r="E79" s="49"/>
      <c r="F79" s="46"/>
      <c r="G79" s="46"/>
      <c r="H79" s="46"/>
      <c r="I79" s="46"/>
      <c r="J79" s="46"/>
      <c r="K79" s="46"/>
    </row>
    <row r="80" spans="2:11" ht="12.75" customHeight="1" x14ac:dyDescent="0.3">
      <c r="B80" s="49"/>
      <c r="C80" s="49"/>
      <c r="D80" s="49"/>
      <c r="E80" s="49"/>
      <c r="F80" s="46"/>
      <c r="G80" s="46"/>
      <c r="H80" s="46"/>
      <c r="I80" s="46"/>
      <c r="J80" s="46"/>
    </row>
    <row r="81" spans="2:18" ht="12.75" customHeight="1" x14ac:dyDescent="0.3">
      <c r="B81" s="49"/>
      <c r="C81" s="49"/>
      <c r="D81" s="49"/>
      <c r="E81" s="49"/>
      <c r="F81" s="46"/>
      <c r="G81" s="46"/>
      <c r="H81" s="46"/>
      <c r="I81" s="46"/>
      <c r="J81" s="46"/>
    </row>
    <row r="82" spans="2:18" ht="12.75" customHeight="1" x14ac:dyDescent="0.3">
      <c r="B82" s="49"/>
      <c r="C82" s="49"/>
      <c r="D82" s="49"/>
      <c r="E82" s="49"/>
      <c r="F82" s="46"/>
      <c r="G82" s="46"/>
      <c r="H82" s="46"/>
      <c r="I82" s="46"/>
      <c r="J82" s="46"/>
    </row>
    <row r="83" spans="2:18" ht="12.75" customHeight="1" x14ac:dyDescent="0.3">
      <c r="B83" s="49"/>
      <c r="C83" s="49"/>
      <c r="D83" s="49"/>
      <c r="E83" s="49"/>
      <c r="F83" s="46"/>
      <c r="G83" s="46"/>
      <c r="H83" s="46"/>
      <c r="I83" s="46"/>
      <c r="J83" s="46"/>
    </row>
    <row r="84" spans="2:18" ht="12.75" customHeight="1" x14ac:dyDescent="0.3">
      <c r="B84" s="49"/>
      <c r="C84" s="49"/>
      <c r="D84" s="49"/>
      <c r="E84" s="49"/>
      <c r="F84" s="46"/>
      <c r="G84" s="46"/>
      <c r="H84" s="46"/>
      <c r="I84" s="46"/>
      <c r="J84" s="46"/>
    </row>
    <row r="85" spans="2:18" ht="12.75" customHeight="1" x14ac:dyDescent="0.3">
      <c r="B85" s="49"/>
      <c r="C85" s="49"/>
      <c r="D85" s="49"/>
      <c r="E85" s="49"/>
      <c r="F85" s="46"/>
      <c r="G85" s="46"/>
      <c r="H85" s="46"/>
      <c r="I85" s="46"/>
      <c r="J85" s="46"/>
    </row>
    <row r="86" spans="2:18" ht="12.75" customHeight="1" x14ac:dyDescent="0.3">
      <c r="B86" s="49"/>
      <c r="C86" s="49"/>
      <c r="D86" s="49"/>
      <c r="E86" s="49"/>
      <c r="F86" s="46"/>
      <c r="G86" s="46"/>
      <c r="H86" s="46"/>
      <c r="I86" s="46"/>
      <c r="J86" s="46"/>
    </row>
    <row r="87" spans="2:18" ht="12.75" customHeight="1" x14ac:dyDescent="0.3">
      <c r="B87" s="49"/>
      <c r="C87" s="49"/>
      <c r="D87" s="49"/>
      <c r="E87" s="49"/>
      <c r="F87" s="46"/>
      <c r="G87" s="46"/>
      <c r="H87" s="46"/>
      <c r="I87" s="46"/>
      <c r="J87" s="46"/>
    </row>
    <row r="88" spans="2:18" ht="12.75" customHeight="1" x14ac:dyDescent="0.3">
      <c r="B88" s="49"/>
      <c r="C88" s="49"/>
      <c r="D88" s="49"/>
      <c r="E88" s="49"/>
      <c r="F88" s="49"/>
      <c r="G88" s="49"/>
      <c r="H88" s="46"/>
      <c r="I88" s="46"/>
      <c r="J88" s="46"/>
    </row>
    <row r="89" spans="2:18" ht="12.75" customHeight="1" x14ac:dyDescent="0.3">
      <c r="B89" s="49"/>
      <c r="C89" s="49"/>
      <c r="D89" s="49"/>
      <c r="E89" s="49"/>
      <c r="F89" s="49"/>
      <c r="G89" s="49"/>
      <c r="H89" s="46"/>
      <c r="I89" s="46"/>
      <c r="J89" s="46"/>
    </row>
    <row r="90" spans="2:18" ht="12.75" customHeight="1" x14ac:dyDescent="0.3">
      <c r="B90" s="49"/>
      <c r="C90" s="49"/>
      <c r="D90" s="49"/>
      <c r="E90" s="49"/>
      <c r="F90" s="49"/>
      <c r="G90" s="49"/>
      <c r="H90" s="46"/>
      <c r="I90" s="46"/>
      <c r="J90" s="46"/>
    </row>
    <row r="91" spans="2:18" ht="12.75" customHeight="1" x14ac:dyDescent="0.3">
      <c r="B91" s="49"/>
      <c r="C91" s="49"/>
      <c r="D91" s="49"/>
      <c r="E91" s="49"/>
      <c r="F91" s="46"/>
      <c r="G91" s="46"/>
      <c r="H91" s="46"/>
      <c r="I91" s="46"/>
      <c r="J91" s="46"/>
    </row>
    <row r="92" spans="2:18" ht="12.75" customHeight="1" x14ac:dyDescent="0.3">
      <c r="B92" s="49"/>
      <c r="C92" s="49"/>
      <c r="D92" s="49"/>
      <c r="E92" s="49"/>
      <c r="F92" s="46"/>
      <c r="G92" s="46"/>
      <c r="H92" s="46"/>
      <c r="I92" s="46"/>
      <c r="J92" s="46"/>
      <c r="L92" s="46"/>
      <c r="M92" s="46"/>
      <c r="N92" s="46"/>
      <c r="O92" s="46"/>
      <c r="P92" s="46"/>
      <c r="Q92" s="46"/>
      <c r="R92" s="46"/>
    </row>
    <row r="93" spans="2:18" ht="12.75" customHeight="1" x14ac:dyDescent="0.3">
      <c r="B93" s="49"/>
      <c r="C93" s="49"/>
      <c r="D93" s="49"/>
      <c r="E93" s="49"/>
      <c r="F93" s="46"/>
      <c r="G93" s="46"/>
      <c r="H93" s="46"/>
      <c r="I93" s="46"/>
      <c r="J93" s="46"/>
      <c r="L93" s="46"/>
      <c r="M93" s="46"/>
      <c r="N93" s="46"/>
      <c r="O93" s="46"/>
      <c r="P93" s="46"/>
      <c r="Q93" s="46"/>
      <c r="R93" s="46"/>
    </row>
    <row r="94" spans="2:18" ht="12.75" customHeight="1" x14ac:dyDescent="0.3">
      <c r="B94" s="49"/>
      <c r="C94" s="49"/>
      <c r="D94" s="49"/>
      <c r="E94" s="49"/>
      <c r="F94" s="46"/>
      <c r="G94" s="46"/>
      <c r="H94" s="46"/>
      <c r="I94" s="46"/>
      <c r="J94" s="46"/>
      <c r="L94" s="46"/>
      <c r="M94" s="46"/>
      <c r="N94" s="46"/>
      <c r="O94" s="46"/>
      <c r="P94" s="46"/>
      <c r="Q94" s="46"/>
      <c r="R94" s="46"/>
    </row>
    <row r="95" spans="2:18" ht="12.75" customHeight="1" x14ac:dyDescent="0.3">
      <c r="B95" s="49"/>
      <c r="C95" s="49"/>
      <c r="D95" s="49"/>
      <c r="E95" s="49"/>
      <c r="F95" s="46"/>
      <c r="G95" s="46"/>
      <c r="H95" s="46"/>
      <c r="I95" s="46"/>
      <c r="J95" s="46"/>
      <c r="L95" s="46"/>
      <c r="M95" s="46"/>
      <c r="N95" s="46"/>
      <c r="O95" s="46"/>
      <c r="P95" s="46"/>
      <c r="Q95" s="46"/>
      <c r="R95" s="46"/>
    </row>
    <row r="96" spans="2:18" ht="12.75" customHeight="1" x14ac:dyDescent="0.3">
      <c r="B96" s="49"/>
      <c r="C96" s="49"/>
      <c r="D96" s="49"/>
      <c r="E96" s="49"/>
      <c r="F96" s="46"/>
      <c r="G96" s="46"/>
      <c r="H96" s="46"/>
      <c r="I96" s="46"/>
      <c r="J96" s="46"/>
      <c r="L96" s="46"/>
      <c r="M96" s="46"/>
      <c r="N96" s="46"/>
      <c r="O96" s="46"/>
      <c r="P96" s="46"/>
      <c r="Q96" s="46"/>
      <c r="R96" s="46"/>
    </row>
    <row r="97" spans="2:18" s="63" customFormat="1" ht="13.8" x14ac:dyDescent="0.3">
      <c r="B97" s="49"/>
      <c r="C97" s="49"/>
      <c r="D97" s="49"/>
      <c r="E97" s="49"/>
      <c r="F97" s="46"/>
      <c r="G97" s="46"/>
      <c r="H97" s="46"/>
      <c r="I97" s="46"/>
      <c r="J97" s="46"/>
      <c r="K97" s="3"/>
      <c r="L97" s="46"/>
      <c r="M97" s="46"/>
      <c r="N97" s="46"/>
      <c r="O97" s="46"/>
      <c r="P97" s="46"/>
      <c r="Q97" s="46"/>
      <c r="R97" s="46"/>
    </row>
    <row r="98" spans="2:18" s="68" customFormat="1" ht="13.8" x14ac:dyDescent="0.3">
      <c r="B98" s="49"/>
      <c r="C98" s="49"/>
      <c r="D98" s="49"/>
      <c r="E98" s="49"/>
      <c r="F98" s="46"/>
      <c r="G98" s="46"/>
      <c r="H98" s="46"/>
      <c r="I98" s="46"/>
      <c r="J98" s="46"/>
      <c r="K98" s="3"/>
      <c r="L98" s="46"/>
      <c r="M98" s="46"/>
      <c r="N98" s="46"/>
      <c r="O98" s="46"/>
      <c r="P98" s="46"/>
      <c r="Q98" s="46"/>
      <c r="R98" s="46"/>
    </row>
    <row r="99" spans="2:18" s="68" customFormat="1" ht="13.8" x14ac:dyDescent="0.3">
      <c r="B99" s="49"/>
      <c r="C99" s="49"/>
      <c r="D99" s="49"/>
      <c r="E99" s="49"/>
      <c r="F99" s="46"/>
      <c r="G99" s="46"/>
      <c r="H99" s="46"/>
      <c r="I99" s="46"/>
      <c r="J99" s="46"/>
      <c r="K99" s="3"/>
      <c r="L99" s="46"/>
      <c r="M99" s="46"/>
      <c r="N99" s="46"/>
      <c r="O99" s="46"/>
      <c r="P99" s="46"/>
      <c r="Q99" s="46"/>
      <c r="R99" s="46"/>
    </row>
    <row r="100" spans="2:18" ht="12.75" customHeight="1" x14ac:dyDescent="0.3">
      <c r="B100" s="49"/>
      <c r="C100" s="49"/>
      <c r="D100" s="49"/>
      <c r="E100" s="49"/>
      <c r="F100" s="46"/>
      <c r="G100" s="46"/>
      <c r="H100" s="46"/>
      <c r="I100" s="46"/>
      <c r="J100" s="46"/>
      <c r="L100" s="46"/>
      <c r="M100" s="46"/>
      <c r="N100" s="46"/>
      <c r="O100" s="46"/>
      <c r="P100" s="46"/>
      <c r="Q100" s="46"/>
      <c r="R100" s="46"/>
    </row>
    <row r="101" spans="2:18" ht="12.75" customHeight="1" x14ac:dyDescent="0.3">
      <c r="B101" s="49"/>
      <c r="C101" s="49"/>
      <c r="D101" s="49"/>
      <c r="E101" s="49"/>
      <c r="F101" s="46"/>
      <c r="G101" s="46"/>
      <c r="H101" s="46"/>
      <c r="I101" s="46"/>
      <c r="J101" s="46"/>
      <c r="L101" s="46"/>
      <c r="M101" s="46"/>
      <c r="N101" s="46"/>
      <c r="O101" s="46"/>
      <c r="P101" s="46"/>
      <c r="Q101" s="46"/>
      <c r="R101" s="46"/>
    </row>
    <row r="102" spans="2:18" ht="12.75" customHeight="1" x14ac:dyDescent="0.3">
      <c r="B102" s="49"/>
      <c r="C102" s="49"/>
      <c r="D102" s="49"/>
      <c r="E102" s="49"/>
      <c r="F102" s="46"/>
      <c r="G102" s="46"/>
      <c r="H102" s="46"/>
      <c r="I102" s="46"/>
      <c r="J102" s="46"/>
      <c r="L102" s="46"/>
      <c r="M102" s="46"/>
      <c r="N102" s="46"/>
      <c r="O102" s="46"/>
      <c r="P102" s="46"/>
      <c r="Q102" s="46"/>
      <c r="R102" s="46"/>
    </row>
    <row r="103" spans="2:18" ht="12.75" customHeight="1" x14ac:dyDescent="0.3">
      <c r="B103" s="49"/>
      <c r="C103" s="49"/>
      <c r="D103" s="49"/>
      <c r="E103" s="49"/>
      <c r="F103" s="46"/>
      <c r="G103" s="46"/>
      <c r="H103" s="46"/>
      <c r="I103" s="46"/>
      <c r="J103" s="46"/>
      <c r="L103" s="46"/>
      <c r="M103" s="46"/>
      <c r="N103" s="46"/>
      <c r="O103" s="46"/>
      <c r="P103" s="46"/>
      <c r="Q103" s="46"/>
      <c r="R103" s="46"/>
    </row>
    <row r="104" spans="2:18" ht="12.75" customHeight="1" x14ac:dyDescent="0.3">
      <c r="B104" s="49"/>
      <c r="C104" s="49"/>
      <c r="D104" s="49"/>
      <c r="E104" s="49"/>
      <c r="F104" s="46"/>
      <c r="G104" s="46"/>
      <c r="H104" s="46"/>
      <c r="I104" s="46"/>
      <c r="J104" s="46"/>
      <c r="L104" s="46"/>
      <c r="M104" s="46"/>
      <c r="N104" s="46"/>
      <c r="O104" s="46"/>
      <c r="P104" s="46"/>
      <c r="Q104" s="46"/>
      <c r="R104" s="46"/>
    </row>
    <row r="105" spans="2:18" ht="12.75" customHeight="1" x14ac:dyDescent="0.3">
      <c r="B105" s="49"/>
      <c r="C105" s="49"/>
      <c r="D105" s="49"/>
      <c r="E105" s="49"/>
      <c r="F105" s="46"/>
      <c r="G105" s="46"/>
      <c r="H105" s="46"/>
      <c r="I105" s="46"/>
      <c r="J105" s="46"/>
      <c r="L105" s="46"/>
      <c r="M105" s="46"/>
      <c r="N105" s="46"/>
      <c r="O105" s="46"/>
      <c r="P105" s="46"/>
      <c r="Q105" s="46"/>
      <c r="R105" s="46"/>
    </row>
    <row r="106" spans="2:18" ht="12.75" customHeight="1" x14ac:dyDescent="0.3">
      <c r="B106" s="49"/>
      <c r="C106" s="49"/>
      <c r="D106" s="49"/>
      <c r="E106" s="49"/>
      <c r="F106" s="46"/>
      <c r="G106" s="46"/>
      <c r="H106" s="46"/>
      <c r="I106" s="46"/>
      <c r="J106" s="46"/>
      <c r="L106" s="46"/>
      <c r="M106" s="46"/>
      <c r="N106" s="46"/>
      <c r="O106" s="46"/>
      <c r="P106" s="46"/>
      <c r="Q106" s="46"/>
      <c r="R106" s="46"/>
    </row>
    <row r="107" spans="2:18" ht="12.75" customHeight="1" x14ac:dyDescent="0.3">
      <c r="H107" s="46"/>
      <c r="I107" s="46"/>
      <c r="J107" s="46"/>
      <c r="L107" s="46"/>
      <c r="M107" s="46"/>
      <c r="N107" s="46"/>
      <c r="O107" s="46"/>
      <c r="P107" s="46"/>
      <c r="Q107" s="46"/>
      <c r="R107" s="46"/>
    </row>
    <row r="108" spans="2:18" ht="12.75" customHeight="1" x14ac:dyDescent="0.3">
      <c r="H108" s="46"/>
      <c r="I108" s="46"/>
      <c r="J108" s="46"/>
      <c r="L108" s="46"/>
      <c r="M108" s="46"/>
      <c r="N108" s="46"/>
      <c r="O108" s="46"/>
      <c r="P108" s="46"/>
      <c r="Q108" s="46"/>
      <c r="R108" s="46"/>
    </row>
    <row r="109" spans="2:18" ht="12.75" customHeight="1" x14ac:dyDescent="0.3">
      <c r="L109" s="46"/>
      <c r="M109" s="46"/>
      <c r="N109" s="46"/>
      <c r="O109" s="46"/>
      <c r="P109" s="46"/>
      <c r="Q109" s="46"/>
      <c r="R109" s="46"/>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8">
    <tabColor rgb="FF00B050"/>
  </sheetPr>
  <dimension ref="A1:AN96"/>
  <sheetViews>
    <sheetView showGridLines="0" tabSelected="1" topLeftCell="R1" zoomScaleNormal="100" workbookViewId="0">
      <pane ySplit="9" topLeftCell="A10" activePane="bottomLeft" state="frozen"/>
      <selection pane="bottomLeft" activeCell="AD25" sqref="AD24:AD25"/>
    </sheetView>
  </sheetViews>
  <sheetFormatPr defaultColWidth="9.109375" defaultRowHeight="12.75" customHeight="1" x14ac:dyDescent="0.3"/>
  <cols>
    <col min="1" max="1" width="3" style="3" customWidth="1"/>
    <col min="2" max="2" width="18.109375" style="3" customWidth="1"/>
    <col min="3" max="3" width="59.6640625" style="3" customWidth="1"/>
    <col min="4" max="4" width="10.6640625" style="3" customWidth="1"/>
    <col min="5" max="5" width="13.109375" style="3" bestFit="1" customWidth="1"/>
    <col min="6" max="6" width="9.88671875" style="3" customWidth="1"/>
    <col min="7" max="7" width="9.88671875" style="68" customWidth="1"/>
    <col min="8" max="10" width="7.109375" style="3" customWidth="1"/>
    <col min="11" max="11" width="9.109375" style="3" customWidth="1"/>
    <col min="12" max="12" width="9.109375" style="68" customWidth="1"/>
    <col min="13" max="13" width="9.33203125" style="3" customWidth="1"/>
    <col min="14" max="15" width="10.6640625" style="3" customWidth="1"/>
    <col min="16" max="16" width="9.6640625" style="3" customWidth="1"/>
    <col min="17" max="17" width="8.88671875" style="68" customWidth="1"/>
    <col min="18" max="18" width="9.88671875" style="3" customWidth="1"/>
    <col min="19" max="19" width="8.88671875" style="3" customWidth="1"/>
    <col min="20" max="21" width="8.88671875" style="68" customWidth="1"/>
    <col min="22" max="22" width="8.109375" style="3" bestFit="1" customWidth="1"/>
    <col min="23" max="23" width="9.109375" style="3" customWidth="1"/>
    <col min="24" max="24" width="8.33203125" style="3" customWidth="1"/>
    <col min="25" max="25" width="12.44140625" style="3" bestFit="1" customWidth="1"/>
    <col min="26" max="26" width="7.109375" style="68" customWidth="1"/>
    <col min="27" max="27" width="7.109375" style="3" customWidth="1"/>
    <col min="28" max="29" width="9.109375" style="3"/>
    <col min="30" max="30" width="9.109375" style="68" customWidth="1"/>
    <col min="31" max="34" width="9.109375" style="3"/>
    <col min="35" max="35" width="10.44140625" style="3" bestFit="1" customWidth="1"/>
    <col min="36" max="16384" width="9.109375" style="3"/>
  </cols>
  <sheetData>
    <row r="1" spans="1:40" s="2" customFormat="1" ht="36.6" customHeight="1" x14ac:dyDescent="0.3">
      <c r="A1" s="1"/>
      <c r="B1" s="27"/>
      <c r="C1" s="114" t="s">
        <v>722</v>
      </c>
      <c r="D1" s="28"/>
      <c r="E1" s="28"/>
      <c r="F1" s="28"/>
      <c r="G1" s="28"/>
      <c r="H1" s="28"/>
      <c r="I1" s="28"/>
      <c r="J1" s="28"/>
      <c r="K1" s="28"/>
      <c r="L1" s="28"/>
      <c r="M1" s="28"/>
      <c r="N1" s="28"/>
      <c r="O1" s="28"/>
      <c r="P1" s="28"/>
      <c r="Q1" s="28"/>
      <c r="R1" s="28"/>
      <c r="S1" s="28"/>
      <c r="T1" s="28"/>
      <c r="U1" s="28"/>
      <c r="V1" s="28"/>
      <c r="W1" s="28"/>
      <c r="X1" s="28"/>
      <c r="Y1" s="28"/>
      <c r="Z1" s="28"/>
      <c r="AA1" s="28"/>
      <c r="AB1" s="29"/>
      <c r="AC1" s="29"/>
      <c r="AD1" s="29"/>
      <c r="AE1" s="29"/>
      <c r="AF1" s="29"/>
      <c r="AG1" s="29"/>
      <c r="AH1" s="29"/>
      <c r="AI1" s="29"/>
      <c r="AJ1" s="29"/>
      <c r="AK1" s="29"/>
      <c r="AL1" s="29"/>
      <c r="AM1" s="29"/>
      <c r="AN1" s="29"/>
    </row>
    <row r="2" spans="1:40" ht="12.75" customHeight="1" x14ac:dyDescent="0.3">
      <c r="B2" s="25"/>
      <c r="C2" s="25"/>
      <c r="I2" s="25"/>
      <c r="J2" s="25"/>
      <c r="K2" s="25"/>
      <c r="L2" s="25"/>
      <c r="M2" s="25"/>
      <c r="N2" s="26"/>
      <c r="O2" s="25"/>
      <c r="P2" s="25"/>
      <c r="Q2" s="25"/>
      <c r="R2" s="25"/>
      <c r="S2" s="25"/>
      <c r="T2" s="25"/>
      <c r="U2" s="25"/>
      <c r="V2" s="25"/>
      <c r="W2" s="25"/>
      <c r="X2" s="25"/>
      <c r="Y2" s="25"/>
      <c r="Z2" s="25"/>
      <c r="AA2" s="25"/>
      <c r="AB2" s="25"/>
      <c r="AE2" s="25"/>
      <c r="AF2" s="25"/>
      <c r="AG2" s="25"/>
      <c r="AH2" s="25"/>
      <c r="AI2" s="25"/>
      <c r="AJ2" s="25"/>
      <c r="AK2" s="25"/>
      <c r="AL2" s="25"/>
      <c r="AM2" s="25"/>
      <c r="AN2" s="25"/>
    </row>
    <row r="3" spans="1:40" ht="12.75" customHeight="1" x14ac:dyDescent="0.3">
      <c r="B3" s="4" t="s">
        <v>0</v>
      </c>
      <c r="C3" s="5" t="s">
        <v>723</v>
      </c>
      <c r="I3" s="25"/>
      <c r="J3" s="242"/>
      <c r="K3" s="25"/>
      <c r="L3" s="25"/>
      <c r="M3" s="30"/>
      <c r="N3" s="26"/>
      <c r="O3" s="25"/>
      <c r="P3" s="25"/>
      <c r="Q3" s="25"/>
      <c r="R3" s="30"/>
      <c r="S3" s="30"/>
      <c r="T3" s="30"/>
      <c r="U3" s="30"/>
      <c r="V3" s="25"/>
      <c r="W3" s="25"/>
      <c r="X3" s="25"/>
      <c r="Y3" s="25"/>
      <c r="Z3" s="25"/>
      <c r="AA3" s="25"/>
      <c r="AB3" s="25"/>
      <c r="AE3" s="25"/>
      <c r="AF3" s="25"/>
      <c r="AG3" s="25"/>
      <c r="AH3" s="25"/>
      <c r="AI3" s="25"/>
      <c r="AJ3" s="25"/>
      <c r="AK3" s="25"/>
      <c r="AL3" s="25"/>
      <c r="AM3" s="25"/>
      <c r="AN3" s="25"/>
    </row>
    <row r="4" spans="1:40" ht="12.75" customHeight="1" x14ac:dyDescent="0.3">
      <c r="B4" s="25"/>
      <c r="C4" s="25"/>
      <c r="D4" s="25"/>
      <c r="E4" s="25"/>
      <c r="F4" s="25"/>
      <c r="G4" s="25"/>
      <c r="H4" s="25"/>
      <c r="I4" s="25"/>
      <c r="J4" s="25"/>
      <c r="K4" s="25"/>
      <c r="L4" s="25"/>
      <c r="M4" s="25"/>
      <c r="N4" s="25"/>
      <c r="O4" s="25"/>
      <c r="P4" s="25"/>
      <c r="Q4" s="25"/>
      <c r="R4" s="25"/>
      <c r="S4" s="25"/>
      <c r="T4" s="25"/>
      <c r="U4" s="25"/>
      <c r="V4" s="25"/>
      <c r="W4" s="25"/>
      <c r="X4" s="25"/>
      <c r="Y4" s="25"/>
      <c r="Z4" s="25"/>
      <c r="AA4" s="25"/>
      <c r="AB4" s="101"/>
      <c r="AE4" s="25"/>
      <c r="AF4" s="87"/>
      <c r="AG4" s="25"/>
      <c r="AH4" s="25"/>
      <c r="AI4" s="25"/>
      <c r="AJ4" s="25"/>
      <c r="AK4" s="25"/>
      <c r="AL4" s="25"/>
      <c r="AM4" s="25"/>
      <c r="AN4" s="25"/>
    </row>
    <row r="5" spans="1:40" ht="12.75" customHeight="1" x14ac:dyDescent="0.3">
      <c r="B5" s="25"/>
      <c r="C5" s="25"/>
      <c r="D5" s="25"/>
      <c r="E5" s="25"/>
      <c r="F5" s="25"/>
      <c r="G5" s="25"/>
      <c r="H5" s="25"/>
      <c r="I5" s="25"/>
      <c r="J5" s="25"/>
      <c r="K5" s="25"/>
      <c r="L5" s="25"/>
      <c r="M5" s="25"/>
      <c r="N5" s="25"/>
      <c r="O5" s="25"/>
      <c r="P5" s="25"/>
      <c r="Q5" s="25"/>
      <c r="R5" s="25"/>
      <c r="S5" s="25"/>
      <c r="T5" s="25"/>
      <c r="U5" s="25"/>
      <c r="V5" s="31"/>
      <c r="W5" s="31"/>
      <c r="X5" s="25"/>
      <c r="Y5" s="25"/>
      <c r="Z5" s="25"/>
      <c r="AA5" s="25"/>
      <c r="AB5" s="25"/>
      <c r="AC5" s="25"/>
      <c r="AD5" s="25"/>
      <c r="AE5" s="25"/>
      <c r="AF5" s="82"/>
      <c r="AG5" s="83"/>
      <c r="AH5" s="25"/>
      <c r="AI5" s="25"/>
      <c r="AJ5" s="25"/>
      <c r="AK5" s="25"/>
      <c r="AL5" s="25"/>
      <c r="AM5" s="25"/>
      <c r="AN5" s="25"/>
    </row>
    <row r="6" spans="1:40" ht="12.75" customHeight="1" x14ac:dyDescent="0.3">
      <c r="B6" s="25"/>
      <c r="C6" s="25"/>
      <c r="D6" s="25"/>
      <c r="E6" s="25"/>
      <c r="G6" s="7" t="s">
        <v>1</v>
      </c>
      <c r="I6" s="32"/>
      <c r="J6" s="32"/>
      <c r="K6" s="33"/>
      <c r="L6" s="33"/>
      <c r="M6" s="25"/>
      <c r="N6" s="25"/>
      <c r="O6" s="25"/>
      <c r="P6" s="25"/>
      <c r="Q6" s="25"/>
      <c r="R6" s="25"/>
      <c r="S6" s="25"/>
      <c r="T6" s="25"/>
      <c r="U6" s="25"/>
      <c r="V6" s="31"/>
      <c r="W6" s="31"/>
      <c r="X6" s="25"/>
      <c r="Y6" s="25"/>
      <c r="Z6" s="25"/>
      <c r="AA6" s="25"/>
      <c r="AB6" s="25"/>
      <c r="AC6" s="25"/>
      <c r="AD6" s="25"/>
      <c r="AE6" s="25"/>
      <c r="AF6" s="84"/>
      <c r="AG6" s="85"/>
      <c r="AH6" s="25"/>
      <c r="AI6" s="25"/>
      <c r="AJ6" s="25"/>
      <c r="AK6" s="25"/>
      <c r="AL6" s="25"/>
      <c r="AM6" s="25"/>
      <c r="AN6" s="25"/>
    </row>
    <row r="7" spans="1:40" s="13" customFormat="1" ht="26.25" customHeight="1" x14ac:dyDescent="0.3">
      <c r="A7" s="3"/>
      <c r="B7" s="8" t="s">
        <v>2</v>
      </c>
      <c r="C7" s="8" t="s">
        <v>3</v>
      </c>
      <c r="D7" s="8" t="s">
        <v>4</v>
      </c>
      <c r="E7" s="8" t="s">
        <v>5</v>
      </c>
      <c r="F7" s="9" t="s">
        <v>6</v>
      </c>
      <c r="G7" s="8" t="s">
        <v>171</v>
      </c>
      <c r="H7" s="10" t="s">
        <v>7</v>
      </c>
      <c r="I7" s="10" t="s">
        <v>9</v>
      </c>
      <c r="J7" s="11" t="s">
        <v>10</v>
      </c>
      <c r="K7" s="10" t="s">
        <v>332</v>
      </c>
      <c r="L7" s="8" t="s">
        <v>11</v>
      </c>
      <c r="M7" s="8" t="s">
        <v>12</v>
      </c>
      <c r="N7" s="8" t="s">
        <v>13</v>
      </c>
      <c r="O7" s="8" t="s">
        <v>14</v>
      </c>
      <c r="P7" s="8" t="s">
        <v>150</v>
      </c>
      <c r="Q7" s="8" t="s">
        <v>15</v>
      </c>
      <c r="R7" s="8" t="s">
        <v>16</v>
      </c>
      <c r="S7" s="8" t="s">
        <v>340</v>
      </c>
      <c r="T7" s="8" t="s">
        <v>333</v>
      </c>
      <c r="U7" s="76" t="str">
        <f>Table11[[#Headers],[INVCOST]]</f>
        <v>INVCOST</v>
      </c>
      <c r="V7" s="12" t="s">
        <v>17</v>
      </c>
      <c r="W7" s="12" t="s">
        <v>18</v>
      </c>
      <c r="X7" s="12" t="s">
        <v>19</v>
      </c>
      <c r="Y7" s="12" t="s">
        <v>20</v>
      </c>
      <c r="Z7" s="12" t="s">
        <v>721</v>
      </c>
      <c r="AA7" s="12" t="s">
        <v>353</v>
      </c>
      <c r="AB7" s="236" t="s">
        <v>355</v>
      </c>
      <c r="AC7" s="236" t="s">
        <v>356</v>
      </c>
      <c r="AD7" s="236" t="s">
        <v>357</v>
      </c>
      <c r="AE7" s="236" t="s">
        <v>358</v>
      </c>
      <c r="AF7" s="236" t="s">
        <v>359</v>
      </c>
      <c r="AG7" s="236"/>
      <c r="AI7" s="13" t="s">
        <v>344</v>
      </c>
      <c r="AL7" s="86"/>
      <c r="AM7" s="86"/>
    </row>
    <row r="8" spans="1:40" s="2" customFormat="1" ht="44.4" customHeight="1" thickBot="1" x14ac:dyDescent="0.35">
      <c r="A8" s="3"/>
      <c r="B8" s="14" t="s">
        <v>22</v>
      </c>
      <c r="C8" s="15"/>
      <c r="D8" s="14" t="s">
        <v>23</v>
      </c>
      <c r="E8" s="15"/>
      <c r="F8" s="16"/>
      <c r="G8" s="15"/>
      <c r="H8" s="17"/>
      <c r="I8" s="17"/>
      <c r="J8" s="18"/>
      <c r="K8" s="15" t="s">
        <v>24</v>
      </c>
      <c r="L8" s="15"/>
      <c r="M8" s="17"/>
      <c r="N8" s="17"/>
      <c r="O8" s="17"/>
      <c r="P8" s="17"/>
      <c r="Q8" s="17"/>
      <c r="R8" s="17"/>
      <c r="S8" s="19"/>
      <c r="T8" s="17"/>
      <c r="U8" s="17"/>
      <c r="V8" s="17"/>
      <c r="W8" s="15"/>
      <c r="X8" s="15"/>
      <c r="Y8" s="15"/>
      <c r="Z8" s="15"/>
      <c r="AA8" s="15"/>
      <c r="AB8" s="237"/>
      <c r="AC8" s="237"/>
      <c r="AD8" s="237"/>
      <c r="AE8" s="237"/>
      <c r="AF8" s="237"/>
      <c r="AG8" s="237"/>
    </row>
    <row r="9" spans="1:40" ht="12.75" customHeight="1" thickBot="1" x14ac:dyDescent="0.35">
      <c r="A9" s="68"/>
      <c r="B9" s="20" t="s">
        <v>25</v>
      </c>
      <c r="C9" s="20"/>
      <c r="D9" s="20"/>
      <c r="E9" s="20"/>
      <c r="F9" s="21"/>
      <c r="G9" s="20"/>
      <c r="H9" s="22"/>
      <c r="I9" s="22"/>
      <c r="J9" s="22"/>
      <c r="K9" s="20" t="s">
        <v>26</v>
      </c>
      <c r="L9" s="20"/>
      <c r="M9" s="20" t="s">
        <v>26</v>
      </c>
      <c r="N9" s="20" t="s">
        <v>26</v>
      </c>
      <c r="O9" s="20" t="s">
        <v>26</v>
      </c>
      <c r="P9" s="20" t="s">
        <v>26</v>
      </c>
      <c r="Q9" s="20" t="s">
        <v>26</v>
      </c>
      <c r="R9" s="20" t="s">
        <v>26</v>
      </c>
      <c r="S9" s="23" t="s">
        <v>26</v>
      </c>
      <c r="T9" s="225"/>
      <c r="U9" s="20" t="s">
        <v>579</v>
      </c>
      <c r="V9" s="20" t="s">
        <v>579</v>
      </c>
      <c r="W9" s="20" t="s">
        <v>580</v>
      </c>
      <c r="X9" s="20" t="s">
        <v>27</v>
      </c>
      <c r="Y9" s="20" t="s">
        <v>27</v>
      </c>
      <c r="Z9" s="20"/>
      <c r="AA9" s="20" t="s">
        <v>27</v>
      </c>
      <c r="AB9" s="224" t="s">
        <v>582</v>
      </c>
      <c r="AC9" s="224" t="s">
        <v>583</v>
      </c>
      <c r="AD9" s="224" t="s">
        <v>584</v>
      </c>
      <c r="AE9" s="224" t="s">
        <v>585</v>
      </c>
      <c r="AF9" s="224" t="s">
        <v>586</v>
      </c>
      <c r="AG9" s="224"/>
      <c r="AJ9" s="68"/>
    </row>
    <row r="10" spans="1:40" s="68" customFormat="1" ht="12.75" customHeight="1" x14ac:dyDescent="0.3">
      <c r="B10" s="94" t="str">
        <f>"ET"&amp;RIGHT(E10,3)&amp;RIGHT(C10,3)&amp;LEFT(C10,2)&amp;"1E"</f>
        <v>ETNGATPPTP1E</v>
      </c>
      <c r="C10" s="94" t="s">
        <v>335</v>
      </c>
      <c r="D10" s="94" t="s">
        <v>220</v>
      </c>
      <c r="E10" s="95" t="s">
        <v>147</v>
      </c>
      <c r="F10" s="95" t="s">
        <v>28</v>
      </c>
      <c r="G10" s="95" t="s">
        <v>581</v>
      </c>
      <c r="H10" s="98">
        <f>INDEX(ELC_TechsR_ELC!$C$3:$AM$138,MATCH($AK10,ELC_TechsR_ELC!$B$3:$B$138,0),MATCH(H$7,ELC_TechsR_ELC!$C$2:$AM$2,0))</f>
        <v>0.39</v>
      </c>
      <c r="I10" s="115"/>
      <c r="J10" s="96"/>
      <c r="K10" s="94">
        <f>SUMIFS('PP List'!M$9:M$129,'PP List'!$J$9:$J$129,Tech!$C10,'PP List'!$F$9:$F$129,Tech!$D10)</f>
        <v>2400</v>
      </c>
      <c r="L10" s="94">
        <f>SUMIFS('PP List'!N$9:N$129,'PP List'!$J$9:$J$129,Tech!$C10,'PP List'!$F$9:$F$129,Tech!$D10)</f>
        <v>2400</v>
      </c>
      <c r="M10" s="94">
        <f>SUMIFS('PP List'!O$9:O$129,'PP List'!$J$9:$J$129,Tech!$C10,'PP List'!$F$9:$F$129,Tech!$D10)</f>
        <v>2400</v>
      </c>
      <c r="N10" s="94">
        <f>M10/2</f>
        <v>1200</v>
      </c>
      <c r="O10" s="94">
        <f>SUMIFS('PP List'!Q$9:Q$129,'PP List'!$J$9:$J$129,Tech!$C10,'PP List'!$F$9:$F$129,Tech!$D10)</f>
        <v>0</v>
      </c>
      <c r="P10" s="94">
        <f>SUMIFS('PP List'!R$9:R$129,'PP List'!$J$9:$J$129,Tech!$C10,'PP List'!$F$9:$F$129,Tech!$D10)</f>
        <v>0</v>
      </c>
      <c r="Q10" s="94">
        <f>SUMIFS('PP List'!S$9:S$129,'PP List'!$J$9:$J$129,Tech!$C10,'PP List'!$F$9:$F$129,Tech!$D10)</f>
        <v>0</v>
      </c>
      <c r="R10" s="94">
        <f>SUMIFS('PP List'!T$9:T$129,'PP List'!$J$9:$J$129,Tech!$C10,'PP List'!$F$9:$F$129,Tech!$D10)</f>
        <v>0</v>
      </c>
      <c r="S10" s="94">
        <f>SUMIFS('PP List'!W$9:W$129,'PP List'!$J$9:$J$129,Tech!$C10,'PP List'!$F$9:$F$129,Tech!$D10)</f>
        <v>0</v>
      </c>
      <c r="T10" s="94">
        <v>1985</v>
      </c>
      <c r="U10" s="98">
        <f>INDEX(ELC_TechsR_ELC!$C$3:$AM$138,MATCH($AK10,ELC_TechsR_ELC!$B$3:$B$138,0),MATCH(U$7,ELC_TechsR_ELC!$C$2:$AM$2,0))/7.45</f>
        <v>0.46800000000000003</v>
      </c>
      <c r="V10" s="98">
        <f>INDEX(ELC_TechsR_ELC!$C$3:$AM$138,MATCH($AK10,ELC_TechsR_ELC!$B$3:$B$138,0),MATCH(V$7,ELC_TechsR_ELC!$C$2:$AM$2,0))/7.45</f>
        <v>8.0680000000000005E-3</v>
      </c>
      <c r="W10" s="98">
        <f>INDEX(ELC_TechsR_ELC!$C$3:$AM$138,MATCH($AK10,ELC_TechsR_ELC!$B$3:$B$138,0),MATCH(W$7,ELC_TechsR_ELC!$C$2:$AM$2,0))/7.45</f>
        <v>1.25</v>
      </c>
      <c r="X10" s="99">
        <f>INDEX(ELC_TechsR_ELC!$C$3:$AM$138,MATCH($AK10,ELC_TechsR_ELC!$B$3:$B$138,0),MATCH(X$7,ELC_TechsR_ELC!$C$2:$AM$2,0))</f>
        <v>3.1536000000000002E-2</v>
      </c>
      <c r="Y10" s="98">
        <v>0.7</v>
      </c>
      <c r="Z10" s="98"/>
      <c r="AA10" s="98">
        <f>INDEX(ELC_TechsR_ELC!$C$3:$AM$138,MATCH($AK10,ELC_TechsR_ELC!$B$3:$B$138,0),MATCH(AA$7,ELC_TechsR_ELC!$C$2:$AM$2,0))</f>
        <v>1</v>
      </c>
      <c r="AB10" s="98">
        <f>INDEX(ELC_TechsR_ELC!$C$3:$AM$138,MATCH($AK10,ELC_TechsR_ELC!$B$3:$B$138,0),MATCH(AB$9,ELC_TechsR_ELC!$C$1:$AM$1,0))</f>
        <v>48</v>
      </c>
      <c r="AC10" s="98">
        <f>INDEX(ELC_TechsR_ELC!$C$3:$AM$138,MATCH($AK10,ELC_TechsR_ELC!$B$3:$B$138,0),MATCH(AC$9,ELC_TechsR_ELC!$C$1:$AM$1,0))/25</f>
        <v>6.8000000000000005E-2</v>
      </c>
      <c r="AD10" s="98">
        <f>INDEX(ELC_TechsR_ELC!$C$3:$AM$138,MATCH($AK10,ELC_TechsR_ELC!$B$3:$B$138,0),MATCH(AD$9,ELC_TechsR_ELC!$C$1:$AM$1,0))</f>
        <v>1</v>
      </c>
      <c r="AE10" s="98">
        <f>INDEX(ELC_TechsR_ELC!$C$3:$AM$138,MATCH($AK10,ELC_TechsR_ELC!$B$3:$B$138,0),MATCH(AE$9,ELC_TechsR_ELC!$C$1:$AM$1,0))</f>
        <v>0.43</v>
      </c>
      <c r="AF10" s="98">
        <f>INDEX(ELC_TechsR_ELC!$C$3:$AM$138,MATCH($AK10,ELC_TechsR_ELC!$B$3:$B$138,0),MATCH(AF$9,ELC_TechsR_ELC!$C$1:$AM$1,0))</f>
        <v>0.1</v>
      </c>
      <c r="AG10" s="98"/>
      <c r="AI10" s="68" t="s">
        <v>345</v>
      </c>
      <c r="AK10" s="239" t="str">
        <f>ELC_TechsR_ELC!B54</f>
        <v>ETCDNGAELCN2</v>
      </c>
    </row>
    <row r="11" spans="1:40" s="68" customFormat="1" ht="12.75" customHeight="1" x14ac:dyDescent="0.3">
      <c r="B11" s="94" t="str">
        <f>"ET"&amp;RIGHT(E11,3)&amp;RIGHT(C11,3)&amp;LEFT(C11,2)&amp;"1E"</f>
        <v>ETNGACPPJa1E</v>
      </c>
      <c r="C11" s="94" t="s">
        <v>301</v>
      </c>
      <c r="D11" s="94" t="s">
        <v>220</v>
      </c>
      <c r="E11" s="95" t="s">
        <v>147</v>
      </c>
      <c r="F11" s="95" t="s">
        <v>28</v>
      </c>
      <c r="G11" s="95" t="s">
        <v>581</v>
      </c>
      <c r="H11" s="97">
        <f>INDEX(ELC_TechsR_DHC!$C$3:$AM$138,MATCH($AK11,ELC_TechsR_DHC!$B$3:$B$138,0),MATCH(H$7,ELC_TechsR_DHC!$C$2:$AM$2,0))</f>
        <v>0.55000000000000004</v>
      </c>
      <c r="I11" s="115"/>
      <c r="J11" s="96"/>
      <c r="K11" s="94">
        <f>SUMIFS('PP List'!M$9:M$129,'PP List'!$J$9:$J$129,Tech!$C11,'PP List'!$F$9:$F$129,Tech!$D11)</f>
        <v>0</v>
      </c>
      <c r="L11" s="94">
        <f>SUMIFS('PP List'!N$9:N$129,'PP List'!$J$9:$J$129,Tech!$C11,'PP List'!$F$9:$F$129,Tech!$D11)</f>
        <v>780</v>
      </c>
      <c r="M11" s="94">
        <f>SUMIFS('PP List'!O$9:O$129,'PP List'!$J$9:$J$129,Tech!$C11,'PP List'!$F$9:$F$129,Tech!$D11)</f>
        <v>780</v>
      </c>
      <c r="N11" s="94">
        <f>SUMIFS('PP List'!P$9:P$129,'PP List'!$J$9:$J$129,Tech!$C11,'PP List'!$F$9:$F$129,Tech!$D11)</f>
        <v>780</v>
      </c>
      <c r="O11" s="94">
        <f>SUMIFS('PP List'!Q$9:Q$129,'PP List'!$J$9:$J$129,Tech!$C11,'PP List'!$F$9:$F$129,Tech!$D11)</f>
        <v>780</v>
      </c>
      <c r="P11" s="94">
        <f>SUMIFS('PP List'!R$9:R$129,'PP List'!$J$9:$J$129,Tech!$C11,'PP List'!$F$9:$F$129,Tech!$D11)</f>
        <v>780</v>
      </c>
      <c r="Q11" s="94">
        <f>SUMIFS('PP List'!S$9:S$129,'PP List'!$J$9:$J$129,Tech!$C11,'PP List'!$F$9:$F$129,Tech!$D11)</f>
        <v>780</v>
      </c>
      <c r="R11" s="94">
        <f>SUMIFS('PP List'!T$9:T$129,'PP List'!$J$9:$J$129,Tech!$C11,'PP List'!$F$9:$F$129,Tech!$D11)</f>
        <v>0</v>
      </c>
      <c r="S11" s="94">
        <f>SUMIFS('PP List'!W$9:W$129,'PP List'!$J$9:$J$129,Tech!$C11,'PP List'!$F$9:$F$129,Tech!$D11)</f>
        <v>0</v>
      </c>
      <c r="T11" s="232">
        <f>AVERAGEIFS('PP List'!$H$9:$H$129,'PP List'!$J$9:$J$129,Tech!$C11)</f>
        <v>2013</v>
      </c>
      <c r="U11" s="98">
        <f>INDEX(ELC_TechsR_DHC!$C$3:$AM$138,MATCH($AK11,ELC_TechsR_DHC!$B$3:$B$138,0),MATCH(U$7,ELC_TechsR_DHC!$C$2:$AM$2,0))/7.45</f>
        <v>0.9</v>
      </c>
      <c r="V11" s="98">
        <f>INDEX(ELC_TechsR_DHC!$C$3:$AM$138,MATCH($AK11,ELC_TechsR_DHC!$B$3:$B$138,0),MATCH(V$7,ELC_TechsR_DHC!$C$2:$AM$2,0))/7.45</f>
        <v>0.03</v>
      </c>
      <c r="W11" s="98">
        <f>INDEX(ELC_TechsR_DHC!$C$3:$AM$138,MATCH($AK11,ELC_TechsR_DHC!$B$3:$B$138,0),MATCH(W$7,ELC_TechsR_DHC!$C$2:$AM$2,0))/7.45</f>
        <v>1.25</v>
      </c>
      <c r="X11" s="99">
        <f>INDEX(ELC_TechsR_DHC!$C$3:$AM$138,MATCH($AK11,ELC_TechsR_DHC!$B$3:$B$138,0),MATCH(X$7,ELC_TechsR_DHC!$C$2:$AM$2,0))</f>
        <v>3.1536000000000002E-2</v>
      </c>
      <c r="Y11" s="98">
        <v>0.7</v>
      </c>
      <c r="Z11" s="98"/>
      <c r="AA11" s="98">
        <f>INDEX(ELC_TechsR_DHC!$C$3:$AM$138,MATCH($AK11,ELC_TechsR_DHC!$B$3:$B$138,0),MATCH(AA$7,ELC_TechsR_DHC!$C$2:$AM$2,0))</f>
        <v>1</v>
      </c>
      <c r="AB11" s="98">
        <f>INDEX(ELC_TechsR_DHC!$C$3:$AM$138,MATCH($AK11,ELC_TechsR_DHC!$B$3:$B$138,0),MATCH(AB$9,ELC_TechsR_DHC!$C$1:$AM$1,0))</f>
        <v>20</v>
      </c>
      <c r="AC11" s="98">
        <f>INDEX(ELC_TechsR_DHC!$C$3:$AM$138,MATCH($AK11,ELC_TechsR_DHC!$B$3:$B$138,0),MATCH(AC$9,ELC_TechsR_DHC!$C$1:$AM$1,0))/25</f>
        <v>0.06</v>
      </c>
      <c r="AD11" s="98">
        <f>INDEX(ELC_TechsR_DHC!$C$3:$AM$138,MATCH($AK11,ELC_TechsR_DHC!$B$3:$B$138,0),MATCH(AD$9,ELC_TechsR_DHC!$C$1:$AM$1,0))</f>
        <v>1</v>
      </c>
      <c r="AE11" s="98">
        <f>INDEX(ELC_TechsR_DHC!$C$3:$AM$138,MATCH($AK11,ELC_TechsR_DHC!$B$3:$B$138,0),MATCH(AE$9,ELC_TechsR_DHC!$C$1:$AM$1,0))</f>
        <v>270</v>
      </c>
      <c r="AF11" s="98">
        <f>INDEX(ELC_TechsR_DHC!$C$3:$AM$138,MATCH($AK11,ELC_TechsR_DHC!$B$3:$B$138,0),MATCH(AF$9,ELC_TechsR_DHC!$C$1:$AM$1,0))</f>
        <v>0</v>
      </c>
      <c r="AG11" s="98"/>
      <c r="AI11" s="68" t="s">
        <v>346</v>
      </c>
      <c r="AK11" s="238" t="str">
        <f>ELC_TechsR_DHC!B23</f>
        <v>ECEXNGADHCN1</v>
      </c>
    </row>
    <row r="12" spans="1:40" s="68" customFormat="1" ht="12.75" customHeight="1" x14ac:dyDescent="0.3">
      <c r="B12" s="94" t="str">
        <f>"ET"&amp;RIGHT(E12,3)&amp;RIGHT(C12,3)&amp;LEFT(C12,2)&amp;"1E"</f>
        <v>ETNGACPPSu1E</v>
      </c>
      <c r="C12" s="94" t="s">
        <v>300</v>
      </c>
      <c r="D12" s="94" t="s">
        <v>220</v>
      </c>
      <c r="E12" s="95" t="s">
        <v>147</v>
      </c>
      <c r="F12" s="95" t="s">
        <v>28</v>
      </c>
      <c r="G12" s="95" t="s">
        <v>581</v>
      </c>
      <c r="H12" s="97">
        <f>INDEX(ELC_TechsR_DHC!$C$3:$AM$138,MATCH($AK12,ELC_TechsR_DHC!$B$3:$B$138,0),MATCH(H$7,ELC_TechsR_DHC!$C$2:$AM$2,0))</f>
        <v>0.55000000000000004</v>
      </c>
      <c r="I12" s="115"/>
      <c r="J12" s="96"/>
      <c r="K12" s="94">
        <f>SUMIFS('PP List'!M$9:M$129,'PP List'!$J$9:$J$129,Tech!$C12,'PP List'!$F$9:$F$129,Tech!$D12)</f>
        <v>525.29999999999995</v>
      </c>
      <c r="L12" s="94">
        <f>SUMIFS('PP List'!N$9:N$129,'PP List'!$J$9:$J$129,Tech!$C12,'PP List'!$F$9:$F$129,Tech!$D12)</f>
        <v>525.29999999999995</v>
      </c>
      <c r="M12" s="94">
        <f>SUMIFS('PP List'!O$9:O$129,'PP List'!$J$9:$J$129,Tech!$C12,'PP List'!$F$9:$F$129,Tech!$D12)</f>
        <v>525.29999999999995</v>
      </c>
      <c r="N12" s="94">
        <f>SUMIFS('PP List'!P$9:P$129,'PP List'!$J$9:$J$129,Tech!$C12,'PP List'!$F$9:$F$129,Tech!$D12)</f>
        <v>525.29999999999995</v>
      </c>
      <c r="O12" s="94">
        <f>SUMIFS('PP List'!Q$9:Q$129,'PP List'!$J$9:$J$129,Tech!$C12,'PP List'!$F$9:$F$129,Tech!$D12)</f>
        <v>525.29999999999995</v>
      </c>
      <c r="P12" s="94">
        <f>SUMIFS('PP List'!R$9:R$129,'PP List'!$J$9:$J$129,Tech!$C12,'PP List'!$F$9:$F$129,Tech!$D12)</f>
        <v>525.29999999999995</v>
      </c>
      <c r="Q12" s="94">
        <f>SUMIFS('PP List'!S$9:S$129,'PP List'!$J$9:$J$129,Tech!$C12,'PP List'!$F$9:$F$129,Tech!$D12)</f>
        <v>0</v>
      </c>
      <c r="R12" s="94">
        <f>SUMIFS('PP List'!T$9:T$129,'PP List'!$J$9:$J$129,Tech!$C12,'PP List'!$F$9:$F$129,Tech!$D12)</f>
        <v>0</v>
      </c>
      <c r="S12" s="94">
        <f>SUMIFS('PP List'!W$9:W$129,'PP List'!$J$9:$J$129,Tech!$C12,'PP List'!$F$9:$F$129,Tech!$D12)</f>
        <v>0</v>
      </c>
      <c r="T12" s="232">
        <f>AVERAGEIFS('PP List'!$H$9:$H$129,'PP List'!$J$9:$J$129,Tech!$C12)</f>
        <v>2009</v>
      </c>
      <c r="U12" s="98">
        <f t="shared" ref="U12:AA14" si="0">U11</f>
        <v>0.9</v>
      </c>
      <c r="V12" s="98">
        <f t="shared" si="0"/>
        <v>0.03</v>
      </c>
      <c r="W12" s="98">
        <f t="shared" si="0"/>
        <v>1.25</v>
      </c>
      <c r="X12" s="99">
        <f t="shared" si="0"/>
        <v>3.1536000000000002E-2</v>
      </c>
      <c r="Y12" s="98">
        <v>0.7</v>
      </c>
      <c r="Z12" s="98"/>
      <c r="AA12" s="98">
        <f t="shared" si="0"/>
        <v>1</v>
      </c>
      <c r="AB12" s="98">
        <f>INDEX(ELC_TechsR_DHC!$C$3:$AM$138,MATCH($AK12,ELC_TechsR_DHC!$B$3:$B$138,0),MATCH(AB$9,ELC_TechsR_DHC!$C$1:$AM$1,0))</f>
        <v>20</v>
      </c>
      <c r="AC12" s="98">
        <f>INDEX(ELC_TechsR_DHC!$C$3:$AM$138,MATCH($AK12,ELC_TechsR_DHC!$B$3:$B$138,0),MATCH(AC$9,ELC_TechsR_DHC!$C$1:$AM$1,0))/25</f>
        <v>0.06</v>
      </c>
      <c r="AD12" s="98">
        <f>INDEX(ELC_TechsR_DHC!$C$3:$AM$138,MATCH($AK12,ELC_TechsR_DHC!$B$3:$B$138,0),MATCH(AD$9,ELC_TechsR_DHC!$C$1:$AM$1,0))</f>
        <v>1</v>
      </c>
      <c r="AE12" s="98">
        <f>INDEX(ELC_TechsR_DHC!$C$3:$AM$138,MATCH($AK12,ELC_TechsR_DHC!$B$3:$B$138,0),MATCH(AE$9,ELC_TechsR_DHC!$C$1:$AM$1,0))</f>
        <v>270</v>
      </c>
      <c r="AF12" s="98">
        <f>INDEX(ELC_TechsR_DHC!$C$3:$AM$138,MATCH($AK12,ELC_TechsR_DHC!$B$3:$B$138,0),MATCH(AF$9,ELC_TechsR_DHC!$C$1:$AM$1,0))</f>
        <v>0</v>
      </c>
      <c r="AG12" s="98"/>
      <c r="AI12" s="68" t="s">
        <v>346</v>
      </c>
      <c r="AK12" s="238" t="str">
        <f>AK11</f>
        <v>ECEXNGADHCN1</v>
      </c>
    </row>
    <row r="13" spans="1:40" s="68" customFormat="1" ht="12.75" customHeight="1" x14ac:dyDescent="0.3">
      <c r="B13" s="94" t="str">
        <f>"ET"&amp;RIGHT(E13,3)&amp;RIGHT(C13,3)&amp;LEFT(C13,2)&amp;"1E"</f>
        <v>ETNGACPPSh1E</v>
      </c>
      <c r="C13" s="94" t="s">
        <v>299</v>
      </c>
      <c r="D13" s="94" t="s">
        <v>220</v>
      </c>
      <c r="E13" s="95" t="s">
        <v>147</v>
      </c>
      <c r="F13" s="95" t="s">
        <v>28</v>
      </c>
      <c r="G13" s="95" t="s">
        <v>581</v>
      </c>
      <c r="H13" s="97">
        <f>INDEX(ELC_TechsR_DHC!$C$3:$AM$138,MATCH($AK13,ELC_TechsR_DHC!$B$3:$B$138,0),MATCH(H$7,ELC_TechsR_DHC!$C$2:$AM$2,0))</f>
        <v>0.55000000000000004</v>
      </c>
      <c r="I13" s="115"/>
      <c r="J13" s="96"/>
      <c r="K13" s="94">
        <f>SUMIFS('PP List'!M$9:M$129,'PP List'!$J$9:$J$129,Tech!$C13,'PP List'!$F$9:$F$129,Tech!$D13)</f>
        <v>400</v>
      </c>
      <c r="L13" s="94">
        <f>SUMIFS('PP List'!N$9:N$129,'PP List'!$J$9:$J$129,Tech!$C13,'PP List'!$F$9:$F$129,Tech!$D13)</f>
        <v>400</v>
      </c>
      <c r="M13" s="94">
        <f>SUMIFS('PP List'!O$9:O$129,'PP List'!$J$9:$J$129,Tech!$C13,'PP List'!$F$9:$F$129,Tech!$D13)</f>
        <v>400</v>
      </c>
      <c r="N13" s="94">
        <f>SUMIFS('PP List'!P$9:P$129,'PP List'!$J$9:$J$129,Tech!$C13,'PP List'!$F$9:$F$129,Tech!$D13)</f>
        <v>400</v>
      </c>
      <c r="O13" s="94">
        <f>SUMIFS('PP List'!Q$9:Q$129,'PP List'!$J$9:$J$129,Tech!$C13,'PP List'!$F$9:$F$129,Tech!$D13)</f>
        <v>400</v>
      </c>
      <c r="P13" s="94">
        <f>SUMIFS('PP List'!R$9:R$129,'PP List'!$J$9:$J$129,Tech!$C13,'PP List'!$F$9:$F$129,Tech!$D13)</f>
        <v>0</v>
      </c>
      <c r="Q13" s="94">
        <f>SUMIFS('PP List'!S$9:S$129,'PP List'!$J$9:$J$129,Tech!$C13,'PP List'!$F$9:$F$129,Tech!$D13)</f>
        <v>0</v>
      </c>
      <c r="R13" s="94">
        <f>SUMIFS('PP List'!T$9:T$129,'PP List'!$J$9:$J$129,Tech!$C13,'PP List'!$F$9:$F$129,Tech!$D13)</f>
        <v>0</v>
      </c>
      <c r="S13" s="94">
        <f>SUMIFS('PP List'!W$9:W$129,'PP List'!$J$9:$J$129,Tech!$C13,'PP List'!$F$9:$F$129,Tech!$D13)</f>
        <v>0</v>
      </c>
      <c r="T13" s="232">
        <f>AVERAGEIFS('PP List'!$H$9:$H$129,'PP List'!$J$9:$J$129,Tech!$C13)</f>
        <v>2002</v>
      </c>
      <c r="U13" s="98">
        <f t="shared" si="0"/>
        <v>0.9</v>
      </c>
      <c r="V13" s="98">
        <f t="shared" si="0"/>
        <v>0.03</v>
      </c>
      <c r="W13" s="98">
        <f t="shared" si="0"/>
        <v>1.25</v>
      </c>
      <c r="X13" s="99">
        <f t="shared" si="0"/>
        <v>3.1536000000000002E-2</v>
      </c>
      <c r="Y13" s="98">
        <f t="shared" si="0"/>
        <v>0.7</v>
      </c>
      <c r="Z13" s="98"/>
      <c r="AA13" s="98">
        <f t="shared" si="0"/>
        <v>1</v>
      </c>
      <c r="AB13" s="98">
        <f>INDEX(ELC_TechsR_DHC!$C$3:$AM$138,MATCH($AK13,ELC_TechsR_DHC!$B$3:$B$138,0),MATCH(AB$9,ELC_TechsR_DHC!$C$1:$AM$1,0))</f>
        <v>20</v>
      </c>
      <c r="AC13" s="98">
        <f>INDEX(ELC_TechsR_DHC!$C$3:$AM$138,MATCH($AK13,ELC_TechsR_DHC!$B$3:$B$138,0),MATCH(AC$9,ELC_TechsR_DHC!$C$1:$AM$1,0))/25</f>
        <v>0.06</v>
      </c>
      <c r="AD13" s="98">
        <f>INDEX(ELC_TechsR_DHC!$C$3:$AM$138,MATCH($AK13,ELC_TechsR_DHC!$B$3:$B$138,0),MATCH(AD$9,ELC_TechsR_DHC!$C$1:$AM$1,0))</f>
        <v>1</v>
      </c>
      <c r="AE13" s="98">
        <f>INDEX(ELC_TechsR_DHC!$C$3:$AM$138,MATCH($AK13,ELC_TechsR_DHC!$B$3:$B$138,0),MATCH(AE$9,ELC_TechsR_DHC!$C$1:$AM$1,0))</f>
        <v>270</v>
      </c>
      <c r="AF13" s="98">
        <f>INDEX(ELC_TechsR_DHC!$C$3:$AM$138,MATCH($AK13,ELC_TechsR_DHC!$B$3:$B$138,0),MATCH(AF$9,ELC_TechsR_DHC!$C$1:$AM$1,0))</f>
        <v>0</v>
      </c>
      <c r="AG13" s="98"/>
      <c r="AI13" s="68" t="s">
        <v>346</v>
      </c>
      <c r="AK13" s="238" t="str">
        <f>AK12</f>
        <v>ECEXNGADHCN1</v>
      </c>
    </row>
    <row r="14" spans="1:40" s="68" customFormat="1" ht="12.75" customHeight="1" x14ac:dyDescent="0.3">
      <c r="B14" s="94" t="str">
        <f>"ET"&amp;RIGHT(E14,3)&amp;RIGHT(C14,3)&amp;LEFT(C14,2)&amp;"2E"</f>
        <v>ETNGACPPSh2E</v>
      </c>
      <c r="C14" s="94" t="s">
        <v>298</v>
      </c>
      <c r="D14" s="94" t="s">
        <v>220</v>
      </c>
      <c r="E14" s="95" t="s">
        <v>147</v>
      </c>
      <c r="F14" s="95" t="s">
        <v>28</v>
      </c>
      <c r="G14" s="95" t="s">
        <v>581</v>
      </c>
      <c r="H14" s="97">
        <f>INDEX(ELC_TechsR_DHC!$C$3:$AM$138,MATCH($AK14,ELC_TechsR_DHC!$B$3:$B$138,0),MATCH(H$7,ELC_TechsR_DHC!$C$2:$AM$2,0))</f>
        <v>0.55000000000000004</v>
      </c>
      <c r="I14" s="115"/>
      <c r="J14" s="96"/>
      <c r="K14" s="94">
        <f>SUMIFS('PP List'!M$9:M$129,'PP List'!$J$9:$J$129,Tech!$C14,'PP List'!$F$9:$F$129,Tech!$D14)</f>
        <v>0</v>
      </c>
      <c r="L14" s="94">
        <f>SUMIFS('PP List'!N$9:N$129,'PP List'!$J$9:$J$129,Tech!$C14,'PP List'!$F$9:$F$129,Tech!$D14)</f>
        <v>0</v>
      </c>
      <c r="M14" s="94">
        <f>SUMIFS('PP List'!O$9:O$129,'PP List'!$J$9:$J$129,Tech!$C14,'PP List'!$F$9:$F$129,Tech!$D14)</f>
        <v>409</v>
      </c>
      <c r="N14" s="94">
        <f>SUMIFS('PP List'!P$9:P$129,'PP List'!$J$9:$J$129,Tech!$C14,'PP List'!$F$9:$F$129,Tech!$D14)</f>
        <v>409</v>
      </c>
      <c r="O14" s="94">
        <f>SUMIFS('PP List'!Q$9:Q$129,'PP List'!$J$9:$J$129,Tech!$C14,'PP List'!$F$9:$F$129,Tech!$D14)</f>
        <v>409</v>
      </c>
      <c r="P14" s="94">
        <f>SUMIFS('PP List'!R$9:R$129,'PP List'!$J$9:$J$129,Tech!$C14,'PP List'!$F$9:$F$129,Tech!$D14)</f>
        <v>409</v>
      </c>
      <c r="Q14" s="94">
        <f>SUMIFS('PP List'!S$9:S$129,'PP List'!$J$9:$J$129,Tech!$C14,'PP List'!$F$9:$F$129,Tech!$D14)</f>
        <v>409</v>
      </c>
      <c r="R14" s="94">
        <f>SUMIFS('PP List'!T$9:T$129,'PP List'!$J$9:$J$129,Tech!$C14,'PP List'!$F$9:$F$129,Tech!$D14)</f>
        <v>409</v>
      </c>
      <c r="S14" s="94">
        <f>SUMIFS('PP List'!W$9:W$129,'PP List'!$J$9:$J$129,Tech!$C14,'PP List'!$F$9:$F$129,Tech!$D14)</f>
        <v>0</v>
      </c>
      <c r="T14" s="232">
        <f>AVERAGEIFS('PP List'!$H$9:$H$129,'PP List'!$J$9:$J$129,Tech!$C14)</f>
        <v>2019</v>
      </c>
      <c r="U14" s="98">
        <f t="shared" si="0"/>
        <v>0.9</v>
      </c>
      <c r="V14" s="98">
        <f t="shared" si="0"/>
        <v>0.03</v>
      </c>
      <c r="W14" s="98">
        <f t="shared" si="0"/>
        <v>1.25</v>
      </c>
      <c r="X14" s="99">
        <f t="shared" si="0"/>
        <v>3.1536000000000002E-2</v>
      </c>
      <c r="Y14" s="98">
        <f t="shared" si="0"/>
        <v>0.7</v>
      </c>
      <c r="Z14" s="98"/>
      <c r="AA14" s="98">
        <f t="shared" si="0"/>
        <v>1</v>
      </c>
      <c r="AB14" s="98">
        <f>INDEX(ELC_TechsR_DHC!$C$3:$AM$138,MATCH($AK14,ELC_TechsR_DHC!$B$3:$B$138,0),MATCH(AB$9,ELC_TechsR_DHC!$C$1:$AM$1,0))</f>
        <v>20</v>
      </c>
      <c r="AC14" s="98">
        <f>INDEX(ELC_TechsR_DHC!$C$3:$AM$138,MATCH($AK14,ELC_TechsR_DHC!$B$3:$B$138,0),MATCH(AC$9,ELC_TechsR_DHC!$C$1:$AM$1,0))/25</f>
        <v>0.06</v>
      </c>
      <c r="AD14" s="98">
        <f>INDEX(ELC_TechsR_DHC!$C$3:$AM$138,MATCH($AK14,ELC_TechsR_DHC!$B$3:$B$138,0),MATCH(AD$9,ELC_TechsR_DHC!$C$1:$AM$1,0))</f>
        <v>1</v>
      </c>
      <c r="AE14" s="98">
        <f>INDEX(ELC_TechsR_DHC!$C$3:$AM$138,MATCH($AK14,ELC_TechsR_DHC!$B$3:$B$138,0),MATCH(AE$9,ELC_TechsR_DHC!$C$1:$AM$1,0))</f>
        <v>270</v>
      </c>
      <c r="AF14" s="98">
        <f>INDEX(ELC_TechsR_DHC!$C$3:$AM$138,MATCH($AK14,ELC_TechsR_DHC!$B$3:$B$138,0),MATCH(AF$9,ELC_TechsR_DHC!$C$1:$AM$1,0))</f>
        <v>0</v>
      </c>
      <c r="AG14" s="98"/>
      <c r="AI14" s="68" t="s">
        <v>346</v>
      </c>
      <c r="AK14" s="238" t="str">
        <f>AK13</f>
        <v>ECEXNGADHCN1</v>
      </c>
    </row>
    <row r="15" spans="1:40" s="68" customFormat="1" ht="12.75" customHeight="1" x14ac:dyDescent="0.3">
      <c r="B15" s="94" t="str">
        <f>"EC"&amp;RIGHT(E15,3)&amp;RIGHT(C15,3)&amp;LEFT(C15,2)&amp;"1E"</f>
        <v>ECNGACHPBa1E</v>
      </c>
      <c r="C15" s="94" t="s">
        <v>297</v>
      </c>
      <c r="D15" s="94" t="s">
        <v>220</v>
      </c>
      <c r="E15" s="95" t="s">
        <v>147</v>
      </c>
      <c r="F15" s="95" t="s">
        <v>28</v>
      </c>
      <c r="G15" s="95" t="s">
        <v>581</v>
      </c>
      <c r="H15" s="97">
        <f>'2.10'!S19/'2.10'!P19*-1</f>
        <v>0.30242588620606792</v>
      </c>
      <c r="I15" s="97">
        <f>ROUNDUP('2.10'!R19/1000/X15/K15,1)</f>
        <v>2.4</v>
      </c>
      <c r="J15" s="96"/>
      <c r="K15" s="94">
        <f>SUMIFS('PP List'!M$9:M$129,'PP List'!$J$9:$J$129,Tech!$C15,'PP List'!$F$9:$F$129,Tech!$D15)</f>
        <v>107</v>
      </c>
      <c r="L15" s="94">
        <f>SUMIFS('PP List'!N$9:N$129,'PP List'!$J$9:$J$129,Tech!$C15,'PP List'!$F$9:$F$129,Tech!$D15)</f>
        <v>107</v>
      </c>
      <c r="M15" s="94">
        <f>SUMIFS('PP List'!O$9:O$129,'PP List'!$J$9:$J$129,Tech!$C15,'PP List'!$F$9:$F$129,Tech!$D15)</f>
        <v>107</v>
      </c>
      <c r="N15" s="94">
        <f>SUMIFS('PP List'!P$9:P$129,'PP List'!$J$9:$J$129,Tech!$C15,'PP List'!$F$9:$F$129,Tech!$D15)</f>
        <v>107</v>
      </c>
      <c r="O15" s="94">
        <f>SUMIFS('PP List'!Q$9:Q$129,'PP List'!$J$9:$J$129,Tech!$C15,'PP List'!$F$9:$F$129,Tech!$D15)</f>
        <v>107</v>
      </c>
      <c r="P15" s="94">
        <f>SUMIFS('PP List'!R$9:R$129,'PP List'!$J$9:$J$129,Tech!$C15,'PP List'!$F$9:$F$129,Tech!$D15)</f>
        <v>0</v>
      </c>
      <c r="Q15" s="94">
        <f>SUMIFS('PP List'!S$9:S$129,'PP List'!$J$9:$J$129,Tech!$C15,'PP List'!$F$9:$F$129,Tech!$D15)</f>
        <v>0</v>
      </c>
      <c r="R15" s="94">
        <f>SUMIFS('PP List'!T$9:T$129,'PP List'!$J$9:$J$129,Tech!$C15,'PP List'!$F$9:$F$129,Tech!$D15)</f>
        <v>0</v>
      </c>
      <c r="S15" s="94">
        <f>SUMIFS('PP List'!W$9:W$129,'PP List'!$J$9:$J$129,Tech!$C15,'PP List'!$F$9:$F$129,Tech!$D15)</f>
        <v>0</v>
      </c>
      <c r="T15" s="232">
        <f>AVERAGEIFS('PP List'!$H$9:$H$129,'PP List'!$J$9:$J$129,Tech!$C15)</f>
        <v>2001</v>
      </c>
      <c r="U15" s="98">
        <f>ELC_TechsR_DHC!N11/7.45</f>
        <v>0.75</v>
      </c>
      <c r="V15" s="98">
        <f>ELC_TechsR_DHC!O11/7.45</f>
        <v>1.9999999999999997E-2</v>
      </c>
      <c r="W15" s="98">
        <f>ELC_TechsR_DHC!P11/7.45</f>
        <v>1.5277777777777719</v>
      </c>
      <c r="X15" s="99">
        <f>ELC_TechsR_DHC!Q11</f>
        <v>3.1536000000000002E-2</v>
      </c>
      <c r="Y15" s="98"/>
      <c r="Z15" s="98">
        <v>0.95</v>
      </c>
      <c r="AA15" s="98">
        <f>ELC_TechsR_DHC!S11</f>
        <v>1</v>
      </c>
      <c r="AB15" s="98">
        <f>INDEX(ELC_TechsR_DHC!$C$3:$AM$138,MATCH($AK15,ELC_TechsR_DHC!$B$3:$B$138,0),MATCH(AB$9,ELC_TechsR_DHC!$C$1:$AM$1,0))</f>
        <v>20</v>
      </c>
      <c r="AC15" s="98">
        <f>INDEX(ELC_TechsR_DHC!$C$3:$AM$138,MATCH($AK15,ELC_TechsR_DHC!$B$3:$B$138,0),MATCH(AC$9,ELC_TechsR_DHC!$C$1:$AM$1,0))/25</f>
        <v>0.06</v>
      </c>
      <c r="AD15" s="98">
        <f>INDEX(ELC_TechsR_DHC!$C$3:$AM$138,MATCH($AK15,ELC_TechsR_DHC!$B$3:$B$138,0),MATCH(AD$9,ELC_TechsR_DHC!$C$1:$AM$1,0))</f>
        <v>1</v>
      </c>
      <c r="AE15" s="98">
        <f>INDEX(ELC_TechsR_DHC!$C$3:$AM$138,MATCH($AK15,ELC_TechsR_DHC!$B$3:$B$138,0),MATCH(AE$9,ELC_TechsR_DHC!$C$1:$AM$1,0))</f>
        <v>270</v>
      </c>
      <c r="AF15" s="98">
        <f>INDEX(ELC_TechsR_DHC!$C$3:$AM$138,MATCH($AK15,ELC_TechsR_DHC!$B$3:$B$138,0),MATCH(AF$9,ELC_TechsR_DHC!$C$1:$AM$1,0))</f>
        <v>0</v>
      </c>
      <c r="AG15" s="98"/>
      <c r="AI15" s="68" t="s">
        <v>346</v>
      </c>
      <c r="AK15" s="238" t="s">
        <v>446</v>
      </c>
    </row>
    <row r="16" spans="1:40" s="68" customFormat="1" ht="12.75" customHeight="1" x14ac:dyDescent="0.3">
      <c r="B16" s="94"/>
      <c r="C16" s="94"/>
      <c r="D16" s="94"/>
      <c r="E16" s="95"/>
      <c r="F16" s="95" t="s">
        <v>32</v>
      </c>
      <c r="G16" s="95"/>
      <c r="H16" s="96"/>
      <c r="I16" s="115"/>
      <c r="J16" s="96"/>
      <c r="K16" s="94"/>
      <c r="L16" s="94"/>
      <c r="M16" s="94"/>
      <c r="N16" s="94"/>
      <c r="O16" s="94"/>
      <c r="P16" s="94"/>
      <c r="Q16" s="94"/>
      <c r="R16" s="94"/>
      <c r="S16" s="94"/>
      <c r="T16" s="232"/>
      <c r="U16" s="98"/>
      <c r="V16" s="97"/>
      <c r="W16" s="97"/>
      <c r="X16" s="99"/>
      <c r="Y16" s="97"/>
      <c r="Z16" s="97"/>
      <c r="AA16" s="94"/>
      <c r="AB16" s="94"/>
      <c r="AC16" s="94"/>
      <c r="AD16" s="94"/>
      <c r="AE16" s="94"/>
      <c r="AF16" s="94"/>
      <c r="AG16" s="94"/>
    </row>
    <row r="17" spans="2:37" s="68" customFormat="1" ht="12.75" customHeight="1" x14ac:dyDescent="0.3">
      <c r="B17" s="94" t="str">
        <f>"ET"&amp;RIGHT(E17,3)&amp;RIGHT(C17,3)&amp;LEFT(C17,2)&amp;"1E"</f>
        <v>ETNGATPPBa1E</v>
      </c>
      <c r="C17" s="94" t="s">
        <v>594</v>
      </c>
      <c r="D17" s="94" t="s">
        <v>220</v>
      </c>
      <c r="E17" s="95" t="s">
        <v>147</v>
      </c>
      <c r="F17" s="95" t="s">
        <v>28</v>
      </c>
      <c r="G17" s="95" t="s">
        <v>581</v>
      </c>
      <c r="H17" s="98">
        <f>INDEX(ELC_TechsR_ELC!$C$3:$AM$138,MATCH($AK17,ELC_TechsR_ELC!$B$3:$B$138,0),MATCH(H$7,ELC_TechsR_ELC!$C$2:$AM$2,0))</f>
        <v>0.39</v>
      </c>
      <c r="I17" s="115"/>
      <c r="J17" s="96"/>
      <c r="K17" s="94">
        <f>SUMIFS('PP List'!M$9:M$129,'PP List'!$J$9:$J$129,Tech!$C17,'PP List'!$F$9:$F$129,Tech!$D17)</f>
        <v>403.70000000000005</v>
      </c>
      <c r="L17" s="94">
        <f>SUMIFS('PP List'!N$9:N$129,'PP List'!$J$9:$J$129,Tech!$C17,'PP List'!$F$9:$F$129,Tech!$D17)</f>
        <v>403.70000000000005</v>
      </c>
      <c r="M17" s="94">
        <f>SUMIFS('PP List'!O$9:O$129,'PP List'!$J$9:$J$129,Tech!$C17,'PP List'!$F$9:$F$129,Tech!$D17)</f>
        <v>403.70000000000005</v>
      </c>
      <c r="N17" s="94">
        <f>SUMIFS('PP List'!P$9:P$129,'PP List'!$J$9:$J$129,Tech!$C17,'PP List'!$F$9:$F$129,Tech!$D17)</f>
        <v>403.70000000000005</v>
      </c>
      <c r="O17" s="94">
        <f>SUMIFS('PP List'!Q$9:Q$129,'PP List'!$J$9:$J$129,Tech!$C17,'PP List'!$F$9:$F$129,Tech!$D17)</f>
        <v>403.70000000000005</v>
      </c>
      <c r="P17" s="94">
        <f>SUMIFS('PP List'!R$9:R$129,'PP List'!$J$9:$J$129,Tech!$C17,'PP List'!$F$9:$F$129,Tech!$D17)</f>
        <v>403.70000000000005</v>
      </c>
      <c r="Q17" s="94">
        <f>SUMIFS('PP List'!S$9:S$129,'PP List'!$J$9:$J$129,Tech!$C17,'PP List'!$F$9:$F$129,Tech!$D17)</f>
        <v>0</v>
      </c>
      <c r="R17" s="94">
        <f>SUMIFS('PP List'!T$9:T$129,'PP List'!$J$9:$J$129,Tech!$C17,'PP List'!$F$9:$F$129,Tech!$D17)</f>
        <v>0</v>
      </c>
      <c r="S17" s="94">
        <f>SUMIFS('PP List'!W$9:W$129,'PP List'!$J$9:$J$129,Tech!$C17,'PP List'!$F$9:$F$129,Tech!$D17)</f>
        <v>0</v>
      </c>
      <c r="T17" s="232">
        <f>AVERAGEIFS('PP List'!$H$9:$H$129,'PP List'!$J$9:$J$129,Tech!$C17)</f>
        <v>2007.5</v>
      </c>
      <c r="U17" s="98">
        <f>INDEX(ELC_TechsR_ELC!$C$3:$AM$138,MATCH($AK17,ELC_TechsR_ELC!$B$3:$B$138,0),MATCH(U$7,ELC_TechsR_ELC!$C$2:$AM$2,0))/7.45</f>
        <v>0.46800000000000003</v>
      </c>
      <c r="V17" s="98">
        <f>INDEX(ELC_TechsR_ELC!$C$3:$AM$138,MATCH($AK17,ELC_TechsR_ELC!$B$3:$B$138,0),MATCH(V$7,ELC_TechsR_ELC!$C$2:$AM$2,0))/7.45</f>
        <v>8.0680000000000005E-3</v>
      </c>
      <c r="W17" s="98">
        <f>INDEX(ELC_TechsR_ELC!$C$3:$AM$138,MATCH($AK17,ELC_TechsR_ELC!$B$3:$B$138,0),MATCH(W$7,ELC_TechsR_ELC!$C$2:$AM$2,0))/7.45</f>
        <v>1.25</v>
      </c>
      <c r="X17" s="99">
        <f>INDEX(ELC_TechsR_ELC!$C$3:$AM$138,MATCH($AK17,ELC_TechsR_ELC!$B$3:$B$138,0),MATCH(X$7,ELC_TechsR_ELC!$C$2:$AM$2,0))</f>
        <v>3.1536000000000002E-2</v>
      </c>
      <c r="Y17" s="98">
        <v>0.7</v>
      </c>
      <c r="Z17" s="98"/>
      <c r="AA17" s="98">
        <f>INDEX(ELC_TechsR_ELC!$C$3:$AM$138,MATCH($AK17,ELC_TechsR_ELC!$B$3:$B$138,0),MATCH(AA$7,ELC_TechsR_ELC!$C$2:$AM$2,0))</f>
        <v>1</v>
      </c>
      <c r="AB17" s="98">
        <f>INDEX(ELC_TechsR_ELC!$C$3:$AM$138,MATCH($AK17,ELC_TechsR_ELC!$B$3:$B$138,0),MATCH(AB$9,ELC_TechsR_ELC!$C$1:$AM$1,0))</f>
        <v>48</v>
      </c>
      <c r="AC17" s="98">
        <f>INDEX(ELC_TechsR_ELC!$C$3:$AM$138,MATCH($AK17,ELC_TechsR_ELC!$B$3:$B$138,0),MATCH(AC$9,ELC_TechsR_ELC!$C$1:$AM$1,0))/25</f>
        <v>6.8000000000000005E-2</v>
      </c>
      <c r="AD17" s="98">
        <f>INDEX(ELC_TechsR_ELC!$C$3:$AM$138,MATCH($AK17,ELC_TechsR_ELC!$B$3:$B$138,0),MATCH(AD$9,ELC_TechsR_ELC!$C$1:$AM$1,0))</f>
        <v>1</v>
      </c>
      <c r="AE17" s="98">
        <f>INDEX(ELC_TechsR_ELC!$C$3:$AM$138,MATCH($AK17,ELC_TechsR_ELC!$B$3:$B$138,0),MATCH(AE$9,ELC_TechsR_ELC!$C$1:$AM$1,0))</f>
        <v>0.43</v>
      </c>
      <c r="AF17" s="98">
        <f>INDEX(ELC_TechsR_ELC!$C$3:$AM$138,MATCH($AK17,ELC_TechsR_ELC!$B$3:$B$138,0),MATCH(AF$9,ELC_TechsR_ELC!$C$1:$AM$1,0))</f>
        <v>0.1</v>
      </c>
      <c r="AG17" s="94"/>
      <c r="AI17" s="68" t="s">
        <v>346</v>
      </c>
      <c r="AK17" s="239" t="str">
        <f>ELC_TechsR_ELC!B54</f>
        <v>ETCDNGAELCN2</v>
      </c>
    </row>
    <row r="18" spans="2:37" s="68" customFormat="1" ht="12.75" customHeight="1" x14ac:dyDescent="0.3">
      <c r="B18" s="94" t="str">
        <f>"ET"&amp;RIGHT(E18,3)&amp;RIGHT(C18,3)&amp;LEFT(C18,2)&amp;"1E"</f>
        <v>ETNGATPPOt1E</v>
      </c>
      <c r="C18" s="94" t="s">
        <v>595</v>
      </c>
      <c r="D18" s="94" t="s">
        <v>220</v>
      </c>
      <c r="E18" s="95" t="s">
        <v>147</v>
      </c>
      <c r="F18" s="95" t="s">
        <v>28</v>
      </c>
      <c r="G18" s="95" t="s">
        <v>581</v>
      </c>
      <c r="H18" s="98">
        <f>INDEX(ELC_TechsR_ELC!$C$3:$AM$138,MATCH($AK18,ELC_TechsR_ELC!$B$3:$B$138,0),MATCH(H$7,ELC_TechsR_ELC!$C$2:$AM$2,0))</f>
        <v>0.46</v>
      </c>
      <c r="I18" s="115"/>
      <c r="J18" s="96"/>
      <c r="K18" s="94">
        <f>SUMIFS('PP List'!M$9:M$129,'PP List'!$J$9:$J$129,Tech!$C18,'PP List'!$F$9:$F$129,Tech!$D18)</f>
        <v>365.4</v>
      </c>
      <c r="L18" s="94">
        <f>SUMIFS('PP List'!N$9:N$129,'PP List'!$J$9:$J$129,Tech!$C18,'PP List'!$F$9:$F$129,Tech!$D18)</f>
        <v>365.4</v>
      </c>
      <c r="M18" s="94">
        <f>SUMIFS('PP List'!O$9:O$129,'PP List'!$J$9:$J$129,Tech!$C18,'PP List'!$F$9:$F$129,Tech!$D18)</f>
        <v>381.9</v>
      </c>
      <c r="N18" s="94">
        <f>SUMIFS('PP List'!P$9:P$129,'PP List'!$J$9:$J$129,Tech!$C18,'PP List'!$F$9:$F$129,Tech!$D18)</f>
        <v>381.9</v>
      </c>
      <c r="O18" s="94">
        <f>SUMIFS('PP List'!Q$9:Q$129,'PP List'!$J$9:$J$129,Tech!$C18,'PP List'!$F$9:$F$129,Tech!$D18)</f>
        <v>381.9</v>
      </c>
      <c r="P18" s="94">
        <f>SUMIFS('PP List'!R$9:R$129,'PP List'!$J$9:$J$129,Tech!$C18,'PP List'!$F$9:$F$129,Tech!$D18)</f>
        <v>381.9</v>
      </c>
      <c r="Q18" s="94">
        <f>SUMIFS('PP List'!S$9:S$129,'PP List'!$J$9:$J$129,Tech!$C18,'PP List'!$F$9:$F$129,Tech!$D18)</f>
        <v>16.5</v>
      </c>
      <c r="R18" s="94">
        <f>SUMIFS('PP List'!T$9:T$129,'PP List'!$J$9:$J$129,Tech!$C18,'PP List'!$F$9:$F$129,Tech!$D18)</f>
        <v>16.5</v>
      </c>
      <c r="S18" s="94">
        <f>SUMIFS('PP List'!W$9:W$129,'PP List'!$J$9:$J$129,Tech!$C18,'PP List'!$F$9:$F$129,Tech!$D18)</f>
        <v>0</v>
      </c>
      <c r="T18" s="232">
        <f>AVERAGEIFS('PP List'!$H$9:$H$129,'PP List'!$J$9:$J$129,Tech!$C18)</f>
        <v>2008.5</v>
      </c>
      <c r="U18" s="98">
        <f>INDEX(ELC_TechsR_ELC!$C$3:$AM$138,MATCH($AK18,ELC_TechsR_ELC!$B$3:$B$138,0),MATCH(U$7,ELC_TechsR_ELC!$C$2:$AM$2,0))/7.45</f>
        <v>0.51</v>
      </c>
      <c r="V18" s="98">
        <f>INDEX(ELC_TechsR_ELC!$C$3:$AM$138,MATCH($AK18,ELC_TechsR_ELC!$B$3:$B$138,0),MATCH(V$7,ELC_TechsR_ELC!$C$2:$AM$2,0))/7.45</f>
        <v>6.5000000000000006E-3</v>
      </c>
      <c r="W18" s="98">
        <f>INDEX(ELC_TechsR_ELC!$C$3:$AM$138,MATCH($AK18,ELC_TechsR_ELC!$B$3:$B$138,0),MATCH(W$7,ELC_TechsR_ELC!$C$2:$AM$2,0))/7.45</f>
        <v>1.6666666666666712</v>
      </c>
      <c r="X18" s="99">
        <f>INDEX(ELC_TechsR_ELC!$C$3:$AM$138,MATCH($AK18,ELC_TechsR_ELC!$B$3:$B$138,0),MATCH(X$7,ELC_TechsR_ELC!$C$2:$AM$2,0))</f>
        <v>3.1536000000000002E-2</v>
      </c>
      <c r="Y18" s="98">
        <v>0.7</v>
      </c>
      <c r="Z18" s="98"/>
      <c r="AA18" s="98">
        <f>INDEX(ELC_TechsR_ELC!$C$3:$AM$138,MATCH($AK18,ELC_TechsR_ELC!$B$3:$B$138,0),MATCH(AA$7,ELC_TechsR_ELC!$C$2:$AM$2,0))</f>
        <v>1</v>
      </c>
      <c r="AB18" s="98">
        <f>INDEX(ELC_TechsR_ELC!$C$3:$AM$138,MATCH($AK18,ELC_TechsR_ELC!$B$3:$B$138,0),MATCH(AB$9,ELC_TechsR_ELC!$C$1:$AM$1,0))</f>
        <v>75</v>
      </c>
      <c r="AC18" s="98">
        <f>INDEX(ELC_TechsR_ELC!$C$3:$AM$138,MATCH($AK18,ELC_TechsR_ELC!$B$3:$B$138,0),MATCH(AC$9,ELC_TechsR_ELC!$C$1:$AM$1,0))/25</f>
        <v>12.6</v>
      </c>
      <c r="AD18" s="98">
        <f>INDEX(ELC_TechsR_ELC!$C$3:$AM$138,MATCH($AK18,ELC_TechsR_ELC!$B$3:$B$138,0),MATCH(AD$9,ELC_TechsR_ELC!$C$1:$AM$1,0))</f>
        <v>0.6</v>
      </c>
      <c r="AE18" s="98">
        <f>INDEX(ELC_TechsR_ELC!$C$3:$AM$138,MATCH($AK18,ELC_TechsR_ELC!$B$3:$B$138,0),MATCH(AE$9,ELC_TechsR_ELC!$C$1:$AM$1,0))</f>
        <v>0</v>
      </c>
      <c r="AF18" s="98">
        <f>INDEX(ELC_TechsR_ELC!$C$3:$AM$138,MATCH($AK18,ELC_TechsR_ELC!$B$3:$B$138,0),MATCH(AF$9,ELC_TechsR_ELC!$C$1:$AM$1,0))</f>
        <v>0.76</v>
      </c>
      <c r="AG18" s="94"/>
      <c r="AI18" s="68" t="s">
        <v>346</v>
      </c>
      <c r="AK18" s="239" t="str">
        <f>ELC_TechsR_ELC!B46</f>
        <v>ETCDNGAELCN1</v>
      </c>
    </row>
    <row r="19" spans="2:37" s="68" customFormat="1" ht="12.75" customHeight="1" x14ac:dyDescent="0.3">
      <c r="B19" s="94" t="str">
        <f t="shared" ref="B19:B24" si="1">"ER"&amp;RIGHT(E19,3)&amp;RIGHT(C19,3)&amp;LEFT(C19,2)&amp;"1E"</f>
        <v>ERHYDHPPMi1E</v>
      </c>
      <c r="C19" s="94" t="s">
        <v>602</v>
      </c>
      <c r="D19" s="94" t="s">
        <v>220</v>
      </c>
      <c r="E19" s="95" t="s">
        <v>121</v>
      </c>
      <c r="F19" s="95" t="s">
        <v>28</v>
      </c>
      <c r="G19" s="95" t="s">
        <v>581</v>
      </c>
      <c r="H19" s="96">
        <v>1</v>
      </c>
      <c r="I19" s="115"/>
      <c r="J19" s="96"/>
      <c r="K19" s="94">
        <f>SUMIFS('PP List'!M$9:M$129,'PP List'!$J$9:$J$129,Tech!$C19,'PP List'!$F$9:$F$129,Tech!$D19)</f>
        <v>424.6</v>
      </c>
      <c r="L19" s="94">
        <f>SUMIFS('PP List'!N$9:N$129,'PP List'!$J$9:$J$129,Tech!$C19,'PP List'!$F$9:$F$129,Tech!$D19)</f>
        <v>424.6</v>
      </c>
      <c r="M19" s="94">
        <f>SUMIFS('PP List'!O$9:O$129,'PP List'!$J$9:$J$129,Tech!$C19,'PP List'!$F$9:$F$129,Tech!$D19)</f>
        <v>424.6</v>
      </c>
      <c r="N19" s="94">
        <f>SUMIFS('PP List'!P$9:P$129,'PP List'!$J$9:$J$129,Tech!$C19,'PP List'!$F$9:$F$129,Tech!$D19)</f>
        <v>424.6</v>
      </c>
      <c r="O19" s="94">
        <f>SUMIFS('PP List'!Q$9:Q$129,'PP List'!$J$9:$J$129,Tech!$C19,'PP List'!$F$9:$F$129,Tech!$D19)</f>
        <v>424.6</v>
      </c>
      <c r="P19" s="94">
        <f>SUMIFS('PP List'!R$9:R$129,'PP List'!$J$9:$J$129,Tech!$C19,'PP List'!$F$9:$F$129,Tech!$D19)</f>
        <v>424.6</v>
      </c>
      <c r="Q19" s="94">
        <f>SUMIFS('PP List'!S$9:S$129,'PP List'!$J$9:$J$129,Tech!$C19,'PP List'!$F$9:$F$129,Tech!$D19)</f>
        <v>424.6</v>
      </c>
      <c r="R19" s="94">
        <f>SUMIFS('PP List'!T$9:T$129,'PP List'!$J$9:$J$129,Tech!$C19,'PP List'!$F$9:$F$129,Tech!$D19)</f>
        <v>424.6</v>
      </c>
      <c r="S19" s="94">
        <f>SUMIFS('PP List'!W$9:W$129,'PP List'!$J$9:$J$129,Tech!$C19,'PP List'!$F$9:$F$129,Tech!$D19)</f>
        <v>0</v>
      </c>
      <c r="T19" s="232">
        <f>AVERAGEIFS('PP List'!$H$9:$H$129,'PP List'!$J$9:$J$129,Tech!$C19)</f>
        <v>1955</v>
      </c>
      <c r="U19" s="98">
        <f>11.6581729796815/7.45</f>
        <v>1.5648554335142955</v>
      </c>
      <c r="V19" s="98">
        <f>11.6581729796815/7.45</f>
        <v>1.5648554335142955</v>
      </c>
      <c r="W19" s="98">
        <f>11.6581729796815/7.45</f>
        <v>1.5648554335142955</v>
      </c>
      <c r="X19" s="99">
        <v>3.1536000000000002E-2</v>
      </c>
      <c r="Y19" s="99">
        <f>ROUND(('5.4'!$E$36*1000)/('5.3'!$E$34*8760),2)</f>
        <v>0.18</v>
      </c>
      <c r="Z19" s="97"/>
      <c r="AA19" s="94">
        <v>1</v>
      </c>
      <c r="AB19" s="94"/>
      <c r="AC19" s="94"/>
      <c r="AD19" s="94"/>
      <c r="AE19" s="94"/>
      <c r="AF19" s="94"/>
      <c r="AG19" s="94"/>
      <c r="AI19" s="68" t="s">
        <v>345</v>
      </c>
      <c r="AK19" s="65"/>
    </row>
    <row r="20" spans="2:37" s="68" customFormat="1" ht="12.75" customHeight="1" x14ac:dyDescent="0.3">
      <c r="B20" s="94" t="str">
        <f t="shared" si="1"/>
        <v>ERHYDHPPSh1E</v>
      </c>
      <c r="C20" s="94" t="s">
        <v>603</v>
      </c>
      <c r="D20" s="94" t="s">
        <v>220</v>
      </c>
      <c r="E20" s="95" t="s">
        <v>121</v>
      </c>
      <c r="F20" s="95" t="s">
        <v>28</v>
      </c>
      <c r="G20" s="95" t="s">
        <v>581</v>
      </c>
      <c r="H20" s="96">
        <v>1</v>
      </c>
      <c r="I20" s="115"/>
      <c r="J20" s="96"/>
      <c r="K20" s="94">
        <f>SUMIFS('PP List'!M$9:M$129,'PP List'!$J$9:$J$129,Tech!$C20,'PP List'!$F$9:$F$129,Tech!$D20)</f>
        <v>380</v>
      </c>
      <c r="L20" s="94">
        <f>SUMIFS('PP List'!N$9:N$129,'PP List'!$J$9:$J$129,Tech!$C20,'PP List'!$F$9:$F$129,Tech!$D20)</f>
        <v>380</v>
      </c>
      <c r="M20" s="94">
        <f>SUMIFS('PP List'!O$9:O$129,'PP List'!$J$9:$J$129,Tech!$C20,'PP List'!$F$9:$F$129,Tech!$D20)</f>
        <v>380</v>
      </c>
      <c r="N20" s="94">
        <f>SUMIFS('PP List'!P$9:P$129,'PP List'!$J$9:$J$129,Tech!$C20,'PP List'!$F$9:$F$129,Tech!$D20)</f>
        <v>380</v>
      </c>
      <c r="O20" s="94">
        <f>SUMIFS('PP List'!Q$9:Q$129,'PP List'!$J$9:$J$129,Tech!$C20,'PP List'!$F$9:$F$129,Tech!$D20)</f>
        <v>380</v>
      </c>
      <c r="P20" s="94">
        <f>SUMIFS('PP List'!R$9:R$129,'PP List'!$J$9:$J$129,Tech!$C20,'PP List'!$F$9:$F$129,Tech!$D20)</f>
        <v>380</v>
      </c>
      <c r="Q20" s="94">
        <f>SUMIFS('PP List'!S$9:S$129,'PP List'!$J$9:$J$129,Tech!$C20,'PP List'!$F$9:$F$129,Tech!$D20)</f>
        <v>380</v>
      </c>
      <c r="R20" s="94">
        <f>SUMIFS('PP List'!T$9:T$129,'PP List'!$J$9:$J$129,Tech!$C20,'PP List'!$F$9:$F$129,Tech!$D20)</f>
        <v>380</v>
      </c>
      <c r="S20" s="94">
        <f>SUMIFS('PP List'!W$9:W$129,'PP List'!$J$9:$J$129,Tech!$C20,'PP List'!$F$9:$F$129,Tech!$D20)</f>
        <v>380</v>
      </c>
      <c r="T20" s="232">
        <f>AVERAGEIFS('PP List'!$H$9:$H$129,'PP List'!$J$9:$J$129,Tech!$C20)</f>
        <v>1983</v>
      </c>
      <c r="U20" s="98">
        <f t="shared" ref="U20:W22" si="2">U19</f>
        <v>1.5648554335142955</v>
      </c>
      <c r="V20" s="98">
        <f t="shared" si="2"/>
        <v>1.5648554335142955</v>
      </c>
      <c r="W20" s="98">
        <f t="shared" si="2"/>
        <v>1.5648554335142955</v>
      </c>
      <c r="X20" s="99">
        <v>3.1536000000000002E-2</v>
      </c>
      <c r="Y20" s="99">
        <f>ROUND(('5.4'!$E$36*1000)/('5.3'!$E$34*8760),2)</f>
        <v>0.18</v>
      </c>
      <c r="Z20" s="97"/>
      <c r="AA20" s="94">
        <v>1</v>
      </c>
      <c r="AB20" s="94"/>
      <c r="AC20" s="94"/>
      <c r="AD20" s="94"/>
      <c r="AE20" s="94"/>
      <c r="AF20" s="94"/>
      <c r="AG20" s="94"/>
      <c r="AI20" s="68" t="s">
        <v>345</v>
      </c>
      <c r="AK20" s="65"/>
    </row>
    <row r="21" spans="2:37" s="68" customFormat="1" ht="12.75" customHeight="1" x14ac:dyDescent="0.3">
      <c r="B21" s="94" t="str">
        <f t="shared" si="1"/>
        <v>ERHYDHPPYe1E</v>
      </c>
      <c r="C21" s="94" t="s">
        <v>287</v>
      </c>
      <c r="D21" s="94" t="s">
        <v>220</v>
      </c>
      <c r="E21" s="95" t="s">
        <v>121</v>
      </c>
      <c r="F21" s="95" t="s">
        <v>28</v>
      </c>
      <c r="G21" s="95" t="s">
        <v>581</v>
      </c>
      <c r="H21" s="96">
        <v>1</v>
      </c>
      <c r="I21" s="115"/>
      <c r="J21" s="96"/>
      <c r="K21" s="94">
        <f>SUMIFS('PP List'!M$9:M$129,'PP List'!$J$9:$J$129,Tech!$C21,'PP List'!$F$9:$F$129,Tech!$D21)</f>
        <v>150</v>
      </c>
      <c r="L21" s="94">
        <f>SUMIFS('PP List'!N$9:N$129,'PP List'!$J$9:$J$129,Tech!$C21,'PP List'!$F$9:$F$129,Tech!$D21)</f>
        <v>150</v>
      </c>
      <c r="M21" s="94">
        <f>SUMIFS('PP List'!O$9:O$129,'PP List'!$J$9:$J$129,Tech!$C21,'PP List'!$F$9:$F$129,Tech!$D21)</f>
        <v>150</v>
      </c>
      <c r="N21" s="94">
        <f>SUMIFS('PP List'!P$9:P$129,'PP List'!$J$9:$J$129,Tech!$C21,'PP List'!$F$9:$F$129,Tech!$D21)</f>
        <v>150</v>
      </c>
      <c r="O21" s="94">
        <f>SUMIFS('PP List'!Q$9:Q$129,'PP List'!$J$9:$J$129,Tech!$C21,'PP List'!$F$9:$F$129,Tech!$D21)</f>
        <v>150</v>
      </c>
      <c r="P21" s="94">
        <f>SUMIFS('PP List'!R$9:R$129,'PP List'!$J$9:$J$129,Tech!$C21,'PP List'!$F$9:$F$129,Tech!$D21)</f>
        <v>150</v>
      </c>
      <c r="Q21" s="94">
        <f>SUMIFS('PP List'!S$9:S$129,'PP List'!$J$9:$J$129,Tech!$C21,'PP List'!$F$9:$F$129,Tech!$D21)</f>
        <v>150</v>
      </c>
      <c r="R21" s="94">
        <f>SUMIFS('PP List'!T$9:T$129,'PP List'!$J$9:$J$129,Tech!$C21,'PP List'!$F$9:$F$129,Tech!$D21)</f>
        <v>150</v>
      </c>
      <c r="S21" s="94">
        <f>SUMIFS('PP List'!W$9:W$129,'PP List'!$J$9:$J$129,Tech!$C21,'PP List'!$F$9:$F$129,Tech!$D21)</f>
        <v>150</v>
      </c>
      <c r="T21" s="232">
        <f>AVERAGEIFS('PP List'!$H$9:$H$129,'PP List'!$J$9:$J$129,Tech!$C21)</f>
        <v>2003</v>
      </c>
      <c r="U21" s="98">
        <f t="shared" si="2"/>
        <v>1.5648554335142955</v>
      </c>
      <c r="V21" s="98">
        <f t="shared" si="2"/>
        <v>1.5648554335142955</v>
      </c>
      <c r="W21" s="98">
        <f t="shared" si="2"/>
        <v>1.5648554335142955</v>
      </c>
      <c r="X21" s="99">
        <v>3.1536000000000002E-2</v>
      </c>
      <c r="Y21" s="99">
        <f>ROUND(('5.4'!$E$36*1000)/('5.3'!$E$34*8760),2)</f>
        <v>0.18</v>
      </c>
      <c r="Z21" s="97"/>
      <c r="AA21" s="94">
        <v>1</v>
      </c>
      <c r="AB21" s="94"/>
      <c r="AC21" s="94"/>
      <c r="AD21" s="94"/>
      <c r="AE21" s="94"/>
      <c r="AF21" s="94"/>
      <c r="AG21" s="94"/>
      <c r="AI21" s="68" t="s">
        <v>345</v>
      </c>
      <c r="AK21" s="65"/>
    </row>
    <row r="22" spans="2:37" s="68" customFormat="1" ht="12.75" customHeight="1" x14ac:dyDescent="0.3">
      <c r="B22" s="94" t="str">
        <f t="shared" si="1"/>
        <v>ERHYDHPPOt1E</v>
      </c>
      <c r="C22" s="94" t="s">
        <v>329</v>
      </c>
      <c r="D22" s="94" t="s">
        <v>220</v>
      </c>
      <c r="E22" s="95" t="s">
        <v>121</v>
      </c>
      <c r="F22" s="95" t="s">
        <v>28</v>
      </c>
      <c r="G22" s="95" t="s">
        <v>581</v>
      </c>
      <c r="H22" s="96">
        <v>1</v>
      </c>
      <c r="I22" s="115"/>
      <c r="J22" s="96"/>
      <c r="K22" s="94">
        <f>SUMIFS('PP List'!M$9:M$129,'PP List'!$J$9:$J$129,Tech!$C22,'PP List'!$F$9:$F$129,Tech!$D22)</f>
        <v>24</v>
      </c>
      <c r="L22" s="94">
        <f>SUMIFS('PP List'!N$9:N$129,'PP List'!$J$9:$J$129,Tech!$C22,'PP List'!$F$9:$F$129,Tech!$D22)</f>
        <v>104.09999999999998</v>
      </c>
      <c r="M22" s="94">
        <f>SUMIFS('PP List'!O$9:O$129,'PP List'!$J$9:$J$129,Tech!$C22,'PP List'!$F$9:$F$129,Tech!$D22)</f>
        <v>105.49999999999999</v>
      </c>
      <c r="N22" s="94">
        <f>SUMIFS('PP List'!P$9:P$129,'PP List'!$J$9:$J$129,Tech!$C22,'PP List'!$F$9:$F$129,Tech!$D22)</f>
        <v>105.49999999999999</v>
      </c>
      <c r="O22" s="94">
        <f>SUMIFS('PP List'!Q$9:Q$129,'PP List'!$J$9:$J$129,Tech!$C22,'PP List'!$F$9:$F$129,Tech!$D22)</f>
        <v>105.49999999999999</v>
      </c>
      <c r="P22" s="94">
        <f>SUMIFS('PP List'!R$9:R$129,'PP List'!$J$9:$J$129,Tech!$C22,'PP List'!$F$9:$F$129,Tech!$D22)</f>
        <v>105.49999999999999</v>
      </c>
      <c r="Q22" s="94">
        <f>SUMIFS('PP List'!S$9:S$129,'PP List'!$J$9:$J$129,Tech!$C22,'PP List'!$F$9:$F$129,Tech!$D22)</f>
        <v>105.49999999999999</v>
      </c>
      <c r="R22" s="94">
        <f>SUMIFS('PP List'!T$9:T$129,'PP List'!$J$9:$J$129,Tech!$C22,'PP List'!$F$9:$F$129,Tech!$D22)</f>
        <v>105.49999999999999</v>
      </c>
      <c r="S22" s="94">
        <f>SUMIFS('PP List'!W$9:W$129,'PP List'!$J$9:$J$129,Tech!$C22,'PP List'!$F$9:$F$129,Tech!$D22)</f>
        <v>88.499999999999986</v>
      </c>
      <c r="T22" s="232">
        <f>AVERAGEIFS('PP List'!$H$9:$H$129,'PP List'!$J$9:$J$129,Tech!$C22)</f>
        <v>2010</v>
      </c>
      <c r="U22" s="98">
        <f t="shared" si="2"/>
        <v>1.5648554335142955</v>
      </c>
      <c r="V22" s="98">
        <f t="shared" si="2"/>
        <v>1.5648554335142955</v>
      </c>
      <c r="W22" s="98">
        <f t="shared" si="2"/>
        <v>1.5648554335142955</v>
      </c>
      <c r="X22" s="99">
        <v>3.1536000000000002E-2</v>
      </c>
      <c r="Y22" s="99">
        <f>ROUND(('5.4'!$E$36*1000)/('5.3'!$E$34*8760),2)</f>
        <v>0.18</v>
      </c>
      <c r="Z22" s="97"/>
      <c r="AA22" s="94">
        <v>1</v>
      </c>
      <c r="AB22" s="94"/>
      <c r="AC22" s="94"/>
      <c r="AD22" s="94"/>
      <c r="AE22" s="94"/>
      <c r="AF22" s="94"/>
      <c r="AG22" s="94"/>
      <c r="AI22" s="68" t="s">
        <v>345</v>
      </c>
      <c r="AK22" s="65"/>
    </row>
    <row r="23" spans="2:37" s="68" customFormat="1" ht="12.75" customHeight="1" x14ac:dyDescent="0.3">
      <c r="B23" s="94" t="str">
        <f t="shared" si="1"/>
        <v>ERWINWPPWi1E</v>
      </c>
      <c r="C23" s="94" t="s">
        <v>596</v>
      </c>
      <c r="D23" s="94" t="s">
        <v>220</v>
      </c>
      <c r="E23" s="95" t="s">
        <v>119</v>
      </c>
      <c r="F23" s="95" t="s">
        <v>28</v>
      </c>
      <c r="G23" s="95" t="s">
        <v>581</v>
      </c>
      <c r="H23" s="96">
        <v>1</v>
      </c>
      <c r="I23" s="115"/>
      <c r="J23" s="96"/>
      <c r="K23" s="94">
        <f>SUMIFS('PP List'!M$9:M$129,'PP List'!$J$9:$J$129,Tech!$C23,'PP List'!$F$9:$F$129,Tech!$D23)</f>
        <v>0</v>
      </c>
      <c r="L23" s="94">
        <f>SUMIFS('PP List'!N$9:N$129,'PP List'!$J$9:$J$129,Tech!$C23,'PP List'!$F$9:$F$129,Tech!$D23)</f>
        <v>29.34</v>
      </c>
      <c r="M23" s="94">
        <f>SUMIFS('PP List'!O$9:O$129,'PP List'!$J$9:$J$129,Tech!$C23,'PP List'!$F$9:$F$129,Tech!$D23)</f>
        <v>79.34</v>
      </c>
      <c r="N23" s="94">
        <f>SUMIFS('PP List'!P$9:P$129,'PP List'!$J$9:$J$129,Tech!$C23,'PP List'!$F$9:$F$129,Tech!$D23)</f>
        <v>319.34000000000003</v>
      </c>
      <c r="O23" s="94">
        <f>SUMIFS('PP List'!Q$9:Q$129,'PP List'!$J$9:$J$129,Tech!$C23,'PP List'!$F$9:$F$129,Tech!$D23)</f>
        <v>319.34000000000003</v>
      </c>
      <c r="P23" s="94">
        <f>SUMIFS('PP List'!R$9:R$129,'PP List'!$J$9:$J$129,Tech!$C23,'PP List'!$F$9:$F$129,Tech!$D23)</f>
        <v>319.34000000000003</v>
      </c>
      <c r="Q23" s="94">
        <f>SUMIFS('PP List'!S$9:S$129,'PP List'!$J$9:$J$129,Tech!$C23,'PP List'!$F$9:$F$129,Tech!$D23)</f>
        <v>290</v>
      </c>
      <c r="R23" s="94">
        <f>SUMIFS('PP List'!T$9:T$129,'PP List'!$J$9:$J$129,Tech!$C23,'PP List'!$F$9:$F$129,Tech!$D23)</f>
        <v>240</v>
      </c>
      <c r="S23" s="94">
        <f>SUMIFS('PP List'!W$9:W$129,'PP List'!$J$9:$J$129,Tech!$C23,'PP List'!$F$9:$F$129,Tech!$D23)</f>
        <v>0</v>
      </c>
      <c r="T23" s="232">
        <f>AVERAGEIFS('PP List'!$H$9:$H$129,'PP List'!$J$9:$J$129,Tech!$C23)</f>
        <v>2016.8571428571429</v>
      </c>
      <c r="U23" s="98">
        <f>INDEX(ELC_TechsR_ELC!$C$3:$AM$138,MATCH($AK23,ELC_TechsR_ELC!$B$3:$B$138,0),MATCH(U$7,ELC_TechsR_ELC!$C$2:$AM$2,0))/7.45</f>
        <v>4.6000000000000005</v>
      </c>
      <c r="V23" s="98">
        <f>INDEX(ELC_TechsR_ELC!$C$3:$AM$138,MATCH($AK23,ELC_TechsR_ELC!$B$3:$B$138,0),MATCH(V$7,ELC_TechsR_ELC!$C$2:$AM$2,0))/7.45</f>
        <v>0</v>
      </c>
      <c r="W23" s="98">
        <f>INDEX(ELC_TechsR_ELC!$C$3:$AM$138,MATCH($AK23,ELC_TechsR_ELC!$B$3:$B$138,0),MATCH(W$7,ELC_TechsR_ELC!$C$2:$AM$2,0))/7.45</f>
        <v>5.5555555555555571</v>
      </c>
      <c r="X23" s="99">
        <f>INDEX(ELC_TechsR_ELC!$C$3:$AM$138,MATCH($AK23,ELC_TechsR_ELC!$B$3:$B$138,0),MATCH(X$7,ELC_TechsR_ELC!$C$2:$AM$2,0))</f>
        <v>3.1536000000000002E-2</v>
      </c>
      <c r="Y23" s="98"/>
      <c r="Z23" s="98"/>
      <c r="AA23" s="98">
        <f>INDEX(ELC_TechsR_ELC!$C$3:$AM$138,MATCH($AK23,ELC_TechsR_ELC!$B$3:$B$138,0),MATCH(AA$7,ELC_TechsR_ELC!$C$2:$AM$2,0))</f>
        <v>1</v>
      </c>
      <c r="AB23" s="98">
        <f>INDEX(ELC_TechsR_ELC!$C$3:$AM$138,MATCH($AK23,ELC_TechsR_ELC!$B$3:$B$138,0),MATCH(AB$9,ELC_TechsR_ELC!$C$1:$AM$1,0))</f>
        <v>0</v>
      </c>
      <c r="AC23" s="98">
        <f>INDEX(ELC_TechsR_ELC!$C$3:$AM$138,MATCH($AK23,ELC_TechsR_ELC!$B$3:$B$138,0),MATCH(AC$9,ELC_TechsR_ELC!$C$1:$AM$1,0))/25</f>
        <v>0</v>
      </c>
      <c r="AD23" s="98">
        <f>INDEX(ELC_TechsR_ELC!$C$3:$AM$138,MATCH($AK23,ELC_TechsR_ELC!$B$3:$B$138,0),MATCH(AD$9,ELC_TechsR_ELC!$C$1:$AM$1,0))</f>
        <v>0</v>
      </c>
      <c r="AE23" s="98">
        <f>INDEX(ELC_TechsR_ELC!$C$3:$AM$138,MATCH($AK23,ELC_TechsR_ELC!$B$3:$B$138,0),MATCH(AE$9,ELC_TechsR_ELC!$C$1:$AM$1,0))</f>
        <v>0</v>
      </c>
      <c r="AF23" s="98">
        <f>INDEX(ELC_TechsR_ELC!$C$3:$AM$138,MATCH($AK23,ELC_TechsR_ELC!$B$3:$B$138,0),MATCH(AF$9,ELC_TechsR_ELC!$C$1:$AM$1,0))</f>
        <v>0</v>
      </c>
      <c r="AG23" s="98"/>
      <c r="AI23" s="68" t="s">
        <v>346</v>
      </c>
      <c r="AK23" s="239" t="str">
        <f>ELC_TechsR_ELC!B38</f>
        <v>ERWAWAVELCN1</v>
      </c>
    </row>
    <row r="24" spans="2:37" s="68" customFormat="1" ht="12.75" customHeight="1" x14ac:dyDescent="0.3">
      <c r="B24" s="94" t="str">
        <f t="shared" si="1"/>
        <v>ERSOLSPPSo1E</v>
      </c>
      <c r="C24" s="94" t="s">
        <v>597</v>
      </c>
      <c r="D24" s="94" t="s">
        <v>220</v>
      </c>
      <c r="E24" s="95" t="s">
        <v>184</v>
      </c>
      <c r="F24" s="95" t="s">
        <v>28</v>
      </c>
      <c r="G24" s="95" t="s">
        <v>581</v>
      </c>
      <c r="H24" s="96">
        <v>1</v>
      </c>
      <c r="I24" s="115"/>
      <c r="J24" s="96"/>
      <c r="K24" s="94">
        <f>SUMIFS('PP List'!M$9:M$129,'PP List'!$J$9:$J$129,Tech!$C24,'PP List'!$F$9:$F$129,Tech!$D24)</f>
        <v>0</v>
      </c>
      <c r="L24" s="94">
        <f>SUMIFS('PP List'!N$9:N$129,'PP List'!$J$9:$J$129,Tech!$C24,'PP List'!$F$9:$F$129,Tech!$D24)</f>
        <v>13.02</v>
      </c>
      <c r="M24" s="94">
        <f>SUMIFS('PP List'!O$9:O$129,'PP List'!$J$9:$J$129,Tech!$C24,'PP List'!$F$9:$F$129,Tech!$D24)</f>
        <v>13.02</v>
      </c>
      <c r="N24" s="94">
        <f>SUMIFS('PP List'!P$9:P$129,'PP List'!$J$9:$J$129,Tech!$C24,'PP List'!$F$9:$F$129,Tech!$D24)</f>
        <v>243.02</v>
      </c>
      <c r="O24" s="94">
        <f>SUMIFS('PP List'!Q$9:Q$129,'PP List'!$J$9:$J$129,Tech!$C24,'PP List'!$F$9:$F$129,Tech!$D24)</f>
        <v>243.02</v>
      </c>
      <c r="P24" s="94">
        <f>SUMIFS('PP List'!R$9:R$129,'PP List'!$J$9:$J$129,Tech!$C24,'PP List'!$F$9:$F$129,Tech!$D24)</f>
        <v>243.02</v>
      </c>
      <c r="Q24" s="94">
        <f>SUMIFS('PP List'!S$9:S$129,'PP List'!$J$9:$J$129,Tech!$C24,'PP List'!$F$9:$F$129,Tech!$D24)</f>
        <v>243.02</v>
      </c>
      <c r="R24" s="94">
        <f>SUMIFS('PP List'!T$9:T$129,'PP List'!$J$9:$J$129,Tech!$C24,'PP List'!$F$9:$F$129,Tech!$D24)</f>
        <v>230</v>
      </c>
      <c r="S24" s="94">
        <f>SUMIFS('PP List'!W$9:W$129,'PP List'!$J$9:$J$129,Tech!$C24,'PP List'!$F$9:$F$129,Tech!$D24)</f>
        <v>0</v>
      </c>
      <c r="T24" s="232">
        <f>AVERAGEIFS('PP List'!$H$9:$H$129,'PP List'!$J$9:$J$129,Tech!$C24)</f>
        <v>2016.75</v>
      </c>
      <c r="U24" s="98">
        <f>INDEX(ELC_TechsR_ELC!$C$3:$AM$138,MATCH($AK24,ELC_TechsR_ELC!$B$3:$B$138,0),MATCH(U$7,ELC_TechsR_ELC!$C$2:$AM$2,0))/7.45</f>
        <v>1.3442880000000001</v>
      </c>
      <c r="V24" s="98">
        <f>INDEX(ELC_TechsR_ELC!$C$3:$AM$138,MATCH($AK24,ELC_TechsR_ELC!$B$3:$B$138,0),MATCH(V$7,ELC_TechsR_ELC!$C$2:$AM$2,0))/7.45</f>
        <v>1.342E-2</v>
      </c>
      <c r="W24" s="98">
        <f>INDEX(ELC_TechsR_ELC!$C$3:$AM$138,MATCH($AK24,ELC_TechsR_ELC!$B$3:$B$138,0),MATCH(W$7,ELC_TechsR_ELC!$C$2:$AM$2,0))/7.45</f>
        <v>0</v>
      </c>
      <c r="X24" s="99">
        <f>INDEX(ELC_TechsR_ELC!$C$3:$AM$138,MATCH($AK24,ELC_TechsR_ELC!$B$3:$B$138,0),MATCH(X$7,ELC_TechsR_ELC!$C$2:$AM$2,0))</f>
        <v>3.1536000000000002E-2</v>
      </c>
      <c r="Y24" s="98"/>
      <c r="Z24" s="98"/>
      <c r="AA24" s="98">
        <f>INDEX(ELC_TechsR_ELC!$C$3:$AM$138,MATCH($AK24,ELC_TechsR_ELC!$B$3:$B$138,0),MATCH(AA$7,ELC_TechsR_ELC!$C$2:$AM$2,0))</f>
        <v>0.3</v>
      </c>
      <c r="AB24" s="98">
        <f>INDEX(ELC_TechsR_ELC!$C$3:$AM$138,MATCH($AK24,ELC_TechsR_ELC!$B$3:$B$138,0),MATCH(AB$9,ELC_TechsR_ELC!$C$1:$AM$1,0))</f>
        <v>0</v>
      </c>
      <c r="AC24" s="98">
        <f>INDEX(ELC_TechsR_ELC!$C$3:$AM$138,MATCH($AK24,ELC_TechsR_ELC!$B$3:$B$138,0),MATCH(AC$9,ELC_TechsR_ELC!$C$1:$AM$1,0))/25</f>
        <v>0</v>
      </c>
      <c r="AD24" s="98">
        <f>INDEX(ELC_TechsR_ELC!$C$3:$AM$138,MATCH($AK24,ELC_TechsR_ELC!$B$3:$B$138,0),MATCH(AD$9,ELC_TechsR_ELC!$C$1:$AM$1,0))</f>
        <v>0</v>
      </c>
      <c r="AE24" s="98">
        <f>INDEX(ELC_TechsR_ELC!$C$3:$AM$138,MATCH($AK24,ELC_TechsR_ELC!$B$3:$B$138,0),MATCH(AE$9,ELC_TechsR_ELC!$C$1:$AM$1,0))</f>
        <v>0</v>
      </c>
      <c r="AF24" s="98">
        <f>INDEX(ELC_TechsR_ELC!$C$3:$AM$138,MATCH($AK24,ELC_TechsR_ELC!$B$3:$B$138,0),MATCH(AF$9,ELC_TechsR_ELC!$C$1:$AM$1,0))</f>
        <v>0</v>
      </c>
      <c r="AG24" s="98"/>
      <c r="AI24" s="68" t="s">
        <v>346</v>
      </c>
      <c r="AK24" s="239" t="str">
        <f>ELC_TechsR_ELC!B30</f>
        <v>ERPVSOLELCN2</v>
      </c>
    </row>
    <row r="25" spans="2:37" s="68" customFormat="1" ht="12.75" customHeight="1" x14ac:dyDescent="0.3">
      <c r="B25" s="94" t="str">
        <f>"ET"&amp;RIGHT(E25,3)&amp;RIGHT(C25,3)&amp;LEFT(C25,2)&amp;"1E"</f>
        <v>ETNGAIPPBP1E</v>
      </c>
      <c r="C25" s="94" t="s">
        <v>598</v>
      </c>
      <c r="D25" s="94" t="s">
        <v>220</v>
      </c>
      <c r="E25" s="95" t="s">
        <v>147</v>
      </c>
      <c r="F25" s="95" t="s">
        <v>28</v>
      </c>
      <c r="G25" s="95" t="s">
        <v>581</v>
      </c>
      <c r="H25" s="269">
        <f>H28</f>
        <v>0.4</v>
      </c>
      <c r="I25" s="115"/>
      <c r="J25" s="96"/>
      <c r="K25" s="94">
        <f>SUMIFS('PP List'!M$9:M$129,'PP List'!$J$9:$J$129,Tech!$C25,'PP List'!$F$9:$F$129,Tech!$D25)</f>
        <v>517.5</v>
      </c>
      <c r="L25" s="94">
        <f>SUMIFS('PP List'!N$9:N$129,'PP List'!$J$9:$J$129,Tech!$C25,'PP List'!$F$9:$F$129,Tech!$D25)</f>
        <v>517.5</v>
      </c>
      <c r="M25" s="94">
        <f>SUMIFS('PP List'!O$9:O$129,'PP List'!$J$9:$J$129,Tech!$C25,'PP List'!$F$9:$F$129,Tech!$D25)</f>
        <v>517.5</v>
      </c>
      <c r="N25" s="94">
        <f>SUMIFS('PP List'!P$9:P$129,'PP List'!$J$9:$J$129,Tech!$C25,'PP List'!$F$9:$F$129,Tech!$D25)</f>
        <v>517.5</v>
      </c>
      <c r="O25" s="94">
        <f>SUMIFS('PP List'!Q$9:Q$129,'PP List'!$J$9:$J$129,Tech!$C25,'PP List'!$F$9:$F$129,Tech!$D25)</f>
        <v>517.5</v>
      </c>
      <c r="P25" s="94">
        <f>SUMIFS('PP List'!R$9:R$129,'PP List'!$J$9:$J$129,Tech!$C25,'PP List'!$F$9:$F$129,Tech!$D25)</f>
        <v>0</v>
      </c>
      <c r="Q25" s="94">
        <f>SUMIFS('PP List'!S$9:S$129,'PP List'!$J$9:$J$129,Tech!$C25,'PP List'!$F$9:$F$129,Tech!$D25)</f>
        <v>0</v>
      </c>
      <c r="R25" s="94">
        <f>SUMIFS('PP List'!T$9:T$129,'PP List'!$J$9:$J$129,Tech!$C25,'PP List'!$F$9:$F$129,Tech!$D25)</f>
        <v>0</v>
      </c>
      <c r="S25" s="94">
        <f>SUMIFS('PP List'!W$9:W$129,'PP List'!$J$9:$J$129,Tech!$C25,'PP List'!$F$9:$F$129,Tech!$D25)</f>
        <v>0</v>
      </c>
      <c r="T25" s="232">
        <f>AVERAGEIFS('PP List'!$H$9:$H$129,'PP List'!$J$9:$J$129,Tech!$C25)</f>
        <v>1991</v>
      </c>
      <c r="U25" s="98">
        <f>INDEX(ELC_TechsR_ELC!$C$3:$AM$138,MATCH($AK25,ELC_TechsR_ELC!$B$3:$B$138,0),MATCH(U$7,ELC_TechsR_ELC!$C$2:$AM$2,0))/7.45</f>
        <v>0.46800000000000003</v>
      </c>
      <c r="V25" s="98">
        <f>INDEX(ELC_TechsR_ELC!$C$3:$AM$138,MATCH($AK25,ELC_TechsR_ELC!$B$3:$B$138,0),MATCH(V$7,ELC_TechsR_ELC!$C$2:$AM$2,0))/7.45</f>
        <v>8.0680000000000005E-3</v>
      </c>
      <c r="W25" s="98">
        <f>INDEX(ELC_TechsR_ELC!$C$3:$AM$138,MATCH($AK25,ELC_TechsR_ELC!$B$3:$B$138,0),MATCH(W$7,ELC_TechsR_ELC!$C$2:$AM$2,0))/7.45</f>
        <v>1.25</v>
      </c>
      <c r="X25" s="99">
        <f>INDEX(ELC_TechsR_ELC!$C$3:$AM$138,MATCH($AK25,ELC_TechsR_ELC!$B$3:$B$138,0),MATCH(X$7,ELC_TechsR_ELC!$C$2:$AM$2,0))</f>
        <v>3.1536000000000002E-2</v>
      </c>
      <c r="Y25" s="98">
        <v>0.9</v>
      </c>
      <c r="Z25" s="98"/>
      <c r="AA25" s="98">
        <f>INDEX(ELC_TechsR_ELC!$C$3:$AM$138,MATCH($AK25,ELC_TechsR_ELC!$B$3:$B$138,0),MATCH(AA$7,ELC_TechsR_ELC!$C$2:$AM$2,0))</f>
        <v>1</v>
      </c>
      <c r="AB25" s="98">
        <f>INDEX(ELC_TechsR_ELC!$C$3:$AM$138,MATCH($AK25,ELC_TechsR_ELC!$B$3:$B$138,0),MATCH(AB$9,ELC_TechsR_ELC!$C$1:$AM$1,0))</f>
        <v>48</v>
      </c>
      <c r="AC25" s="98">
        <f>INDEX(ELC_TechsR_ELC!$C$3:$AM$138,MATCH($AK25,ELC_TechsR_ELC!$B$3:$B$138,0),MATCH(AC$9,ELC_TechsR_ELC!$C$1:$AM$1,0))/25</f>
        <v>6.8000000000000005E-2</v>
      </c>
      <c r="AD25" s="98">
        <f>INDEX(ELC_TechsR_ELC!$C$3:$AM$138,MATCH($AK25,ELC_TechsR_ELC!$B$3:$B$138,0),MATCH(AD$9,ELC_TechsR_ELC!$C$1:$AM$1,0))</f>
        <v>1</v>
      </c>
      <c r="AE25" s="98">
        <f>INDEX(ELC_TechsR_ELC!$C$3:$AM$138,MATCH($AK25,ELC_TechsR_ELC!$B$3:$B$138,0),MATCH(AE$9,ELC_TechsR_ELC!$C$1:$AM$1,0))</f>
        <v>0.43</v>
      </c>
      <c r="AF25" s="98">
        <f>INDEX(ELC_TechsR_ELC!$C$3:$AM$138,MATCH($AK25,ELC_TechsR_ELC!$B$3:$B$138,0),MATCH(AF$9,ELC_TechsR_ELC!$C$1:$AM$1,0))</f>
        <v>0.1</v>
      </c>
      <c r="AG25" s="94"/>
      <c r="AI25" s="68" t="s">
        <v>346</v>
      </c>
      <c r="AK25" s="239" t="str">
        <f>AK17</f>
        <v>ETCDNGAELCN2</v>
      </c>
    </row>
    <row r="26" spans="2:37" s="68" customFormat="1" ht="12.75" customHeight="1" x14ac:dyDescent="0.3">
      <c r="B26" s="94" t="str">
        <f>"ET"&amp;RIGHT(E26,3)&amp;RIGHT(C26,3)&amp;LEFT(C26,2)&amp;"1E"</f>
        <v>ETNGAIPPSO1E</v>
      </c>
      <c r="C26" s="94" t="s">
        <v>599</v>
      </c>
      <c r="D26" s="94" t="s">
        <v>220</v>
      </c>
      <c r="E26" s="95" t="s">
        <v>147</v>
      </c>
      <c r="F26" s="95" t="s">
        <v>28</v>
      </c>
      <c r="G26" s="95" t="s">
        <v>581</v>
      </c>
      <c r="H26" s="269">
        <f>H25</f>
        <v>0.4</v>
      </c>
      <c r="I26" s="115"/>
      <c r="J26" s="96"/>
      <c r="K26" s="94">
        <f>SUMIFS('PP List'!M$9:M$129,'PP List'!$J$9:$J$129,Tech!$C26,'PP List'!$F$9:$F$129,Tech!$D26)</f>
        <v>137.69999999999999</v>
      </c>
      <c r="L26" s="94">
        <f>SUMIFS('PP List'!N$9:N$129,'PP List'!$J$9:$J$129,Tech!$C26,'PP List'!$F$9:$F$129,Tech!$D26)</f>
        <v>137.69999999999999</v>
      </c>
      <c r="M26" s="94">
        <f>SUMIFS('PP List'!O$9:O$129,'PP List'!$J$9:$J$129,Tech!$C26,'PP List'!$F$9:$F$129,Tech!$D26)</f>
        <v>137.69999999999999</v>
      </c>
      <c r="N26" s="94">
        <f>SUMIFS('PP List'!P$9:P$129,'PP List'!$J$9:$J$129,Tech!$C26,'PP List'!$F$9:$F$129,Tech!$D26)</f>
        <v>137.69999999999999</v>
      </c>
      <c r="O26" s="94">
        <f>SUMIFS('PP List'!Q$9:Q$129,'PP List'!$J$9:$J$129,Tech!$C26,'PP List'!$F$9:$F$129,Tech!$D26)</f>
        <v>137.69999999999999</v>
      </c>
      <c r="P26" s="94">
        <f>SUMIFS('PP List'!R$9:R$129,'PP List'!$J$9:$J$129,Tech!$C26,'PP List'!$F$9:$F$129,Tech!$D26)</f>
        <v>0</v>
      </c>
      <c r="Q26" s="94">
        <f>SUMIFS('PP List'!S$9:S$129,'PP List'!$J$9:$J$129,Tech!$C26,'PP List'!$F$9:$F$129,Tech!$D26)</f>
        <v>0</v>
      </c>
      <c r="R26" s="94">
        <f>SUMIFS('PP List'!T$9:T$129,'PP List'!$J$9:$J$129,Tech!$C26,'PP List'!$F$9:$F$129,Tech!$D26)</f>
        <v>0</v>
      </c>
      <c r="S26" s="94">
        <f>SUMIFS('PP List'!W$9:W$129,'PP List'!$J$9:$J$129,Tech!$C26,'PP List'!$F$9:$F$129,Tech!$D26)</f>
        <v>0</v>
      </c>
      <c r="T26" s="232">
        <f>AVERAGEIFS('PP List'!$H$9:$H$129,'PP List'!$J$9:$J$129,Tech!$C26)</f>
        <v>1992</v>
      </c>
      <c r="U26" s="98">
        <f>INDEX(ELC_TechsR_ELC!$C$3:$AM$138,MATCH($AK26,ELC_TechsR_ELC!$B$3:$B$138,0),MATCH(U$7,ELC_TechsR_ELC!$C$2:$AM$2,0))/7.45</f>
        <v>0.51</v>
      </c>
      <c r="V26" s="98">
        <f>INDEX(ELC_TechsR_ELC!$C$3:$AM$138,MATCH($AK26,ELC_TechsR_ELC!$B$3:$B$138,0),MATCH(V$7,ELC_TechsR_ELC!$C$2:$AM$2,0))/7.45</f>
        <v>6.5000000000000006E-3</v>
      </c>
      <c r="W26" s="98">
        <f>INDEX(ELC_TechsR_ELC!$C$3:$AM$138,MATCH($AK26,ELC_TechsR_ELC!$B$3:$B$138,0),MATCH(W$7,ELC_TechsR_ELC!$C$2:$AM$2,0))/7.45</f>
        <v>1.6666666666666712</v>
      </c>
      <c r="X26" s="99">
        <f>INDEX(ELC_TechsR_ELC!$C$3:$AM$138,MATCH($AK26,ELC_TechsR_ELC!$B$3:$B$138,0),MATCH(X$7,ELC_TechsR_ELC!$C$2:$AM$2,0))</f>
        <v>3.1536000000000002E-2</v>
      </c>
      <c r="Y26" s="98">
        <f>INDEX(ELC_TechsR_ELC!$C$3:$AM$138,MATCH($AK26,ELC_TechsR_ELC!$B$3:$B$138,0),MATCH(Y$7,ELC_TechsR_ELC!$C$2:$AM$2,0))</f>
        <v>0.9</v>
      </c>
      <c r="Z26" s="98"/>
      <c r="AA26" s="98">
        <f>INDEX(ELC_TechsR_ELC!$C$3:$AM$138,MATCH($AK26,ELC_TechsR_ELC!$B$3:$B$138,0),MATCH(AA$7,ELC_TechsR_ELC!$C$2:$AM$2,0))</f>
        <v>1</v>
      </c>
      <c r="AB26" s="98">
        <f>INDEX(ELC_TechsR_ELC!$C$3:$AM$138,MATCH($AK26,ELC_TechsR_ELC!$B$3:$B$138,0),MATCH(AB$9,ELC_TechsR_ELC!$C$1:$AM$1,0))</f>
        <v>75</v>
      </c>
      <c r="AC26" s="98">
        <f>INDEX(ELC_TechsR_ELC!$C$3:$AM$138,MATCH($AK26,ELC_TechsR_ELC!$B$3:$B$138,0),MATCH(AC$9,ELC_TechsR_ELC!$C$1:$AM$1,0))/25</f>
        <v>12.6</v>
      </c>
      <c r="AD26" s="98">
        <f>INDEX(ELC_TechsR_ELC!$C$3:$AM$138,MATCH($AK26,ELC_TechsR_ELC!$B$3:$B$138,0),MATCH(AD$9,ELC_TechsR_ELC!$C$1:$AM$1,0))</f>
        <v>0.6</v>
      </c>
      <c r="AE26" s="98">
        <f>INDEX(ELC_TechsR_ELC!$C$3:$AM$138,MATCH($AK26,ELC_TechsR_ELC!$B$3:$B$138,0),MATCH(AE$9,ELC_TechsR_ELC!$C$1:$AM$1,0))</f>
        <v>0</v>
      </c>
      <c r="AF26" s="98">
        <f>INDEX(ELC_TechsR_ELC!$C$3:$AM$138,MATCH($AK26,ELC_TechsR_ELC!$B$3:$B$138,0),MATCH(AF$9,ELC_TechsR_ELC!$C$1:$AM$1,0))</f>
        <v>0.76</v>
      </c>
      <c r="AG26" s="94"/>
      <c r="AI26" s="68" t="s">
        <v>346</v>
      </c>
      <c r="AK26" s="239" t="str">
        <f>AK18</f>
        <v>ETCDNGAELCN1</v>
      </c>
    </row>
    <row r="27" spans="2:37" s="68" customFormat="1" ht="12.75" customHeight="1" x14ac:dyDescent="0.3">
      <c r="B27" s="94" t="str">
        <f>"ET"&amp;RIGHT(E27,3)&amp;RIGHT(C27,3)&amp;LEFT(C27,2)&amp;"1E"</f>
        <v>ETNGAIPPAz1E</v>
      </c>
      <c r="C27" s="94" t="s">
        <v>600</v>
      </c>
      <c r="D27" s="94" t="s">
        <v>220</v>
      </c>
      <c r="E27" s="95" t="s">
        <v>147</v>
      </c>
      <c r="F27" s="95" t="s">
        <v>28</v>
      </c>
      <c r="G27" s="95" t="s">
        <v>581</v>
      </c>
      <c r="H27" s="269">
        <f>H26</f>
        <v>0.4</v>
      </c>
      <c r="I27" s="115"/>
      <c r="J27" s="96"/>
      <c r="K27" s="94">
        <f>SUMIFS('PP List'!M$9:M$129,'PP List'!$J$9:$J$129,Tech!$C27,'PP List'!$F$9:$F$129,Tech!$D27)</f>
        <v>32</v>
      </c>
      <c r="L27" s="94">
        <f>SUMIFS('PP List'!N$9:N$129,'PP List'!$J$9:$J$129,Tech!$C27,'PP List'!$F$9:$F$129,Tech!$D27)</f>
        <v>32</v>
      </c>
      <c r="M27" s="94">
        <f>SUMIFS('PP List'!O$9:O$129,'PP List'!$J$9:$J$129,Tech!$C27,'PP List'!$F$9:$F$129,Tech!$D27)</f>
        <v>32</v>
      </c>
      <c r="N27" s="94">
        <f>SUMIFS('PP List'!P$9:P$129,'PP List'!$J$9:$J$129,Tech!$C27,'PP List'!$F$9:$F$129,Tech!$D27)</f>
        <v>32</v>
      </c>
      <c r="O27" s="94">
        <f>SUMIFS('PP List'!Q$9:Q$129,'PP List'!$J$9:$J$129,Tech!$C27,'PP List'!$F$9:$F$129,Tech!$D27)</f>
        <v>32</v>
      </c>
      <c r="P27" s="94">
        <f>SUMIFS('PP List'!R$9:R$129,'PP List'!$J$9:$J$129,Tech!$C27,'PP List'!$F$9:$F$129,Tech!$D27)</f>
        <v>0</v>
      </c>
      <c r="Q27" s="94">
        <f>SUMIFS('PP List'!S$9:S$129,'PP List'!$J$9:$J$129,Tech!$C27,'PP List'!$F$9:$F$129,Tech!$D27)</f>
        <v>0</v>
      </c>
      <c r="R27" s="94">
        <f>SUMIFS('PP List'!T$9:T$129,'PP List'!$J$9:$J$129,Tech!$C27,'PP List'!$F$9:$F$129,Tech!$D27)</f>
        <v>0</v>
      </c>
      <c r="S27" s="94">
        <f>SUMIFS('PP List'!W$9:W$129,'PP List'!$J$9:$J$129,Tech!$C27,'PP List'!$F$9:$F$129,Tech!$D27)</f>
        <v>0</v>
      </c>
      <c r="T27" s="232">
        <f>AVERAGEIFS('PP List'!$H$9:$H$129,'PP List'!$J$9:$J$129,Tech!$C27)</f>
        <v>1991</v>
      </c>
      <c r="U27" s="98">
        <f>INDEX(ELC_TechsR_ELC!$C$3:$AM$138,MATCH($AK27,ELC_TechsR_ELC!$B$3:$B$138,0),MATCH(U$7,ELC_TechsR_ELC!$C$2:$AM$2,0))/7.45</f>
        <v>0.51</v>
      </c>
      <c r="V27" s="98">
        <f>INDEX(ELC_TechsR_ELC!$C$3:$AM$138,MATCH($AK27,ELC_TechsR_ELC!$B$3:$B$138,0),MATCH(V$7,ELC_TechsR_ELC!$C$2:$AM$2,0))/7.45</f>
        <v>6.5000000000000006E-3</v>
      </c>
      <c r="W27" s="98">
        <f>INDEX(ELC_TechsR_ELC!$C$3:$AM$138,MATCH($AK27,ELC_TechsR_ELC!$B$3:$B$138,0),MATCH(W$7,ELC_TechsR_ELC!$C$2:$AM$2,0))/7.45</f>
        <v>1.6666666666666712</v>
      </c>
      <c r="X27" s="99">
        <f>INDEX(ELC_TechsR_ELC!$C$3:$AM$138,MATCH($AK27,ELC_TechsR_ELC!$B$3:$B$138,0),MATCH(X$7,ELC_TechsR_ELC!$C$2:$AM$2,0))</f>
        <v>3.1536000000000002E-2</v>
      </c>
      <c r="Y27" s="98">
        <v>0.9</v>
      </c>
      <c r="Z27" s="98"/>
      <c r="AA27" s="98">
        <f>INDEX(ELC_TechsR_ELC!$C$3:$AM$138,MATCH($AK27,ELC_TechsR_ELC!$B$3:$B$138,0),MATCH(AA$7,ELC_TechsR_ELC!$C$2:$AM$2,0))</f>
        <v>1</v>
      </c>
      <c r="AB27" s="98">
        <f>INDEX(ELC_TechsR_ELC!$C$3:$AM$138,MATCH($AK27,ELC_TechsR_ELC!$B$3:$B$138,0),MATCH(AB$9,ELC_TechsR_ELC!$C$1:$AM$1,0))</f>
        <v>75</v>
      </c>
      <c r="AC27" s="98">
        <f>INDEX(ELC_TechsR_ELC!$C$3:$AM$138,MATCH($AK27,ELC_TechsR_ELC!$B$3:$B$138,0),MATCH(AC$9,ELC_TechsR_ELC!$C$1:$AM$1,0))/25</f>
        <v>12.6</v>
      </c>
      <c r="AD27" s="98">
        <f>INDEX(ELC_TechsR_ELC!$C$3:$AM$138,MATCH($AK27,ELC_TechsR_ELC!$B$3:$B$138,0),MATCH(AD$9,ELC_TechsR_ELC!$C$1:$AM$1,0))</f>
        <v>0.6</v>
      </c>
      <c r="AE27" s="98">
        <f>INDEX(ELC_TechsR_ELC!$C$3:$AM$138,MATCH($AK27,ELC_TechsR_ELC!$B$3:$B$138,0),MATCH(AE$9,ELC_TechsR_ELC!$C$1:$AM$1,0))</f>
        <v>0</v>
      </c>
      <c r="AF27" s="98">
        <f>INDEX(ELC_TechsR_ELC!$C$3:$AM$138,MATCH($AK27,ELC_TechsR_ELC!$B$3:$B$138,0),MATCH(AF$9,ELC_TechsR_ELC!$C$1:$AM$1,0))</f>
        <v>0.76</v>
      </c>
      <c r="AG27" s="94"/>
      <c r="AI27" s="68" t="s">
        <v>346</v>
      </c>
      <c r="AK27" s="239" t="str">
        <f>AK26</f>
        <v>ETCDNGAELCN1</v>
      </c>
    </row>
    <row r="28" spans="2:37" s="68" customFormat="1" ht="12.75" customHeight="1" x14ac:dyDescent="0.3">
      <c r="B28" s="94" t="str">
        <f>"ET"&amp;RIGHT(E28,3)&amp;RIGHT(C28,3)&amp;LEFT(C28,2)&amp;"2E"</f>
        <v>ETWSTIPPAz2E</v>
      </c>
      <c r="C28" s="94" t="s">
        <v>600</v>
      </c>
      <c r="D28" s="94" t="s">
        <v>220</v>
      </c>
      <c r="E28" s="95" t="s">
        <v>35</v>
      </c>
      <c r="F28" s="95" t="s">
        <v>28</v>
      </c>
      <c r="G28" s="95" t="s">
        <v>581</v>
      </c>
      <c r="H28" s="98">
        <f>INDEX(ELC_TechsR_DHC!$C$3:$AM$138,MATCH($AK28,ELC_TechsR_DHC!$B$3:$B$138,0),MATCH(H$7,ELC_TechsR_DHC!$C$2:$AM$2,0))</f>
        <v>0.4</v>
      </c>
      <c r="I28" s="115"/>
      <c r="J28" s="96"/>
      <c r="K28" s="94">
        <f>SUMIFS('PP List'!M$9:M$129,'PP List'!$J$9:$J$129,Tech!$C28,'PP List'!$F$9:$F$129,Tech!$D28)</f>
        <v>32</v>
      </c>
      <c r="L28" s="94">
        <f>SUMIFS('PP List'!N$9:N$129,'PP List'!$J$9:$J$129,Tech!$C28,'PP List'!$F$9:$F$129,Tech!$D28)</f>
        <v>32</v>
      </c>
      <c r="M28" s="94">
        <f>SUMIFS('PP List'!O$9:O$129,'PP List'!$J$9:$J$129,Tech!$C28,'PP List'!$F$9:$F$129,Tech!$D28)</f>
        <v>32</v>
      </c>
      <c r="N28" s="94">
        <f>SUMIFS('PP List'!P$9:P$129,'PP List'!$J$9:$J$129,Tech!$C28,'PP List'!$F$9:$F$129,Tech!$D28)</f>
        <v>32</v>
      </c>
      <c r="O28" s="94">
        <f>SUMIFS('PP List'!Q$9:Q$129,'PP List'!$J$9:$J$129,Tech!$C28,'PP List'!$F$9:$F$129,Tech!$D28)</f>
        <v>32</v>
      </c>
      <c r="P28" s="94">
        <f>SUMIFS('PP List'!R$9:R$129,'PP List'!$J$9:$J$129,Tech!$C28,'PP List'!$F$9:$F$129,Tech!$D28)</f>
        <v>0</v>
      </c>
      <c r="Q28" s="94">
        <f>SUMIFS('PP List'!S$9:S$129,'PP List'!$J$9:$J$129,Tech!$C28,'PP List'!$F$9:$F$129,Tech!$D28)</f>
        <v>0</v>
      </c>
      <c r="R28" s="94">
        <f>SUMIFS('PP List'!T$9:T$129,'PP List'!$J$9:$J$129,Tech!$C28,'PP List'!$F$9:$F$129,Tech!$D28)</f>
        <v>0</v>
      </c>
      <c r="S28" s="94">
        <f>SUMIFS('PP List'!W$9:W$129,'PP List'!$J$9:$J$129,Tech!$C28,'PP List'!$F$9:$F$129,Tech!$D28)</f>
        <v>0</v>
      </c>
      <c r="T28" s="232">
        <f>AVERAGEIFS('PP List'!$H$9:$H$129,'PP List'!$J$9:$J$129,Tech!$C28)</f>
        <v>1991</v>
      </c>
      <c r="U28" s="98">
        <f>INDEX(ELC_TechsR_DHC!$C$3:$AM$138,MATCH($AK28,ELC_TechsR_DHC!$B$3:$B$138,0),MATCH(U$7,ELC_TechsR_DHC!$C$2:$AM$2,0))/7.45</f>
        <v>1</v>
      </c>
      <c r="V28" s="98">
        <f>INDEX(ELC_TechsR_DHC!$C$3:$AM$138,MATCH($AK28,ELC_TechsR_DHC!$B$3:$B$138,0),MATCH(V$7,ELC_TechsR_DHC!$C$2:$AM$2,0))/7.45</f>
        <v>9.9999999999999985E-3</v>
      </c>
      <c r="W28" s="98">
        <f>INDEX(ELC_TechsR_DHC!$C$3:$AM$138,MATCH($AK28,ELC_TechsR_DHC!$B$3:$B$138,0),MATCH(W$7,ELC_TechsR_DHC!$C$2:$AM$2,0))/7.45</f>
        <v>2.2222222222222281</v>
      </c>
      <c r="X28" s="99">
        <f>INDEX(ELC_TechsR_DHC!$C$3:$AM$138,MATCH($AK28,ELC_TechsR_DHC!$B$3:$B$138,0),MATCH(X$7,ELC_TechsR_DHC!$C$2:$AM$2,0))</f>
        <v>3.1536000000000002E-2</v>
      </c>
      <c r="Y28" s="98">
        <v>0.9</v>
      </c>
      <c r="Z28" s="98"/>
      <c r="AA28" s="98">
        <f>INDEX(ELC_TechsR_DHC!$C$3:$AM$138,MATCH($AK28,ELC_TechsR_DHC!$B$3:$B$138,0),MATCH(AA$7,ELC_TechsR_DHC!$C$2:$AM$2,0))</f>
        <v>1</v>
      </c>
      <c r="AB28" s="98">
        <f>INDEX(ELC_TechsR_DHC!$C$3:$AM$138,MATCH($AK28,ELC_TechsR_DHC!$B$3:$B$138,0),MATCH(AB$9,ELC_TechsR_DHC!$C$1:$AM$1,0))</f>
        <v>100</v>
      </c>
      <c r="AC28" s="98">
        <f>INDEX(ELC_TechsR_DHC!$C$3:$AM$138,MATCH($AK28,ELC_TechsR_DHC!$B$3:$B$138,0),MATCH(AC$9,ELC_TechsR_DHC!$C$1:$AM$1,0))/25</f>
        <v>12</v>
      </c>
      <c r="AD28" s="98">
        <f>INDEX(ELC_TechsR_DHC!$C$3:$AM$138,MATCH($AK28,ELC_TechsR_DHC!$B$3:$B$138,0),MATCH(AD$9,ELC_TechsR_DHC!$C$1:$AM$1,0))</f>
        <v>1</v>
      </c>
      <c r="AE28" s="98">
        <f>INDEX(ELC_TechsR_DHC!$C$3:$AM$138,MATCH($AK28,ELC_TechsR_DHC!$B$3:$B$138,0),MATCH(AE$9,ELC_TechsR_DHC!$C$1:$AM$1,0))</f>
        <v>0</v>
      </c>
      <c r="AF28" s="98">
        <f>INDEX(ELC_TechsR_DHC!$C$3:$AM$138,MATCH($AK28,ELC_TechsR_DHC!$B$3:$B$138,0),MATCH(AF$9,ELC_TechsR_DHC!$C$1:$AM$1,0))</f>
        <v>0</v>
      </c>
      <c r="AG28" s="94"/>
      <c r="AI28" s="68" t="s">
        <v>346</v>
      </c>
      <c r="AK28" s="238" t="str">
        <f>ELC_TechsR_DHC!B27</f>
        <v>ECBPBGADHCN1</v>
      </c>
    </row>
    <row r="29" spans="2:37" s="68" customFormat="1" ht="12.75" customHeight="1" x14ac:dyDescent="0.3">
      <c r="B29" s="100" t="str">
        <f>"ET"&amp;RIGHT(E29,3)&amp;RIGHT(C29,3)&amp;LEFT(C29,2)&amp;"1E"</f>
        <v>ETBGATPPBi1E</v>
      </c>
      <c r="C29" s="100" t="s">
        <v>601</v>
      </c>
      <c r="D29" s="100" t="s">
        <v>220</v>
      </c>
      <c r="E29" s="228" t="s">
        <v>36</v>
      </c>
      <c r="F29" s="228" t="s">
        <v>28</v>
      </c>
      <c r="G29" s="228" t="s">
        <v>581</v>
      </c>
      <c r="H29" s="231">
        <f>INDEX(ELC_TechsR_DHC!$C$3:$AM$138,MATCH($AK29,ELC_TechsR_DHC!$B$3:$B$138,0),MATCH(H$7,ELC_TechsR_DHC!$C$2:$AM$2,0))</f>
        <v>0.219</v>
      </c>
      <c r="I29" s="230"/>
      <c r="J29" s="229"/>
      <c r="K29" s="100">
        <f>SUMIFS('PP List'!M$9:M$129,'PP List'!$J$9:$J$129,Tech!$C29,'PP List'!$F$9:$F$129,Tech!$D29)</f>
        <v>0</v>
      </c>
      <c r="L29" s="100">
        <f>SUMIFS('PP List'!N$9:N$129,'PP List'!$J$9:$J$129,Tech!$C29,'PP List'!$F$9:$F$129,Tech!$D29)</f>
        <v>0.7</v>
      </c>
      <c r="M29" s="100">
        <f>SUMIFS('PP List'!O$9:O$129,'PP List'!$J$9:$J$129,Tech!$C29,'PP List'!$F$9:$F$129,Tech!$D29)</f>
        <v>0.7</v>
      </c>
      <c r="N29" s="100">
        <f>SUMIFS('PP List'!P$9:P$129,'PP List'!$J$9:$J$129,Tech!$C29,'PP List'!$F$9:$F$129,Tech!$D29)</f>
        <v>0.7</v>
      </c>
      <c r="O29" s="100">
        <f>SUMIFS('PP List'!Q$9:Q$129,'PP List'!$J$9:$J$129,Tech!$C29,'PP List'!$F$9:$F$129,Tech!$D29)</f>
        <v>0.7</v>
      </c>
      <c r="P29" s="100">
        <f>SUMIFS('PP List'!R$9:R$129,'PP List'!$J$9:$J$129,Tech!$C29,'PP List'!$F$9:$F$129,Tech!$D29)</f>
        <v>0.7</v>
      </c>
      <c r="Q29" s="100">
        <f>SUMIFS('PP List'!S$9:S$129,'PP List'!$J$9:$J$129,Tech!$C29,'PP List'!$F$9:$F$129,Tech!$D29)</f>
        <v>0</v>
      </c>
      <c r="R29" s="100">
        <f>SUMIFS('PP List'!T$9:T$129,'PP List'!$J$9:$J$129,Tech!$C29,'PP List'!$F$9:$F$129,Tech!$D29)</f>
        <v>0</v>
      </c>
      <c r="S29" s="100">
        <f>SUMIFS('PP List'!W$9:W$129,'PP List'!$J$9:$J$129,Tech!$C29,'PP List'!$F$9:$F$129,Tech!$D29)</f>
        <v>0</v>
      </c>
      <c r="T29" s="233">
        <f>AVERAGEIFS('PP List'!$H$9:$H$129,'PP List'!$J$9:$J$129,Tech!$C29)</f>
        <v>2015</v>
      </c>
      <c r="U29" s="98">
        <f>INDEX(ELC_TechsR_DHC!$C$3:$AM$138,MATCH($AK29,ELC_TechsR_DHC!$B$3:$B$138,0),MATCH(U$7,ELC_TechsR_DHC!$C$2:$AM$2,0))/7.45</f>
        <v>9.2999999999999989</v>
      </c>
      <c r="V29" s="98">
        <f>INDEX(ELC_TechsR_DHC!$C$3:$AM$138,MATCH($AK29,ELC_TechsR_DHC!$B$3:$B$138,0),MATCH(V$7,ELC_TechsR_DHC!$C$2:$AM$2,0))/7.45</f>
        <v>0.30070000000000002</v>
      </c>
      <c r="W29" s="98">
        <f>INDEX(ELC_TechsR_DHC!$C$3:$AM$138,MATCH($AK29,ELC_TechsR_DHC!$B$3:$B$138,0),MATCH(W$7,ELC_TechsR_DHC!$C$2:$AM$2,0))/7.45</f>
        <v>6.9444444444444429</v>
      </c>
      <c r="X29" s="99">
        <f>INDEX(ELC_TechsR_DHC!$C$3:$AM$138,MATCH($AK29,ELC_TechsR_DHC!$B$3:$B$138,0),MATCH(X$7,ELC_TechsR_DHC!$C$2:$AM$2,0))</f>
        <v>3.1536000000000002E-2</v>
      </c>
      <c r="Y29" s="98">
        <v>0.95</v>
      </c>
      <c r="Z29" s="98"/>
      <c r="AA29" s="98">
        <f>INDEX(ELC_TechsR_DHC!$C$3:$AM$138,MATCH($AK29,ELC_TechsR_DHC!$B$3:$B$138,0),MATCH(AA$7,ELC_TechsR_DHC!$C$2:$AM$2,0))</f>
        <v>1</v>
      </c>
      <c r="AB29" s="98">
        <f>INDEX(ELC_TechsR_DHC!$C$3:$AM$138,MATCH($AK29,ELC_TechsR_DHC!$B$3:$B$138,0),MATCH(AB$9,ELC_TechsR_DHC!$C$1:$AM$1,0))</f>
        <v>90</v>
      </c>
      <c r="AC29" s="98">
        <f>INDEX(ELC_TechsR_DHC!$C$3:$AM$138,MATCH($AK29,ELC_TechsR_DHC!$B$3:$B$138,0),MATCH(AC$9,ELC_TechsR_DHC!$C$1:$AM$1,0))/25</f>
        <v>1.2E-2</v>
      </c>
      <c r="AD29" s="98">
        <f>INDEX(ELC_TechsR_DHC!$C$3:$AM$138,MATCH($AK29,ELC_TechsR_DHC!$B$3:$B$138,0),MATCH(AD$9,ELC_TechsR_DHC!$C$1:$AM$1,0))</f>
        <v>1.2</v>
      </c>
      <c r="AE29" s="98">
        <f>INDEX(ELC_TechsR_DHC!$C$3:$AM$138,MATCH($AK29,ELC_TechsR_DHC!$B$3:$B$138,0),MATCH(AE$9,ELC_TechsR_DHC!$C$1:$AM$1,0))</f>
        <v>0.54000000000002002</v>
      </c>
      <c r="AF29" s="98">
        <f>INDEX(ELC_TechsR_DHC!$C$3:$AM$138,MATCH($AK29,ELC_TechsR_DHC!$B$3:$B$138,0),MATCH(AF$9,ELC_TechsR_DHC!$C$1:$AM$1,0))</f>
        <v>0.3</v>
      </c>
      <c r="AG29" s="94"/>
      <c r="AI29" s="68" t="s">
        <v>346</v>
      </c>
      <c r="AK29" s="238" t="str">
        <f>ELC_TechsR_DHC!B39</f>
        <v>ECEXWSTDHCN2</v>
      </c>
    </row>
    <row r="30" spans="2:37" s="68" customFormat="1" ht="12.75" customHeight="1" x14ac:dyDescent="0.3">
      <c r="B30" s="94" t="str">
        <f>"ER"&amp;RIGHT(E30,3)&amp;RIGHT(C30,3)&amp;LEFT(C30,2)&amp;"1E"</f>
        <v>ERHYDHPPOt1E</v>
      </c>
      <c r="C30" s="94" t="s">
        <v>329</v>
      </c>
      <c r="D30" s="94" t="s">
        <v>341</v>
      </c>
      <c r="E30" s="95" t="s">
        <v>121</v>
      </c>
      <c r="F30" s="95" t="s">
        <v>28</v>
      </c>
      <c r="G30" s="95" t="s">
        <v>581</v>
      </c>
      <c r="H30" s="96">
        <v>1</v>
      </c>
      <c r="I30" s="115"/>
      <c r="J30" s="96"/>
      <c r="K30" s="94">
        <f>SUMIFS('PP List'!M$9:M$129,'PP List'!$J$9:$J$129,Tech!$C30,'PP List'!$F$9:$F$129,Tech!$D30)</f>
        <v>0</v>
      </c>
      <c r="L30" s="94">
        <f>SUMIFS('PP List'!N$9:N$129,'PP List'!$J$9:$J$129,Tech!$C30,'PP List'!$F$9:$F$129,Tech!$D30)</f>
        <v>0</v>
      </c>
      <c r="M30" s="94">
        <f>SUMIFS('PP List'!O$9:O$129,'PP List'!$J$9:$J$129,Tech!$C30,'PP List'!$F$9:$F$129,Tech!$D30)</f>
        <v>0</v>
      </c>
      <c r="N30" s="94">
        <f>SUMIFS('PP List'!P$9:P$129,'PP List'!$J$9:$J$129,Tech!$C30,'PP List'!$F$9:$F$129,Tech!$D30)</f>
        <v>135.9</v>
      </c>
      <c r="O30" s="94">
        <f>SUMIFS('PP List'!Q$9:Q$129,'PP List'!$J$9:$J$129,Tech!$C30,'PP List'!$F$9:$F$129,Tech!$D30)</f>
        <v>135.9</v>
      </c>
      <c r="P30" s="94">
        <f>SUMIFS('PP List'!R$9:R$129,'PP List'!$J$9:$J$129,Tech!$C30,'PP List'!$F$9:$F$129,Tech!$D30)</f>
        <v>135.9</v>
      </c>
      <c r="Q30" s="94">
        <f>SUMIFS('PP List'!S$9:S$129,'PP List'!$J$9:$J$129,Tech!$C30,'PP List'!$F$9:$F$129,Tech!$D30)</f>
        <v>135.9</v>
      </c>
      <c r="R30" s="94">
        <f>SUMIFS('PP List'!T$9:T$129,'PP List'!$J$9:$J$129,Tech!$C30,'PP List'!$F$9:$F$129,Tech!$D30)</f>
        <v>135.9</v>
      </c>
      <c r="S30" s="94">
        <f>SUMIFS('PP List'!W$9:W$129,'PP List'!$J$9:$J$129,Tech!$C30,'PP List'!$F$9:$F$129,Tech!$D30)</f>
        <v>135.9</v>
      </c>
      <c r="T30" s="232">
        <f>AVERAGEIFS('PP List'!$H$9:$H$129,'PP List'!$J$9:$J$129,Tech!$C30)</f>
        <v>2010</v>
      </c>
      <c r="U30" s="98">
        <f>U21</f>
        <v>1.5648554335142955</v>
      </c>
      <c r="V30" s="98">
        <f>V21</f>
        <v>1.5648554335142955</v>
      </c>
      <c r="W30" s="98">
        <f>W21</f>
        <v>1.5648554335142955</v>
      </c>
      <c r="X30" s="99">
        <v>3.1536000000000002E-2</v>
      </c>
      <c r="Y30" s="99">
        <f>ROUND(('5.4'!$E$36*1000)/('5.3'!$E$34*8760),2)</f>
        <v>0.18</v>
      </c>
      <c r="Z30" s="94"/>
      <c r="AA30" s="94">
        <v>1</v>
      </c>
      <c r="AB30" s="94"/>
      <c r="AC30" s="94"/>
      <c r="AD30" s="94"/>
      <c r="AE30" s="94"/>
      <c r="AF30" s="94"/>
      <c r="AG30" s="94"/>
      <c r="AI30" s="68" t="s">
        <v>345</v>
      </c>
      <c r="AK30" s="65"/>
    </row>
    <row r="31" spans="2:37" s="68" customFormat="1" ht="12.75" customHeight="1" x14ac:dyDescent="0.3">
      <c r="B31" s="100" t="str">
        <f>"ER"&amp;RIGHT(E31,3)&amp;RIGHT(C31,3)&amp;LEFT(C31,2)&amp;"1E"</f>
        <v>ERSOLSPPSo1E</v>
      </c>
      <c r="C31" s="100" t="s">
        <v>597</v>
      </c>
      <c r="D31" s="100" t="s">
        <v>341</v>
      </c>
      <c r="E31" s="228" t="s">
        <v>184</v>
      </c>
      <c r="F31" s="228" t="s">
        <v>28</v>
      </c>
      <c r="G31" s="228" t="s">
        <v>581</v>
      </c>
      <c r="H31" s="229">
        <v>1</v>
      </c>
      <c r="I31" s="230"/>
      <c r="J31" s="229"/>
      <c r="K31" s="100">
        <f>SUMIFS('PP List'!M$9:M$129,'PP List'!$J$9:$J$129,Tech!$C31,'PP List'!$F$9:$F$129,Tech!$D31)</f>
        <v>0</v>
      </c>
      <c r="L31" s="100">
        <f>SUMIFS('PP List'!N$9:N$129,'PP List'!$J$9:$J$129,Tech!$C31,'PP List'!$F$9:$F$129,Tech!$D31)</f>
        <v>0</v>
      </c>
      <c r="M31" s="100">
        <f>SUMIFS('PP List'!O$9:O$129,'PP List'!$J$9:$J$129,Tech!$C31,'PP List'!$F$9:$F$129,Tech!$D31)</f>
        <v>0</v>
      </c>
      <c r="N31" s="100">
        <f>SUMIFS('PP List'!P$9:P$129,'PP List'!$J$9:$J$129,Tech!$C31,'PP List'!$F$9:$F$129,Tech!$D31)</f>
        <v>240</v>
      </c>
      <c r="O31" s="100">
        <f>SUMIFS('PP List'!Q$9:Q$129,'PP List'!$J$9:$J$129,Tech!$C31,'PP List'!$F$9:$F$129,Tech!$D31)</f>
        <v>240</v>
      </c>
      <c r="P31" s="100">
        <f>SUMIFS('PP List'!R$9:R$129,'PP List'!$J$9:$J$129,Tech!$C31,'PP List'!$F$9:$F$129,Tech!$D31)</f>
        <v>240</v>
      </c>
      <c r="Q31" s="100">
        <f>SUMIFS('PP List'!S$9:S$129,'PP List'!$J$9:$J$129,Tech!$C31,'PP List'!$F$9:$F$129,Tech!$D31)</f>
        <v>240</v>
      </c>
      <c r="R31" s="100">
        <f>SUMIFS('PP List'!T$9:T$129,'PP List'!$J$9:$J$129,Tech!$C31,'PP List'!$F$9:$F$129,Tech!$D31)</f>
        <v>240</v>
      </c>
      <c r="S31" s="100">
        <f>SUMIFS('PP List'!W$9:W$129,'PP List'!$J$9:$J$129,Tech!$C31,'PP List'!$F$9:$F$129,Tech!$D31)</f>
        <v>0</v>
      </c>
      <c r="T31" s="233">
        <f>AVERAGEIFS('PP List'!$H$9:$H$129,'PP List'!$J$9:$J$129,Tech!$C31)</f>
        <v>2016.75</v>
      </c>
      <c r="U31" s="231">
        <f>U24</f>
        <v>1.3442880000000001</v>
      </c>
      <c r="V31" s="231">
        <f>V24</f>
        <v>1.342E-2</v>
      </c>
      <c r="W31" s="231"/>
      <c r="X31" s="235">
        <f>X24</f>
        <v>3.1536000000000002E-2</v>
      </c>
      <c r="Y31" s="231"/>
      <c r="Z31" s="231"/>
      <c r="AA31" s="231">
        <f>AA24</f>
        <v>0.3</v>
      </c>
      <c r="AB31" s="231">
        <f t="shared" ref="AB31:AF31" si="3">AB24</f>
        <v>0</v>
      </c>
      <c r="AC31" s="231">
        <f t="shared" si="3"/>
        <v>0</v>
      </c>
      <c r="AD31" s="231">
        <f t="shared" si="3"/>
        <v>0</v>
      </c>
      <c r="AE31" s="231">
        <f t="shared" si="3"/>
        <v>0</v>
      </c>
      <c r="AF31" s="231">
        <f t="shared" si="3"/>
        <v>0</v>
      </c>
      <c r="AG31" s="98"/>
      <c r="AI31" s="68" t="s">
        <v>346</v>
      </c>
      <c r="AK31" s="239" t="str">
        <f>AK24</f>
        <v>ERPVSOLELCN2</v>
      </c>
    </row>
    <row r="32" spans="2:37" s="68" customFormat="1" ht="12.75" customHeight="1" x14ac:dyDescent="0.3">
      <c r="B32" s="94" t="str">
        <f>"ET"&amp;RIGHT(E32,3)&amp;RIGHT(C32,3)&amp;LEFT(C32,2)&amp;"1E"</f>
        <v>ETNGATPPTP1E</v>
      </c>
      <c r="C32" s="94" t="s">
        <v>335</v>
      </c>
      <c r="D32" s="94" t="s">
        <v>342</v>
      </c>
      <c r="E32" s="95" t="s">
        <v>147</v>
      </c>
      <c r="F32" s="95" t="s">
        <v>28</v>
      </c>
      <c r="G32" s="95" t="s">
        <v>581</v>
      </c>
      <c r="H32" s="98">
        <f>INDEX(ELC_TechsR_ELC!$C$3:$AM$138,MATCH($AK32,ELC_TechsR_ELC!$B$3:$B$138,0),MATCH(H$7,ELC_TechsR_ELC!$C$2:$AM$2,0))</f>
        <v>0.39</v>
      </c>
      <c r="I32" s="115"/>
      <c r="J32" s="96"/>
      <c r="K32" s="94">
        <f>SUMIFS('PP List'!M$9:M$129,'PP List'!$J$9:$J$129,Tech!$C32,'PP List'!$F$9:$F$129,Tech!$D32)</f>
        <v>60</v>
      </c>
      <c r="L32" s="94">
        <f>SUMIFS('PP List'!N$9:N$129,'PP List'!$J$9:$J$129,Tech!$C32,'PP List'!$F$9:$F$129,Tech!$D32)</f>
        <v>60</v>
      </c>
      <c r="M32" s="94">
        <f>SUMIFS('PP List'!O$9:O$129,'PP List'!$J$9:$J$129,Tech!$C32,'PP List'!$F$9:$F$129,Tech!$D32)</f>
        <v>60</v>
      </c>
      <c r="N32" s="94">
        <f>SUMIFS('PP List'!P$9:P$129,'PP List'!$J$9:$J$129,Tech!$C32,'PP List'!$F$9:$F$129,Tech!$D32)</f>
        <v>60</v>
      </c>
      <c r="O32" s="94">
        <f>SUMIFS('PP List'!Q$9:Q$129,'PP List'!$J$9:$J$129,Tech!$C32,'PP List'!$F$9:$F$129,Tech!$D32)</f>
        <v>0</v>
      </c>
      <c r="P32" s="94">
        <f>SUMIFS('PP List'!R$9:R$129,'PP List'!$J$9:$J$129,Tech!$C32,'PP List'!$F$9:$F$129,Tech!$D32)</f>
        <v>0</v>
      </c>
      <c r="Q32" s="94">
        <f>SUMIFS('PP List'!S$9:S$129,'PP List'!$J$9:$J$129,Tech!$C32,'PP List'!$F$9:$F$129,Tech!$D32)</f>
        <v>0</v>
      </c>
      <c r="R32" s="94">
        <f>SUMIFS('PP List'!T$9:T$129,'PP List'!$J$9:$J$129,Tech!$C32,'PP List'!$F$9:$F$129,Tech!$D32)</f>
        <v>0</v>
      </c>
      <c r="S32" s="94">
        <f>SUMIFS('PP List'!W$9:W$129,'PP List'!$J$9:$J$129,Tech!$C32,'PP List'!$F$9:$F$129,Tech!$D32)</f>
        <v>0</v>
      </c>
      <c r="T32" s="232">
        <f>AVERAGEIFS('PP List'!$H$9:$H$129,'PP List'!$J$9:$J$129,Tech!$C32)</f>
        <v>2006</v>
      </c>
      <c r="U32" s="98">
        <f>INDEX(ELC_TechsR_ELC!$C$3:$AM$138,MATCH($AK32,ELC_TechsR_ELC!$B$3:$B$138,0),MATCH(U$7,ELC_TechsR_ELC!$C$2:$AM$2,0))/7.45</f>
        <v>0.46800000000000003</v>
      </c>
      <c r="V32" s="98">
        <f>INDEX(ELC_TechsR_ELC!$C$3:$AM$138,MATCH($AK32,ELC_TechsR_ELC!$B$3:$B$138,0),MATCH(V$7,ELC_TechsR_ELC!$C$2:$AM$2,0))/7.45</f>
        <v>8.0680000000000005E-3</v>
      </c>
      <c r="W32" s="98">
        <f>INDEX(ELC_TechsR_ELC!$C$3:$AM$138,MATCH($AK32,ELC_TechsR_ELC!$B$3:$B$138,0),MATCH(W$7,ELC_TechsR_ELC!$C$2:$AM$2,0))/7.45</f>
        <v>1.25</v>
      </c>
      <c r="X32" s="99">
        <f>INDEX(ELC_TechsR_ELC!$C$3:$AM$138,MATCH($AK32,ELC_TechsR_ELC!$B$3:$B$138,0),MATCH(X$7,ELC_TechsR_ELC!$C$2:$AM$2,0))</f>
        <v>3.1536000000000002E-2</v>
      </c>
      <c r="Y32" s="98">
        <v>0.7</v>
      </c>
      <c r="Z32" s="98"/>
      <c r="AA32" s="98">
        <f>INDEX(ELC_TechsR_ELC!$C$3:$AM$138,MATCH($AK32,ELC_TechsR_ELC!$B$3:$B$138,0),MATCH(AA$7,ELC_TechsR_ELC!$C$2:$AM$2,0))</f>
        <v>1</v>
      </c>
      <c r="AB32" s="98">
        <f>INDEX(ELC_TechsR_ELC!$C$3:$AM$138,MATCH($AK32,ELC_TechsR_ELC!$B$3:$B$138,0),MATCH(AB$9,ELC_TechsR_ELC!$C$1:$AM$1,0))</f>
        <v>48</v>
      </c>
      <c r="AC32" s="98">
        <f>INDEX(ELC_TechsR_ELC!$C$3:$AM$138,MATCH($AK32,ELC_TechsR_ELC!$B$3:$B$138,0),MATCH(AC$9,ELC_TechsR_ELC!$C$1:$AM$1,0))/25</f>
        <v>6.8000000000000005E-2</v>
      </c>
      <c r="AD32" s="98">
        <f>INDEX(ELC_TechsR_ELC!$C$3:$AM$138,MATCH($AK32,ELC_TechsR_ELC!$B$3:$B$138,0),MATCH(AD$9,ELC_TechsR_ELC!$C$1:$AM$1,0))</f>
        <v>1</v>
      </c>
      <c r="AE32" s="98">
        <f>INDEX(ELC_TechsR_ELC!$C$3:$AM$138,MATCH($AK32,ELC_TechsR_ELC!$B$3:$B$138,0),MATCH(AE$9,ELC_TechsR_ELC!$C$1:$AM$1,0))</f>
        <v>0.43</v>
      </c>
      <c r="AF32" s="98">
        <f>INDEX(ELC_TechsR_ELC!$C$3:$AM$138,MATCH($AK32,ELC_TechsR_ELC!$B$3:$B$138,0),MATCH(AF$9,ELC_TechsR_ELC!$C$1:$AM$1,0))</f>
        <v>0.1</v>
      </c>
      <c r="AG32" s="94"/>
      <c r="AI32" s="68" t="s">
        <v>346</v>
      </c>
      <c r="AK32" s="239" t="str">
        <f>AK17</f>
        <v>ETCDNGAELCN2</v>
      </c>
    </row>
    <row r="33" spans="1:37" s="68" customFormat="1" ht="12.75" customHeight="1" x14ac:dyDescent="0.3">
      <c r="B33" s="94" t="str">
        <f>"ET"&amp;RIGHT(E33,3)&amp;RIGHT(C33,3)&amp;LEFT(C33,2)&amp;"1E"</f>
        <v>ETNGATPPOt1E</v>
      </c>
      <c r="C33" s="94" t="s">
        <v>595</v>
      </c>
      <c r="D33" s="94" t="s">
        <v>342</v>
      </c>
      <c r="E33" s="95" t="s">
        <v>147</v>
      </c>
      <c r="F33" s="95" t="s">
        <v>28</v>
      </c>
      <c r="G33" s="95" t="s">
        <v>581</v>
      </c>
      <c r="H33" s="98">
        <f>INDEX(ELC_TechsR_ELC!$C$3:$AM$138,MATCH($AK33,ELC_TechsR_ELC!$B$3:$B$138,0),MATCH(H$7,ELC_TechsR_ELC!$C$2:$AM$2,0))</f>
        <v>0.46</v>
      </c>
      <c r="I33" s="115"/>
      <c r="J33" s="96"/>
      <c r="K33" s="94">
        <f>SUMIFS('PP List'!M$9:M$129,'PP List'!$J$9:$J$129,Tech!$C33,'PP List'!$F$9:$F$129,Tech!$D33)</f>
        <v>87</v>
      </c>
      <c r="L33" s="94">
        <f>SUMIFS('PP List'!N$9:N$129,'PP List'!$J$9:$J$129,Tech!$C33,'PP List'!$F$9:$F$129,Tech!$D33)</f>
        <v>87</v>
      </c>
      <c r="M33" s="94">
        <f>SUMIFS('PP List'!O$9:O$129,'PP List'!$J$9:$J$129,Tech!$C33,'PP List'!$F$9:$F$129,Tech!$D33)</f>
        <v>87</v>
      </c>
      <c r="N33" s="94">
        <f>SUMIFS('PP List'!P$9:P$129,'PP List'!$J$9:$J$129,Tech!$C33,'PP List'!$F$9:$F$129,Tech!$D33)</f>
        <v>87</v>
      </c>
      <c r="O33" s="94">
        <f>SUMIFS('PP List'!Q$9:Q$129,'PP List'!$J$9:$J$129,Tech!$C33,'PP List'!$F$9:$F$129,Tech!$D33)</f>
        <v>87</v>
      </c>
      <c r="P33" s="94">
        <f>SUMIFS('PP List'!R$9:R$129,'PP List'!$J$9:$J$129,Tech!$C33,'PP List'!$F$9:$F$129,Tech!$D33)</f>
        <v>87</v>
      </c>
      <c r="Q33" s="94">
        <f>SUMIFS('PP List'!S$9:S$129,'PP List'!$J$9:$J$129,Tech!$C33,'PP List'!$F$9:$F$129,Tech!$D33)</f>
        <v>0</v>
      </c>
      <c r="R33" s="94">
        <f>SUMIFS('PP List'!T$9:T$129,'PP List'!$J$9:$J$129,Tech!$C33,'PP List'!$F$9:$F$129,Tech!$D33)</f>
        <v>0</v>
      </c>
      <c r="S33" s="94">
        <f>SUMIFS('PP List'!W$9:W$129,'PP List'!$J$9:$J$129,Tech!$C33,'PP List'!$F$9:$F$129,Tech!$D33)</f>
        <v>0</v>
      </c>
      <c r="T33" s="232">
        <f>AVERAGEIFS('PP List'!$H$9:$H$129,'PP List'!$J$9:$J$129,Tech!$C33)</f>
        <v>2008.5</v>
      </c>
      <c r="U33" s="98">
        <f>INDEX(ELC_TechsR_ELC!$C$3:$AM$138,MATCH($AK33,ELC_TechsR_ELC!$B$3:$B$138,0),MATCH(U$7,ELC_TechsR_ELC!$C$2:$AM$2,0))/7.45</f>
        <v>0.51</v>
      </c>
      <c r="V33" s="98">
        <f>INDEX(ELC_TechsR_ELC!$C$3:$AM$138,MATCH($AK33,ELC_TechsR_ELC!$B$3:$B$138,0),MATCH(V$7,ELC_TechsR_ELC!$C$2:$AM$2,0))/7.45</f>
        <v>6.5000000000000006E-3</v>
      </c>
      <c r="W33" s="98">
        <f>INDEX(ELC_TechsR_ELC!$C$3:$AM$138,MATCH($AK33,ELC_TechsR_ELC!$B$3:$B$138,0),MATCH(W$7,ELC_TechsR_ELC!$C$2:$AM$2,0))/7.45</f>
        <v>1.6666666666666712</v>
      </c>
      <c r="X33" s="99">
        <f>INDEX(ELC_TechsR_ELC!$C$3:$AM$138,MATCH($AK33,ELC_TechsR_ELC!$B$3:$B$138,0),MATCH(X$7,ELC_TechsR_ELC!$C$2:$AM$2,0))</f>
        <v>3.1536000000000002E-2</v>
      </c>
      <c r="Y33" s="98">
        <v>0.7</v>
      </c>
      <c r="Z33" s="98"/>
      <c r="AA33" s="98">
        <f>INDEX(ELC_TechsR_ELC!$C$3:$AM$138,MATCH($AK33,ELC_TechsR_ELC!$B$3:$B$138,0),MATCH(AA$7,ELC_TechsR_ELC!$C$2:$AM$2,0))</f>
        <v>1</v>
      </c>
      <c r="AB33" s="98">
        <f>INDEX(ELC_TechsR_ELC!$C$3:$AM$138,MATCH($AK33,ELC_TechsR_ELC!$B$3:$B$138,0),MATCH(AB$9,ELC_TechsR_ELC!$C$1:$AM$1,0))</f>
        <v>75</v>
      </c>
      <c r="AC33" s="98">
        <f>INDEX(ELC_TechsR_ELC!$C$3:$AM$138,MATCH($AK33,ELC_TechsR_ELC!$B$3:$B$138,0),MATCH(AC$9,ELC_TechsR_ELC!$C$1:$AM$1,0))/25</f>
        <v>12.6</v>
      </c>
      <c r="AD33" s="98">
        <f>INDEX(ELC_TechsR_ELC!$C$3:$AM$138,MATCH($AK33,ELC_TechsR_ELC!$B$3:$B$138,0),MATCH(AD$9,ELC_TechsR_ELC!$C$1:$AM$1,0))</f>
        <v>0.6</v>
      </c>
      <c r="AE33" s="98">
        <f>INDEX(ELC_TechsR_ELC!$C$3:$AM$138,MATCH($AK33,ELC_TechsR_ELC!$B$3:$B$138,0),MATCH(AE$9,ELC_TechsR_ELC!$C$1:$AM$1,0))</f>
        <v>0</v>
      </c>
      <c r="AF33" s="98">
        <f>INDEX(ELC_TechsR_ELC!$C$3:$AM$138,MATCH($AK33,ELC_TechsR_ELC!$B$3:$B$138,0),MATCH(AF$9,ELC_TechsR_ELC!$C$1:$AM$1,0))</f>
        <v>0.76</v>
      </c>
      <c r="AG33" s="94"/>
      <c r="AI33" s="68" t="s">
        <v>346</v>
      </c>
      <c r="AK33" s="239" t="str">
        <f>AK18</f>
        <v>ETCDNGAELCN1</v>
      </c>
    </row>
    <row r="34" spans="1:37" s="68" customFormat="1" ht="12.75" customHeight="1" x14ac:dyDescent="0.3">
      <c r="B34" s="94" t="str">
        <f>"ER"&amp;RIGHT(E34,3)&amp;RIGHT(C34,3)&amp;LEFT(C34,2)&amp;"1E"</f>
        <v>ERHYDHPPOt1E</v>
      </c>
      <c r="C34" s="94" t="s">
        <v>329</v>
      </c>
      <c r="D34" s="94" t="s">
        <v>342</v>
      </c>
      <c r="E34" s="95" t="s">
        <v>121</v>
      </c>
      <c r="F34" s="95" t="s">
        <v>28</v>
      </c>
      <c r="G34" s="95" t="s">
        <v>581</v>
      </c>
      <c r="H34" s="96">
        <v>1</v>
      </c>
      <c r="I34" s="115"/>
      <c r="J34" s="96"/>
      <c r="K34" s="94">
        <f>SUMIFS('PP List'!M$9:M$129,'PP List'!$J$9:$J$129,Tech!$C34,'PP List'!$F$9:$F$129,Tech!$D34)</f>
        <v>48.6</v>
      </c>
      <c r="L34" s="94">
        <f>SUMIFS('PP List'!N$9:N$129,'PP List'!$J$9:$J$129,Tech!$C34,'PP List'!$F$9:$F$129,Tech!$D34)</f>
        <v>70.5</v>
      </c>
      <c r="M34" s="94">
        <f>SUMIFS('PP List'!O$9:O$129,'PP List'!$J$9:$J$129,Tech!$C34,'PP List'!$F$9:$F$129,Tech!$D34)</f>
        <v>70.5</v>
      </c>
      <c r="N34" s="94">
        <f>SUMIFS('PP List'!P$9:P$129,'PP List'!$J$9:$J$129,Tech!$C34,'PP List'!$F$9:$F$129,Tech!$D34)</f>
        <v>70.5</v>
      </c>
      <c r="O34" s="94">
        <f>SUMIFS('PP List'!Q$9:Q$129,'PP List'!$J$9:$J$129,Tech!$C34,'PP List'!$F$9:$F$129,Tech!$D34)</f>
        <v>70.5</v>
      </c>
      <c r="P34" s="94">
        <f>SUMIFS('PP List'!R$9:R$129,'PP List'!$J$9:$J$129,Tech!$C34,'PP List'!$F$9:$F$129,Tech!$D34)</f>
        <v>70.5</v>
      </c>
      <c r="Q34" s="94">
        <f>SUMIFS('PP List'!S$9:S$129,'PP List'!$J$9:$J$129,Tech!$C34,'PP List'!$F$9:$F$129,Tech!$D34)</f>
        <v>70.5</v>
      </c>
      <c r="R34" s="94">
        <f>SUMIFS('PP List'!T$9:T$129,'PP List'!$J$9:$J$129,Tech!$C34,'PP List'!$F$9:$F$129,Tech!$D34)</f>
        <v>70.5</v>
      </c>
      <c r="S34" s="94">
        <f>SUMIFS('PP List'!W$9:W$129,'PP List'!$J$9:$J$129,Tech!$C34,'PP List'!$F$9:$F$129,Tech!$D34)</f>
        <v>48.5</v>
      </c>
      <c r="T34" s="232">
        <f>AVERAGEIFS('PP List'!$H$9:$H$129,'PP List'!$J$9:$J$129,Tech!$C34)</f>
        <v>2010</v>
      </c>
      <c r="U34" s="98">
        <f>U21</f>
        <v>1.5648554335142955</v>
      </c>
      <c r="V34" s="98">
        <f>V21</f>
        <v>1.5648554335142955</v>
      </c>
      <c r="W34" s="98">
        <f>W21</f>
        <v>1.5648554335142955</v>
      </c>
      <c r="X34" s="99">
        <v>3.1536000000000002E-2</v>
      </c>
      <c r="Y34" s="99">
        <f>ROUND(('5.4'!$E$36*1000)/('5.3'!$E$34*8760),2)</f>
        <v>0.18</v>
      </c>
      <c r="Z34" s="94"/>
      <c r="AA34" s="94">
        <v>1</v>
      </c>
      <c r="AB34" s="94"/>
      <c r="AC34" s="94"/>
      <c r="AD34" s="94"/>
      <c r="AE34" s="94"/>
      <c r="AF34" s="94"/>
      <c r="AG34" s="94"/>
      <c r="AI34" s="68" t="s">
        <v>345</v>
      </c>
      <c r="AK34" s="65"/>
    </row>
    <row r="35" spans="1:37" s="68" customFormat="1" ht="12.75" customHeight="1" x14ac:dyDescent="0.3">
      <c r="B35" s="100" t="str">
        <f>"ER"&amp;RIGHT(E35,3)&amp;RIGHT(C35,3)&amp;LEFT(C35,2)&amp;"1E"</f>
        <v>ERSOLSPPSo1E</v>
      </c>
      <c r="C35" s="100" t="s">
        <v>597</v>
      </c>
      <c r="D35" s="100" t="s">
        <v>342</v>
      </c>
      <c r="E35" s="228" t="s">
        <v>184</v>
      </c>
      <c r="F35" s="228" t="s">
        <v>28</v>
      </c>
      <c r="G35" s="228" t="s">
        <v>581</v>
      </c>
      <c r="H35" s="229">
        <v>1</v>
      </c>
      <c r="I35" s="230"/>
      <c r="J35" s="229"/>
      <c r="K35" s="100">
        <f>SUMIFS('PP List'!M$9:M$129,'PP List'!$J$9:$J$129,Tech!$C35,'PP List'!$F$9:$F$129,Tech!$D35)</f>
        <v>0</v>
      </c>
      <c r="L35" s="100">
        <f>SUMIFS('PP List'!N$9:N$129,'PP List'!$J$9:$J$129,Tech!$C35,'PP List'!$F$9:$F$129,Tech!$D35)</f>
        <v>5</v>
      </c>
      <c r="M35" s="100">
        <f>SUMIFS('PP List'!O$9:O$129,'PP List'!$J$9:$J$129,Tech!$C35,'PP List'!$F$9:$F$129,Tech!$D35)</f>
        <v>27</v>
      </c>
      <c r="N35" s="100">
        <f>SUMIFS('PP List'!P$9:P$129,'PP List'!$J$9:$J$129,Tech!$C35,'PP List'!$F$9:$F$129,Tech!$D35)</f>
        <v>27</v>
      </c>
      <c r="O35" s="100">
        <f>SUMIFS('PP List'!Q$9:Q$129,'PP List'!$J$9:$J$129,Tech!$C35,'PP List'!$F$9:$F$129,Tech!$D35)</f>
        <v>27</v>
      </c>
      <c r="P35" s="100">
        <f>SUMIFS('PP List'!R$9:R$129,'PP List'!$J$9:$J$129,Tech!$C35,'PP List'!$F$9:$F$129,Tech!$D35)</f>
        <v>27</v>
      </c>
      <c r="Q35" s="100">
        <f>SUMIFS('PP List'!S$9:S$129,'PP List'!$J$9:$J$129,Tech!$C35,'PP List'!$F$9:$F$129,Tech!$D35)</f>
        <v>27</v>
      </c>
      <c r="R35" s="100">
        <f>SUMIFS('PP List'!T$9:T$129,'PP List'!$J$9:$J$129,Tech!$C35,'PP List'!$F$9:$F$129,Tech!$D35)</f>
        <v>22</v>
      </c>
      <c r="S35" s="100">
        <f>SUMIFS('PP List'!W$9:W$129,'PP List'!$J$9:$J$129,Tech!$C35,'PP List'!$F$9:$F$129,Tech!$D35)</f>
        <v>0</v>
      </c>
      <c r="T35" s="233">
        <f>AVERAGEIFS('PP List'!$H$9:$H$129,'PP List'!$J$9:$J$129,Tech!$C35)</f>
        <v>2016.75</v>
      </c>
      <c r="U35" s="231">
        <f>INDEX(ELC_TechsR_ELC!$C$3:$AM$138,MATCH($AK35,ELC_TechsR_ELC!$B$3:$B$138,0),MATCH(U$7,ELC_TechsR_ELC!$C$2:$AM$2,0))/7.45</f>
        <v>1.3442880000000001</v>
      </c>
      <c r="V35" s="231">
        <f>INDEX(ELC_TechsR_ELC!$C$3:$AM$138,MATCH($AK35,ELC_TechsR_ELC!$B$3:$B$138,0),MATCH(V$7,ELC_TechsR_ELC!$C$2:$AM$2,0))/7.45</f>
        <v>1.342E-2</v>
      </c>
      <c r="W35" s="231">
        <f>INDEX(ELC_TechsR_ELC!$C$3:$AM$138,MATCH($AK35,ELC_TechsR_ELC!$B$3:$B$138,0),MATCH(W$7,ELC_TechsR_ELC!$C$2:$AM$2,0))/7.45</f>
        <v>0</v>
      </c>
      <c r="X35" s="270">
        <f>INDEX(ELC_TechsR_ELC!$C$3:$AM$138,MATCH($AK35,ELC_TechsR_ELC!$B$3:$B$138,0),MATCH(X$7,ELC_TechsR_ELC!$C$2:$AM$2,0))</f>
        <v>3.1536000000000002E-2</v>
      </c>
      <c r="Y35" s="231"/>
      <c r="Z35" s="231"/>
      <c r="AA35" s="231">
        <f>INDEX(ELC_TechsR_ELC!$C$3:$AM$138,MATCH($AK35,ELC_TechsR_ELC!$B$3:$B$138,0),MATCH(AA$7,ELC_TechsR_ELC!$C$2:$AM$2,0))</f>
        <v>0.3</v>
      </c>
      <c r="AB35" s="231">
        <f>INDEX(ELC_TechsR_ELC!$C$3:$AM$138,MATCH($AK35,ELC_TechsR_ELC!$B$3:$B$138,0),MATCH(AB$9,ELC_TechsR_ELC!$C$1:$AM$1,0))</f>
        <v>0</v>
      </c>
      <c r="AC35" s="231">
        <f>INDEX(ELC_TechsR_ELC!$C$3:$AM$138,MATCH($AK35,ELC_TechsR_ELC!$B$3:$B$138,0),MATCH(AC$9,ELC_TechsR_ELC!$C$1:$AM$1,0))</f>
        <v>0</v>
      </c>
      <c r="AD35" s="231">
        <f>INDEX(ELC_TechsR_ELC!$C$3:$AM$138,MATCH($AK35,ELC_TechsR_ELC!$B$3:$B$138,0),MATCH(AD$9,ELC_TechsR_ELC!$C$1:$AM$1,0))</f>
        <v>0</v>
      </c>
      <c r="AE35" s="231">
        <f>INDEX(ELC_TechsR_ELC!$C$3:$AM$138,MATCH($AK35,ELC_TechsR_ELC!$B$3:$B$138,0),MATCH(AE$9,ELC_TechsR_ELC!$C$1:$AM$1,0))</f>
        <v>0</v>
      </c>
      <c r="AF35" s="231">
        <f>INDEX(ELC_TechsR_ELC!$C$3:$AM$138,MATCH($AK35,ELC_TechsR_ELC!$B$3:$B$138,0),MATCH(AF$9,ELC_TechsR_ELC!$C$1:$AM$1,0))</f>
        <v>0</v>
      </c>
      <c r="AG35" s="98"/>
      <c r="AI35" s="68" t="s">
        <v>346</v>
      </c>
      <c r="AK35" s="239" t="str">
        <f>AK31</f>
        <v>ERPVSOLELCN2</v>
      </c>
    </row>
    <row r="36" spans="1:37" s="68" customFormat="1" ht="12.75" customHeight="1" x14ac:dyDescent="0.3">
      <c r="B36" s="94" t="str">
        <f>"EH"&amp;RIGHT(E36,3)&amp;RIGHT(C36,3)&amp;LEFT(C36,2)&amp;"1E"</f>
        <v>EHNGAantNa1E</v>
      </c>
      <c r="C36" s="94" t="s">
        <v>724</v>
      </c>
      <c r="D36" s="94" t="s">
        <v>220</v>
      </c>
      <c r="E36" s="95" t="s">
        <v>147</v>
      </c>
      <c r="F36" s="95" t="s">
        <v>32</v>
      </c>
      <c r="G36" s="95" t="s">
        <v>581</v>
      </c>
      <c r="H36" s="96">
        <f>'2.10'!R20/'2.10'!P20*-1</f>
        <v>0.76575059610137419</v>
      </c>
      <c r="I36" s="115"/>
      <c r="J36" s="96"/>
      <c r="K36" s="94">
        <f>ROUNDUP('2.10'!R20/1000/X36,0)</f>
        <v>198</v>
      </c>
      <c r="L36" s="94">
        <f>K36</f>
        <v>198</v>
      </c>
      <c r="M36" s="94">
        <f>L36</f>
        <v>198</v>
      </c>
      <c r="N36" s="94">
        <f>M36</f>
        <v>198</v>
      </c>
      <c r="O36" s="94">
        <f>N36</f>
        <v>198</v>
      </c>
      <c r="P36" s="94">
        <f>O36/2</f>
        <v>99</v>
      </c>
      <c r="Q36" s="94">
        <f>P36/2</f>
        <v>49.5</v>
      </c>
      <c r="R36" s="94">
        <v>0</v>
      </c>
      <c r="S36" s="94">
        <f>SUMIFS('PP List'!W$9:W$129,'PP List'!$J$9:$J$129,Tech!$C36,'PP List'!$F$9:$F$129,Tech!$D36)</f>
        <v>0</v>
      </c>
      <c r="T36" s="232">
        <v>2010</v>
      </c>
      <c r="U36" s="98">
        <f>INDEX(ELC_TechsR_DHC!$C$3:$AM$138,MATCH($AK36,ELC_TechsR_DHC!$B$3:$B$138,0),MATCH(U$7,ELC_TechsR_DHC!$C$2:$AM$2,0))/7.45</f>
        <v>0.06</v>
      </c>
      <c r="V36" s="98">
        <f>INDEX(ELC_TechsR_DHC!$C$3:$AM$138,MATCH($AK36,ELC_TechsR_DHC!$B$3:$B$138,0),MATCH(V$7,ELC_TechsR_DHC!$C$2:$AM$2,0))/7.45</f>
        <v>2E-3</v>
      </c>
      <c r="W36" s="98">
        <f>INDEX(ELC_TechsR_DHC!$C$3:$AM$138,MATCH($AK36,ELC_TechsR_DHC!$B$3:$B$138,0),MATCH(W$7,ELC_TechsR_DHC!$C$2:$AM$2,0))/7.45</f>
        <v>0.30555555555555569</v>
      </c>
      <c r="X36" s="99">
        <f>INDEX(ELC_TechsR_DHC!$C$3:$AM$138,MATCH($AK36,ELC_TechsR_DHC!$B$3:$B$138,0),MATCH(X$7,ELC_TechsR_DHC!$C$2:$AM$2,0))</f>
        <v>3.1536000000000002E-2</v>
      </c>
      <c r="Y36" s="98">
        <v>0.8</v>
      </c>
      <c r="Z36" s="98"/>
      <c r="AA36" s="98">
        <f>INDEX(ELC_TechsR_DHC!$C$3:$AM$138,MATCH($AK36,ELC_TechsR_DHC!$B$3:$B$138,0),MATCH(AA$7,ELC_TechsR_DHC!$C$2:$AM$2,0))</f>
        <v>1</v>
      </c>
      <c r="AB36" s="98">
        <f>INDEX(ELC_TechsR_DHC!$C$3:$AM$138,MATCH($AK36,ELC_TechsR_DHC!$B$3:$B$138,0),MATCH(AB$9,ELC_TechsR_DHC!$C$1:$AM$1,0))</f>
        <v>10</v>
      </c>
      <c r="AC36" s="98">
        <f>INDEX(ELC_TechsR_DHC!$C$3:$AM$138,MATCH($AK36,ELC_TechsR_DHC!$B$3:$B$138,0),MATCH(AC$9,ELC_TechsR_DHC!$C$1:$AM$1,0))/25</f>
        <v>0.12</v>
      </c>
      <c r="AD36" s="98">
        <f>INDEX(ELC_TechsR_DHC!$C$3:$AM$138,MATCH($AK36,ELC_TechsR_DHC!$B$3:$B$138,0),MATCH(AD$9,ELC_TechsR_DHC!$C$1:$AM$1,0))</f>
        <v>1</v>
      </c>
      <c r="AE36" s="98">
        <f>INDEX(ELC_TechsR_DHC!$C$3:$AM$138,MATCH($AK36,ELC_TechsR_DHC!$B$3:$B$138,0),MATCH(AE$9,ELC_TechsR_DHC!$C$1:$AM$1,0))</f>
        <v>0.3</v>
      </c>
      <c r="AF36" s="98">
        <f>INDEX(ELC_TechsR_DHC!$C$3:$AM$138,MATCH($AK36,ELC_TechsR_DHC!$B$3:$B$138,0),MATCH(AF$9,ELC_TechsR_DHC!$C$1:$AM$1,0))</f>
        <v>0</v>
      </c>
      <c r="AI36" s="68" t="s">
        <v>346</v>
      </c>
      <c r="AK36" s="239" t="str">
        <f>ELC_TechsR_DHC!B119</f>
        <v>EHBHNGADHCN1</v>
      </c>
    </row>
    <row r="37" spans="1:37" s="68" customFormat="1" ht="12.75" customHeight="1" x14ac:dyDescent="0.3">
      <c r="B37" s="3"/>
      <c r="C37" s="3"/>
      <c r="D37" s="3"/>
      <c r="E37" s="3"/>
      <c r="F37" s="3"/>
      <c r="H37" s="3"/>
      <c r="I37" s="3"/>
      <c r="J37" s="3"/>
      <c r="K37" s="3"/>
      <c r="M37" s="3"/>
      <c r="N37" s="3"/>
      <c r="O37" s="3"/>
      <c r="P37" s="3"/>
      <c r="R37" s="3"/>
      <c r="S37" s="3"/>
      <c r="V37" s="3"/>
      <c r="W37" s="3"/>
      <c r="X37" s="3"/>
      <c r="Y37" s="3"/>
      <c r="AA37" s="3"/>
    </row>
    <row r="38" spans="1:37" s="68" customFormat="1" ht="12.75" customHeight="1" x14ac:dyDescent="0.3">
      <c r="B38" s="3"/>
      <c r="C38" s="3"/>
      <c r="D38" s="3"/>
      <c r="E38" s="3"/>
      <c r="F38" s="3"/>
      <c r="H38" s="3"/>
      <c r="I38" s="3"/>
      <c r="J38" s="3"/>
      <c r="K38" s="3"/>
      <c r="M38" s="3"/>
      <c r="N38" s="3"/>
      <c r="O38" s="3"/>
      <c r="P38" s="3"/>
      <c r="R38" s="3"/>
      <c r="S38" s="3"/>
      <c r="V38" s="3"/>
      <c r="W38" s="3"/>
      <c r="X38" s="3"/>
      <c r="Y38" s="3"/>
      <c r="AA38" s="3"/>
    </row>
    <row r="39" spans="1:37" s="68" customFormat="1" ht="12.75" customHeight="1" x14ac:dyDescent="0.3">
      <c r="B39" s="3"/>
      <c r="C39" s="3"/>
      <c r="D39" s="3"/>
      <c r="E39" s="3"/>
      <c r="F39" s="3"/>
      <c r="H39" s="3"/>
      <c r="I39" s="3"/>
      <c r="J39" s="3"/>
      <c r="K39" s="3"/>
      <c r="M39" s="3"/>
      <c r="N39" s="3"/>
      <c r="O39" s="3"/>
      <c r="P39" s="3"/>
      <c r="R39" s="3"/>
      <c r="S39" s="3"/>
      <c r="V39" s="3"/>
      <c r="W39" s="3"/>
      <c r="X39" s="3"/>
      <c r="Y39" s="3"/>
      <c r="AA39" s="3"/>
    </row>
    <row r="40" spans="1:37" s="68" customFormat="1" ht="12.75" customHeight="1" x14ac:dyDescent="0.3">
      <c r="B40" s="3"/>
      <c r="C40" s="3"/>
      <c r="D40" s="3"/>
      <c r="E40" s="3"/>
      <c r="F40" s="3"/>
      <c r="H40" s="3"/>
      <c r="I40" s="3"/>
      <c r="J40" s="3"/>
      <c r="K40" s="3"/>
      <c r="M40" s="3"/>
      <c r="N40" s="3"/>
      <c r="O40" s="3"/>
      <c r="P40" s="3"/>
      <c r="R40" s="3"/>
      <c r="S40" s="3"/>
      <c r="V40" s="3"/>
      <c r="W40" s="3"/>
      <c r="X40" s="3"/>
      <c r="Y40" s="3"/>
      <c r="AA40" s="3"/>
    </row>
    <row r="41" spans="1:37" s="68" customFormat="1" ht="12.75" customHeight="1" x14ac:dyDescent="0.3">
      <c r="B41" s="3"/>
      <c r="C41" s="3"/>
      <c r="D41" s="3"/>
      <c r="E41" s="3"/>
      <c r="F41" s="3"/>
      <c r="H41" s="3"/>
      <c r="I41" s="3"/>
      <c r="J41" s="3"/>
      <c r="K41" s="3"/>
      <c r="M41" s="3"/>
      <c r="N41" s="3"/>
      <c r="O41" s="3"/>
      <c r="P41" s="3"/>
      <c r="R41" s="3"/>
      <c r="S41" s="3"/>
      <c r="V41" s="3"/>
      <c r="W41" s="3"/>
      <c r="X41" s="3"/>
      <c r="Y41" s="3"/>
      <c r="AA41" s="3"/>
    </row>
    <row r="42" spans="1:37" s="68" customFormat="1" ht="12.75" customHeight="1" x14ac:dyDescent="0.3">
      <c r="B42" s="3"/>
      <c r="C42" s="3"/>
      <c r="D42" s="3"/>
      <c r="E42" s="3"/>
      <c r="F42" s="3"/>
      <c r="H42" s="3"/>
      <c r="I42" s="3"/>
      <c r="J42" s="3"/>
      <c r="K42" s="3"/>
      <c r="M42" s="3"/>
      <c r="N42" s="3"/>
      <c r="O42" s="3"/>
      <c r="P42" s="3"/>
      <c r="R42" s="3"/>
      <c r="S42" s="3"/>
      <c r="V42" s="3"/>
      <c r="W42" s="3"/>
      <c r="X42" s="3"/>
      <c r="Y42" s="3"/>
      <c r="AA42" s="3"/>
    </row>
    <row r="43" spans="1:37" s="68" customFormat="1" ht="12.75" customHeight="1" x14ac:dyDescent="0.3">
      <c r="B43" s="3"/>
      <c r="C43" s="3"/>
      <c r="D43" s="3"/>
      <c r="E43" s="3"/>
      <c r="F43" s="3"/>
      <c r="H43" s="3"/>
      <c r="I43" s="3"/>
      <c r="J43" s="3"/>
      <c r="K43" s="3"/>
      <c r="M43" s="3"/>
      <c r="N43" s="3"/>
      <c r="O43" s="3"/>
      <c r="P43" s="3"/>
      <c r="R43" s="3"/>
      <c r="S43" s="3"/>
      <c r="V43" s="3"/>
      <c r="W43" s="3"/>
      <c r="X43" s="3"/>
      <c r="Y43" s="3"/>
      <c r="AA43" s="3"/>
    </row>
    <row r="44" spans="1:37" s="68" customFormat="1" ht="12.75" customHeight="1" x14ac:dyDescent="0.3">
      <c r="B44" s="3"/>
      <c r="C44" s="3"/>
      <c r="D44" s="3"/>
      <c r="E44" s="3"/>
      <c r="F44" s="3"/>
      <c r="H44" s="3"/>
      <c r="I44" s="3"/>
      <c r="J44" s="3"/>
      <c r="K44" s="3"/>
      <c r="M44" s="3"/>
      <c r="N44" s="3"/>
      <c r="O44" s="3"/>
      <c r="P44" s="3"/>
      <c r="R44" s="3"/>
      <c r="S44" s="3"/>
      <c r="V44" s="3"/>
      <c r="W44" s="3"/>
      <c r="X44" s="3"/>
      <c r="Y44" s="3"/>
      <c r="AA44" s="3"/>
    </row>
    <row r="45" spans="1:37" s="68" customFormat="1" ht="12.75" customHeight="1" x14ac:dyDescent="0.3">
      <c r="B45" s="3"/>
      <c r="C45" s="3"/>
      <c r="D45" s="3"/>
      <c r="E45" s="3"/>
      <c r="F45" s="3"/>
      <c r="H45" s="3"/>
      <c r="I45" s="3"/>
      <c r="J45" s="3"/>
      <c r="K45" s="3"/>
      <c r="M45" s="3"/>
      <c r="N45" s="3"/>
      <c r="O45" s="3"/>
      <c r="P45" s="3"/>
      <c r="R45" s="3"/>
      <c r="S45" s="3"/>
      <c r="V45" s="3"/>
      <c r="W45" s="3"/>
      <c r="X45" s="3"/>
      <c r="Y45" s="3"/>
      <c r="AA45" s="3"/>
      <c r="AB45" s="3"/>
    </row>
    <row r="46" spans="1:37" ht="12.75" customHeight="1" x14ac:dyDescent="0.3">
      <c r="A46" s="68"/>
    </row>
    <row r="47" spans="1:37" ht="12.75" customHeight="1" x14ac:dyDescent="0.3">
      <c r="A47" s="68"/>
    </row>
    <row r="48" spans="1:37" ht="12.75" customHeight="1" x14ac:dyDescent="0.3">
      <c r="A48" s="68"/>
      <c r="AE48" s="67"/>
      <c r="AF48" s="77"/>
    </row>
    <row r="49" spans="1:34" ht="12.75" customHeight="1" x14ac:dyDescent="0.3">
      <c r="A49" s="68"/>
      <c r="AE49" s="67"/>
      <c r="AF49" s="77"/>
    </row>
    <row r="50" spans="1:34" s="68" customFormat="1" ht="12.75" customHeight="1" x14ac:dyDescent="0.3">
      <c r="A50" s="25"/>
      <c r="B50" s="3"/>
      <c r="C50" s="3"/>
      <c r="D50" s="3"/>
      <c r="E50" s="3"/>
      <c r="F50" s="3"/>
      <c r="H50" s="3"/>
      <c r="I50" s="3"/>
      <c r="J50" s="3"/>
      <c r="K50" s="3"/>
      <c r="M50" s="3"/>
      <c r="N50" s="3"/>
      <c r="O50" s="3"/>
      <c r="P50" s="3"/>
      <c r="R50" s="3"/>
      <c r="S50" s="3"/>
      <c r="V50" s="3"/>
      <c r="W50" s="3"/>
      <c r="X50" s="3"/>
      <c r="Y50" s="3"/>
      <c r="AA50" s="3"/>
      <c r="AB50" s="3"/>
      <c r="AE50" s="67"/>
      <c r="AF50" s="77"/>
    </row>
    <row r="51" spans="1:34" s="68" customFormat="1" ht="12.75" customHeight="1" x14ac:dyDescent="0.3">
      <c r="A51" s="25"/>
      <c r="B51" s="3"/>
      <c r="C51" s="3"/>
      <c r="D51" s="3"/>
      <c r="E51" s="3"/>
      <c r="F51" s="3"/>
      <c r="H51" s="3"/>
      <c r="I51" s="3"/>
      <c r="J51" s="3"/>
      <c r="K51" s="3"/>
      <c r="M51" s="3"/>
      <c r="N51" s="3"/>
      <c r="O51" s="3"/>
      <c r="P51" s="3"/>
      <c r="R51" s="3"/>
      <c r="S51" s="3"/>
      <c r="V51" s="3"/>
      <c r="W51" s="3"/>
      <c r="X51" s="3"/>
      <c r="Y51" s="3"/>
      <c r="AA51" s="3"/>
      <c r="AB51" s="3"/>
      <c r="AE51" s="67"/>
      <c r="AF51" s="77"/>
    </row>
    <row r="52" spans="1:34" ht="15" customHeight="1" x14ac:dyDescent="0.3">
      <c r="A52" s="25"/>
      <c r="AE52" s="67"/>
      <c r="AF52" s="77"/>
    </row>
    <row r="53" spans="1:34" ht="12.75" customHeight="1" x14ac:dyDescent="0.3">
      <c r="A53" s="25"/>
      <c r="AE53" s="67"/>
      <c r="AF53" s="78"/>
    </row>
    <row r="54" spans="1:34" s="68" customFormat="1" ht="12.75" customHeight="1" x14ac:dyDescent="0.3">
      <c r="A54" s="25"/>
      <c r="B54" s="3"/>
      <c r="C54" s="3"/>
      <c r="D54" s="3"/>
      <c r="E54" s="3"/>
      <c r="F54" s="3"/>
      <c r="H54" s="3"/>
      <c r="I54" s="3"/>
      <c r="J54" s="3"/>
      <c r="K54" s="3"/>
      <c r="M54" s="3"/>
      <c r="N54" s="3"/>
      <c r="O54" s="3"/>
      <c r="P54" s="3"/>
      <c r="R54" s="3"/>
      <c r="S54" s="3"/>
      <c r="V54" s="3"/>
      <c r="W54" s="3"/>
      <c r="X54" s="3"/>
      <c r="Y54" s="3"/>
      <c r="AA54" s="3"/>
      <c r="AB54" s="3"/>
    </row>
    <row r="55" spans="1:34" s="68" customFormat="1" ht="12.75" customHeight="1" x14ac:dyDescent="0.3">
      <c r="A55" s="25"/>
      <c r="B55" s="3"/>
      <c r="C55" s="3"/>
      <c r="D55" s="3"/>
      <c r="E55" s="3"/>
      <c r="F55" s="3"/>
      <c r="H55" s="3"/>
      <c r="I55" s="3"/>
      <c r="J55" s="3"/>
      <c r="K55" s="3"/>
      <c r="M55" s="3"/>
      <c r="N55" s="3"/>
      <c r="O55" s="3"/>
      <c r="P55" s="3"/>
      <c r="R55" s="3"/>
      <c r="S55" s="3"/>
      <c r="V55" s="3"/>
      <c r="W55" s="3"/>
      <c r="X55" s="3"/>
      <c r="Y55" s="3"/>
      <c r="AA55" s="3"/>
      <c r="AB55" s="3"/>
    </row>
    <row r="56" spans="1:34" ht="12.75" customHeight="1" x14ac:dyDescent="0.3">
      <c r="A56" s="25"/>
    </row>
    <row r="57" spans="1:34" s="68" customFormat="1" ht="12.75" customHeight="1" x14ac:dyDescent="0.3">
      <c r="A57" s="25"/>
      <c r="B57" s="3"/>
      <c r="C57" s="3"/>
      <c r="D57" s="3"/>
      <c r="E57" s="3"/>
      <c r="F57" s="3"/>
      <c r="H57" s="3"/>
      <c r="I57" s="3"/>
      <c r="J57" s="3"/>
      <c r="K57" s="3"/>
      <c r="M57" s="3"/>
      <c r="N57" s="3"/>
      <c r="O57" s="3"/>
      <c r="P57" s="3"/>
      <c r="R57" s="3"/>
      <c r="S57" s="3"/>
      <c r="V57" s="3"/>
      <c r="W57" s="3"/>
      <c r="X57" s="3"/>
      <c r="Y57" s="3"/>
      <c r="AA57" s="3"/>
      <c r="AB57" s="3"/>
    </row>
    <row r="58" spans="1:34" s="68" customFormat="1" ht="12.75" customHeight="1" x14ac:dyDescent="0.3">
      <c r="B58" s="3"/>
      <c r="C58" s="3"/>
      <c r="D58" s="3"/>
      <c r="E58" s="3"/>
      <c r="F58" s="3"/>
      <c r="H58" s="3"/>
      <c r="I58" s="3"/>
      <c r="J58" s="3"/>
      <c r="K58" s="3"/>
      <c r="M58" s="3"/>
      <c r="N58" s="3"/>
      <c r="O58" s="3"/>
      <c r="P58" s="3"/>
      <c r="R58" s="3"/>
      <c r="S58" s="3"/>
      <c r="V58" s="3"/>
      <c r="W58" s="3"/>
      <c r="X58" s="3"/>
      <c r="Y58" s="3"/>
      <c r="AA58" s="3"/>
      <c r="AB58" s="3"/>
    </row>
    <row r="59" spans="1:34" s="68" customFormat="1" ht="12.75" customHeight="1" x14ac:dyDescent="0.3">
      <c r="B59" s="3"/>
      <c r="C59" s="3"/>
      <c r="D59" s="3"/>
      <c r="E59" s="3"/>
      <c r="F59" s="3"/>
      <c r="H59" s="3"/>
      <c r="I59" s="3"/>
      <c r="J59" s="3"/>
      <c r="K59" s="3"/>
      <c r="M59" s="3"/>
      <c r="N59" s="3"/>
      <c r="O59" s="3"/>
      <c r="P59" s="3"/>
      <c r="R59" s="3"/>
      <c r="S59" s="3"/>
      <c r="V59" s="3"/>
      <c r="W59" s="3"/>
      <c r="X59" s="3"/>
      <c r="Y59" s="3"/>
      <c r="AA59" s="3"/>
      <c r="AB59" s="3"/>
    </row>
    <row r="60" spans="1:34" s="68" customFormat="1" ht="12.75" customHeight="1" x14ac:dyDescent="0.3">
      <c r="B60" s="3"/>
      <c r="C60" s="3"/>
      <c r="D60" s="3"/>
      <c r="E60" s="3"/>
      <c r="F60" s="3"/>
      <c r="H60" s="3"/>
      <c r="I60" s="3"/>
      <c r="J60" s="3"/>
      <c r="K60" s="3"/>
      <c r="M60" s="3"/>
      <c r="N60" s="3"/>
      <c r="O60" s="3"/>
      <c r="P60" s="3"/>
      <c r="R60" s="3"/>
      <c r="S60" s="3"/>
      <c r="V60" s="3"/>
      <c r="W60" s="3"/>
      <c r="X60" s="3"/>
      <c r="Y60" s="3"/>
      <c r="AA60" s="3"/>
      <c r="AB60" s="3"/>
    </row>
    <row r="61" spans="1:34" s="68" customFormat="1" ht="12.75" customHeight="1" x14ac:dyDescent="0.3">
      <c r="B61" s="3"/>
      <c r="C61" s="3"/>
      <c r="D61" s="3"/>
      <c r="E61" s="3"/>
      <c r="F61" s="3"/>
      <c r="H61" s="3"/>
      <c r="I61" s="3"/>
      <c r="J61" s="3"/>
      <c r="K61" s="3"/>
      <c r="M61" s="3"/>
      <c r="N61" s="3"/>
      <c r="O61" s="3"/>
      <c r="P61" s="3"/>
      <c r="R61" s="3"/>
      <c r="S61" s="3"/>
      <c r="V61" s="3"/>
      <c r="W61" s="3"/>
      <c r="X61" s="3"/>
      <c r="Y61" s="3"/>
      <c r="AA61" s="3"/>
      <c r="AB61" s="3"/>
    </row>
    <row r="62" spans="1:34" ht="12.75" customHeight="1" x14ac:dyDescent="0.3">
      <c r="A62" s="68"/>
      <c r="AC62" s="68"/>
      <c r="AE62" s="68"/>
      <c r="AF62" s="68"/>
      <c r="AG62" s="68"/>
      <c r="AH62" s="68"/>
    </row>
    <row r="63" spans="1:34" ht="12.75" customHeight="1" x14ac:dyDescent="0.3">
      <c r="A63" s="68"/>
    </row>
    <row r="64" spans="1:34" ht="12.6" customHeight="1" x14ac:dyDescent="0.3">
      <c r="A64" s="68"/>
    </row>
    <row r="65" spans="1:36" ht="12.75" customHeight="1" x14ac:dyDescent="0.3">
      <c r="A65" s="68"/>
      <c r="AE65" s="1"/>
      <c r="AF65" s="1"/>
      <c r="AG65" s="1"/>
      <c r="AH65" s="1"/>
      <c r="AI65" s="1"/>
      <c r="AJ65" s="1"/>
    </row>
    <row r="66" spans="1:36" s="68" customFormat="1" ht="12.75" customHeight="1" x14ac:dyDescent="0.3">
      <c r="A66" s="65"/>
      <c r="B66" s="3"/>
      <c r="C66" s="3"/>
      <c r="D66" s="3"/>
      <c r="E66" s="3"/>
      <c r="F66" s="3"/>
      <c r="H66" s="3"/>
      <c r="I66" s="3"/>
      <c r="J66" s="3"/>
      <c r="K66" s="3"/>
      <c r="M66" s="3"/>
      <c r="N66" s="3"/>
      <c r="O66" s="3"/>
      <c r="P66" s="3"/>
      <c r="R66" s="3"/>
      <c r="S66" s="3"/>
      <c r="V66" s="3"/>
      <c r="W66" s="3"/>
      <c r="X66" s="3"/>
      <c r="Y66" s="3"/>
      <c r="AA66" s="3"/>
      <c r="AB66" s="3"/>
      <c r="AE66" s="1"/>
      <c r="AF66" s="1"/>
      <c r="AG66" s="1"/>
      <c r="AH66" s="1"/>
      <c r="AI66" s="1"/>
      <c r="AJ66" s="1"/>
    </row>
    <row r="67" spans="1:36" s="68" customFormat="1" ht="12.75" customHeight="1" x14ac:dyDescent="0.3">
      <c r="A67" s="65"/>
      <c r="B67" s="3"/>
      <c r="C67" s="3"/>
      <c r="D67" s="3"/>
      <c r="E67" s="3"/>
      <c r="F67" s="3"/>
      <c r="H67" s="3"/>
      <c r="I67" s="3"/>
      <c r="J67" s="3"/>
      <c r="K67" s="3"/>
      <c r="M67" s="3"/>
      <c r="N67" s="3"/>
      <c r="O67" s="3"/>
      <c r="P67" s="3"/>
      <c r="R67" s="3"/>
      <c r="S67" s="3"/>
      <c r="V67" s="3"/>
      <c r="W67" s="3"/>
      <c r="X67" s="3"/>
      <c r="Y67" s="3"/>
      <c r="AA67" s="3"/>
      <c r="AB67" s="3"/>
      <c r="AE67" s="1"/>
      <c r="AF67" s="1"/>
      <c r="AG67" s="1"/>
      <c r="AH67" s="1"/>
      <c r="AI67" s="1"/>
      <c r="AJ67" s="1"/>
    </row>
    <row r="68" spans="1:36" s="68" customFormat="1" ht="12.75" customHeight="1" x14ac:dyDescent="0.3">
      <c r="B68" s="3"/>
      <c r="C68" s="3"/>
      <c r="D68" s="3"/>
      <c r="E68" s="3"/>
      <c r="F68" s="3"/>
      <c r="H68" s="3"/>
      <c r="I68" s="3"/>
      <c r="J68" s="3"/>
      <c r="K68" s="3"/>
      <c r="M68" s="3"/>
      <c r="N68" s="3"/>
      <c r="O68" s="3"/>
      <c r="P68" s="3"/>
      <c r="R68" s="3"/>
      <c r="S68" s="3"/>
      <c r="V68" s="3"/>
      <c r="W68" s="3"/>
      <c r="X68" s="3"/>
      <c r="Y68" s="3"/>
      <c r="AA68" s="3"/>
      <c r="AB68" s="3"/>
      <c r="AE68" s="1"/>
      <c r="AF68" s="1"/>
      <c r="AG68" s="1"/>
      <c r="AH68" s="1"/>
      <c r="AI68" s="1"/>
      <c r="AJ68" s="1"/>
    </row>
    <row r="69" spans="1:36" s="68" customFormat="1" ht="12.75" customHeight="1" x14ac:dyDescent="0.3">
      <c r="B69" s="3"/>
      <c r="C69" s="3"/>
      <c r="D69" s="3"/>
      <c r="E69" s="3"/>
      <c r="F69" s="3"/>
      <c r="H69" s="3"/>
      <c r="I69" s="3"/>
      <c r="J69" s="3"/>
      <c r="K69" s="3"/>
      <c r="M69" s="3"/>
      <c r="N69" s="3"/>
      <c r="O69" s="3"/>
      <c r="P69" s="3"/>
      <c r="R69" s="3"/>
      <c r="S69" s="3"/>
      <c r="V69" s="3"/>
      <c r="W69" s="3"/>
      <c r="X69" s="3"/>
      <c r="Y69" s="3"/>
      <c r="AA69" s="3"/>
      <c r="AB69" s="3"/>
      <c r="AE69" s="1"/>
      <c r="AF69" s="1"/>
      <c r="AG69" s="1"/>
      <c r="AH69" s="1"/>
      <c r="AI69" s="1"/>
      <c r="AJ69" s="1"/>
    </row>
    <row r="70" spans="1:36" ht="12.75" customHeight="1" x14ac:dyDescent="0.3">
      <c r="A70" s="24"/>
      <c r="AB70" s="64"/>
      <c r="AE70" s="1"/>
      <c r="AF70" s="1"/>
      <c r="AG70" s="1"/>
      <c r="AH70" s="1"/>
      <c r="AI70" s="1"/>
      <c r="AJ70" s="1"/>
    </row>
    <row r="96" spans="2:30" s="64" customFormat="1" ht="12.75" customHeight="1" x14ac:dyDescent="0.3">
      <c r="B96" s="3"/>
      <c r="C96" s="3"/>
      <c r="D96" s="3"/>
      <c r="E96" s="3"/>
      <c r="F96" s="3"/>
      <c r="G96" s="68"/>
      <c r="H96" s="3"/>
      <c r="I96" s="3"/>
      <c r="J96" s="3"/>
      <c r="K96" s="3"/>
      <c r="L96" s="68"/>
      <c r="M96" s="3"/>
      <c r="N96" s="3"/>
      <c r="O96" s="3"/>
      <c r="P96" s="3"/>
      <c r="Q96" s="68"/>
      <c r="R96" s="3"/>
      <c r="S96" s="3"/>
      <c r="T96" s="68"/>
      <c r="U96" s="68"/>
      <c r="V96" s="3"/>
      <c r="W96" s="3"/>
      <c r="X96" s="3"/>
      <c r="Y96" s="3"/>
      <c r="Z96" s="68"/>
      <c r="AA96" s="3"/>
      <c r="AB96" s="3"/>
      <c r="AD96" s="6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7">
    <tabColor rgb="FF00B050"/>
  </sheetPr>
  <dimension ref="B2:Q22"/>
  <sheetViews>
    <sheetView showGridLines="0" zoomScaleNormal="100" workbookViewId="0">
      <selection activeCell="K19" sqref="K19"/>
    </sheetView>
  </sheetViews>
  <sheetFormatPr defaultColWidth="9.109375" defaultRowHeight="12.75" customHeight="1" x14ac:dyDescent="0.3"/>
  <cols>
    <col min="1" max="1" width="2.6640625" style="3" customWidth="1"/>
    <col min="2" max="2" width="23.109375" style="3" customWidth="1"/>
    <col min="3" max="3" width="13.6640625" style="3" bestFit="1" customWidth="1"/>
    <col min="4" max="4" width="12.33203125" style="3" bestFit="1" customWidth="1"/>
    <col min="5" max="10" width="9.109375" style="3"/>
    <col min="11" max="11" width="12.33203125" style="3" customWidth="1"/>
    <col min="12" max="16384" width="9.109375" style="3"/>
  </cols>
  <sheetData>
    <row r="2" spans="2:17" ht="12.75" customHeight="1" x14ac:dyDescent="0.3">
      <c r="B2" s="3" t="s">
        <v>144</v>
      </c>
    </row>
    <row r="4" spans="2:17" ht="12.75" customHeight="1" x14ac:dyDescent="0.3">
      <c r="B4" s="4" t="s">
        <v>123</v>
      </c>
      <c r="C4" s="35"/>
      <c r="D4" s="35"/>
      <c r="E4" s="35"/>
      <c r="F4" s="36"/>
      <c r="G4" s="35"/>
      <c r="H4" s="36" t="s">
        <v>124</v>
      </c>
      <c r="I4" s="35"/>
      <c r="J4" s="35"/>
      <c r="K4" s="35"/>
      <c r="L4" s="35"/>
      <c r="M4" s="35"/>
      <c r="N4" s="35"/>
      <c r="O4" s="35"/>
      <c r="P4" s="35"/>
      <c r="Q4" s="35"/>
    </row>
    <row r="5" spans="2:17" ht="12.75" customHeight="1" x14ac:dyDescent="0.3">
      <c r="B5" s="3" t="s">
        <v>125</v>
      </c>
    </row>
    <row r="7" spans="2:17" s="64" customFormat="1" ht="12.75" customHeight="1" x14ac:dyDescent="0.3">
      <c r="B7" s="67"/>
      <c r="D7" s="67"/>
      <c r="E7" s="67"/>
      <c r="F7" s="67"/>
    </row>
    <row r="8" spans="2:17" s="64" customFormat="1" ht="12.75" customHeight="1" x14ac:dyDescent="0.3">
      <c r="B8" s="67"/>
      <c r="C8" s="67"/>
      <c r="E8" s="67"/>
    </row>
    <row r="9" spans="2:17" s="66" customFormat="1" ht="12.75" customHeight="1" x14ac:dyDescent="0.3">
      <c r="B9" s="62" t="s">
        <v>126</v>
      </c>
      <c r="C9" s="68" t="s">
        <v>129</v>
      </c>
      <c r="D9" s="68" t="s">
        <v>130</v>
      </c>
      <c r="E9" s="68" t="s">
        <v>132</v>
      </c>
      <c r="F9" s="68" t="s">
        <v>131</v>
      </c>
      <c r="G9" s="68" t="s">
        <v>152</v>
      </c>
      <c r="H9" s="68" t="s">
        <v>154</v>
      </c>
      <c r="I9" s="68" t="s">
        <v>149</v>
      </c>
      <c r="J9" s="68" t="s">
        <v>148</v>
      </c>
      <c r="K9" s="68" t="s">
        <v>153</v>
      </c>
      <c r="L9" s="68" t="s">
        <v>157</v>
      </c>
    </row>
    <row r="10" spans="2:17" s="66" customFormat="1" ht="12.75" customHeight="1" x14ac:dyDescent="0.3">
      <c r="B10" s="69" t="s">
        <v>89</v>
      </c>
      <c r="C10" s="70" t="s">
        <v>31</v>
      </c>
      <c r="D10" s="71" t="s">
        <v>29</v>
      </c>
      <c r="E10" s="71" t="s">
        <v>37</v>
      </c>
      <c r="F10" s="71" t="s">
        <v>35</v>
      </c>
      <c r="G10" s="71" t="s">
        <v>36</v>
      </c>
      <c r="H10" s="71" t="s">
        <v>147</v>
      </c>
      <c r="I10" s="71" t="s">
        <v>119</v>
      </c>
      <c r="J10" s="71" t="s">
        <v>121</v>
      </c>
      <c r="K10" s="71" t="s">
        <v>33</v>
      </c>
      <c r="L10" s="71" t="s">
        <v>38</v>
      </c>
    </row>
    <row r="11" spans="2:17" s="66" customFormat="1" ht="12.75" customHeight="1" thickBot="1" x14ac:dyDescent="0.35">
      <c r="B11" s="72" t="s">
        <v>127</v>
      </c>
      <c r="C11" s="73" t="s">
        <v>128</v>
      </c>
      <c r="D11" s="73" t="s">
        <v>128</v>
      </c>
      <c r="E11" s="73" t="s">
        <v>128</v>
      </c>
      <c r="F11" s="73" t="s">
        <v>128</v>
      </c>
      <c r="G11" s="73" t="s">
        <v>128</v>
      </c>
      <c r="H11" s="73" t="s">
        <v>128</v>
      </c>
      <c r="I11" s="73" t="s">
        <v>128</v>
      </c>
      <c r="J11" s="73" t="s">
        <v>128</v>
      </c>
      <c r="K11" s="73" t="s">
        <v>128</v>
      </c>
      <c r="L11" s="73" t="s">
        <v>128</v>
      </c>
    </row>
    <row r="12" spans="2:17" s="66" customFormat="1" ht="12.75" customHeight="1" x14ac:dyDescent="0.3">
      <c r="B12" s="74" t="s">
        <v>104</v>
      </c>
      <c r="C12" s="75">
        <v>94.6</v>
      </c>
      <c r="D12" s="75">
        <v>79.2</v>
      </c>
      <c r="E12" s="75">
        <v>74</v>
      </c>
      <c r="G12" s="75">
        <v>0</v>
      </c>
      <c r="H12" s="75">
        <v>56.97</v>
      </c>
      <c r="I12" s="75">
        <v>0</v>
      </c>
      <c r="J12" s="75">
        <v>0</v>
      </c>
      <c r="K12" s="75">
        <v>0</v>
      </c>
      <c r="L12" s="75">
        <v>0</v>
      </c>
    </row>
    <row r="13" spans="2:17" s="66" customFormat="1" ht="12.75" customHeight="1" x14ac:dyDescent="0.3">
      <c r="B13" s="74" t="s">
        <v>158</v>
      </c>
      <c r="F13" s="75">
        <v>37</v>
      </c>
      <c r="G13" s="68"/>
      <c r="K13" s="68"/>
    </row>
    <row r="14" spans="2:17" s="68" customFormat="1" ht="12.75" customHeight="1" x14ac:dyDescent="0.3"/>
    <row r="15" spans="2:17" ht="12.75" customHeight="1" x14ac:dyDescent="0.3">
      <c r="B15" s="68"/>
      <c r="C15" s="68"/>
      <c r="D15" s="68"/>
      <c r="E15" s="68"/>
    </row>
    <row r="16" spans="2:17" ht="12.75" customHeight="1" x14ac:dyDescent="0.3">
      <c r="B16" s="68"/>
      <c r="C16" s="68"/>
      <c r="D16" s="68"/>
      <c r="E16" s="68"/>
      <c r="F16" s="80"/>
    </row>
    <row r="17" spans="2:5" ht="12.75" customHeight="1" x14ac:dyDescent="0.3">
      <c r="B17" s="68"/>
      <c r="C17" s="68"/>
      <c r="D17" s="68"/>
      <c r="E17" s="68"/>
    </row>
    <row r="18" spans="2:5" ht="12.75" customHeight="1" x14ac:dyDescent="0.3">
      <c r="B18" s="68"/>
      <c r="C18" s="68"/>
      <c r="D18" s="68"/>
      <c r="E18" s="68"/>
    </row>
    <row r="19" spans="2:5" ht="12.75" customHeight="1" x14ac:dyDescent="0.3">
      <c r="B19" s="68"/>
      <c r="C19" s="68"/>
      <c r="D19" s="68"/>
      <c r="E19" s="68"/>
    </row>
    <row r="20" spans="2:5" ht="12.75" customHeight="1" x14ac:dyDescent="0.3">
      <c r="B20" s="68"/>
      <c r="C20" s="68"/>
      <c r="D20" s="68"/>
      <c r="E20" s="68"/>
    </row>
    <row r="21" spans="2:5" ht="12.75" customHeight="1" x14ac:dyDescent="0.3">
      <c r="B21" s="68"/>
      <c r="C21" s="68"/>
      <c r="D21" s="68"/>
      <c r="E21" s="68"/>
    </row>
    <row r="22" spans="2:5" ht="12.75" customHeight="1" x14ac:dyDescent="0.3">
      <c r="B22" s="68"/>
      <c r="C22" s="68"/>
      <c r="D22" s="68"/>
      <c r="E22" s="6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tabColor rgb="FF00B050"/>
  </sheetPr>
  <dimension ref="A2:CR40"/>
  <sheetViews>
    <sheetView showGridLines="0" topLeftCell="A14" zoomScaleNormal="100" zoomScaleSheetLayoutView="100" workbookViewId="0">
      <selection activeCell="A33" sqref="A33:XFD33"/>
    </sheetView>
  </sheetViews>
  <sheetFormatPr defaultColWidth="9.109375" defaultRowHeight="13.8" x14ac:dyDescent="0.3"/>
  <cols>
    <col min="1" max="1" width="2.5546875" customWidth="1"/>
    <col min="2" max="2" width="24.88671875" bestFit="1" customWidth="1"/>
    <col min="3" max="3" width="36.33203125" bestFit="1" customWidth="1"/>
    <col min="5" max="5" width="11.33203125" customWidth="1"/>
    <col min="6" max="8" width="14.33203125" customWidth="1"/>
    <col min="9" max="9" width="9.109375" bestFit="1" customWidth="1"/>
    <col min="10" max="10" width="9.109375" customWidth="1"/>
  </cols>
  <sheetData>
    <row r="2" spans="2:15" x14ac:dyDescent="0.3">
      <c r="J2" s="61"/>
    </row>
    <row r="3" spans="2:15" x14ac:dyDescent="0.3">
      <c r="J3" s="61"/>
    </row>
    <row r="4" spans="2:15" x14ac:dyDescent="0.3">
      <c r="J4" s="61"/>
    </row>
    <row r="5" spans="2:15" x14ac:dyDescent="0.3">
      <c r="G5" s="61"/>
    </row>
    <row r="6" spans="2:15" x14ac:dyDescent="0.3">
      <c r="G6" s="61"/>
    </row>
    <row r="7" spans="2:15" x14ac:dyDescent="0.3">
      <c r="B7" s="3"/>
      <c r="C7" s="25"/>
      <c r="D7" s="25"/>
      <c r="F7" s="7" t="s">
        <v>1</v>
      </c>
      <c r="G7" s="61"/>
    </row>
    <row r="8" spans="2:15" ht="41.4" x14ac:dyDescent="0.3">
      <c r="B8" s="8" t="s">
        <v>2</v>
      </c>
      <c r="C8" s="8" t="s">
        <v>3</v>
      </c>
      <c r="D8" s="8" t="s">
        <v>5</v>
      </c>
      <c r="E8" s="9" t="s">
        <v>6</v>
      </c>
      <c r="F8" s="8" t="s">
        <v>171</v>
      </c>
      <c r="G8" s="10" t="s">
        <v>7</v>
      </c>
      <c r="H8" s="104" t="s">
        <v>164</v>
      </c>
      <c r="I8" s="104" t="s">
        <v>165</v>
      </c>
      <c r="J8" s="104" t="s">
        <v>166</v>
      </c>
      <c r="K8" s="104" t="s">
        <v>167</v>
      </c>
      <c r="L8" s="104" t="s">
        <v>168</v>
      </c>
      <c r="M8" s="104" t="s">
        <v>169</v>
      </c>
      <c r="N8" s="104" t="s">
        <v>170</v>
      </c>
      <c r="O8" s="240" t="s">
        <v>593</v>
      </c>
    </row>
    <row r="9" spans="2:15" ht="14.4" thickBot="1" x14ac:dyDescent="0.35">
      <c r="B9" s="37" t="s">
        <v>133</v>
      </c>
      <c r="C9" s="38"/>
      <c r="D9" s="38"/>
      <c r="E9" s="39"/>
      <c r="F9" s="38"/>
      <c r="G9" s="40"/>
      <c r="H9" s="38"/>
      <c r="I9" s="38"/>
      <c r="J9" s="38"/>
      <c r="K9" s="38"/>
      <c r="L9" s="38"/>
      <c r="M9" s="38"/>
      <c r="N9" s="38"/>
    </row>
    <row r="10" spans="2:15" ht="14.4" thickBot="1" x14ac:dyDescent="0.35">
      <c r="B10" s="41" t="s">
        <v>25</v>
      </c>
      <c r="C10" s="42"/>
      <c r="D10" s="42"/>
      <c r="E10" s="42"/>
      <c r="F10" s="241"/>
      <c r="G10" s="43"/>
      <c r="H10" s="42"/>
      <c r="I10" s="42"/>
      <c r="J10" s="42"/>
      <c r="K10" s="42"/>
      <c r="L10" s="42"/>
      <c r="M10" s="42"/>
      <c r="N10" s="42"/>
    </row>
    <row r="11" spans="2:15" x14ac:dyDescent="0.3">
      <c r="B11" s="105" t="s">
        <v>67</v>
      </c>
      <c r="C11" s="106" t="s">
        <v>68</v>
      </c>
      <c r="D11" s="105" t="s">
        <v>134</v>
      </c>
      <c r="E11" s="105" t="s">
        <v>31</v>
      </c>
      <c r="F11" s="105"/>
      <c r="G11" s="107">
        <v>1</v>
      </c>
      <c r="H11" s="105"/>
      <c r="I11" s="105"/>
      <c r="J11" s="105"/>
      <c r="K11" s="105"/>
      <c r="L11" s="105"/>
      <c r="M11" s="105"/>
      <c r="N11" s="105"/>
    </row>
    <row r="12" spans="2:15" x14ac:dyDescent="0.3">
      <c r="B12" s="105" t="s">
        <v>69</v>
      </c>
      <c r="C12" s="106" t="s">
        <v>70</v>
      </c>
      <c r="D12" s="105" t="s">
        <v>135</v>
      </c>
      <c r="E12" s="105" t="s">
        <v>29</v>
      </c>
      <c r="F12" s="105"/>
      <c r="G12" s="107">
        <v>1</v>
      </c>
      <c r="H12" s="105"/>
      <c r="I12" s="105"/>
      <c r="J12" s="105"/>
      <c r="K12" s="105"/>
      <c r="L12" s="105"/>
      <c r="M12" s="105"/>
      <c r="N12" s="105"/>
    </row>
    <row r="13" spans="2:15" x14ac:dyDescent="0.3">
      <c r="B13" s="105" t="s">
        <v>73</v>
      </c>
      <c r="C13" s="106" t="s">
        <v>74</v>
      </c>
      <c r="D13" s="105" t="s">
        <v>138</v>
      </c>
      <c r="E13" s="105" t="s">
        <v>36</v>
      </c>
      <c r="F13" s="105"/>
      <c r="G13" s="107">
        <v>1</v>
      </c>
      <c r="H13" s="105"/>
      <c r="I13" s="105"/>
      <c r="J13" s="105"/>
      <c r="K13" s="105"/>
      <c r="L13" s="105"/>
      <c r="M13" s="105"/>
      <c r="N13" s="105"/>
    </row>
    <row r="14" spans="2:15" x14ac:dyDescent="0.3">
      <c r="B14" s="105" t="s">
        <v>79</v>
      </c>
      <c r="C14" s="106" t="s">
        <v>80</v>
      </c>
      <c r="D14" s="105" t="s">
        <v>141</v>
      </c>
      <c r="E14" s="105" t="s">
        <v>35</v>
      </c>
      <c r="F14" s="105"/>
      <c r="G14" s="107">
        <v>1</v>
      </c>
      <c r="H14" s="105"/>
      <c r="I14" s="105"/>
      <c r="J14" s="105"/>
      <c r="K14" s="105"/>
      <c r="L14" s="105"/>
      <c r="M14" s="105"/>
      <c r="N14" s="105"/>
    </row>
    <row r="15" spans="2:15" x14ac:dyDescent="0.3">
      <c r="B15" s="108" t="s">
        <v>81</v>
      </c>
      <c r="C15" s="109" t="s">
        <v>82</v>
      </c>
      <c r="D15" s="108" t="s">
        <v>142</v>
      </c>
      <c r="E15" s="108" t="s">
        <v>119</v>
      </c>
      <c r="F15" s="108"/>
      <c r="G15" s="107">
        <v>1</v>
      </c>
      <c r="H15" s="105"/>
      <c r="I15" s="105"/>
      <c r="J15" s="105"/>
      <c r="K15" s="105"/>
      <c r="L15" s="105"/>
      <c r="M15" s="105"/>
      <c r="N15" s="105"/>
    </row>
    <row r="16" spans="2:15" x14ac:dyDescent="0.3">
      <c r="B16" s="108" t="s">
        <v>83</v>
      </c>
      <c r="C16" s="108" t="s">
        <v>155</v>
      </c>
      <c r="D16" s="108" t="s">
        <v>143</v>
      </c>
      <c r="E16" s="108" t="s">
        <v>121</v>
      </c>
      <c r="F16" s="108"/>
      <c r="G16" s="107">
        <v>1</v>
      </c>
      <c r="H16" s="105"/>
      <c r="I16" s="105"/>
      <c r="J16" s="105"/>
      <c r="K16" s="105"/>
      <c r="L16" s="105"/>
      <c r="M16" s="105"/>
      <c r="N16" s="105"/>
    </row>
    <row r="17" spans="1:96" x14ac:dyDescent="0.3">
      <c r="B17" s="108" t="s">
        <v>146</v>
      </c>
      <c r="C17" s="109" t="s">
        <v>151</v>
      </c>
      <c r="D17" s="108" t="s">
        <v>627</v>
      </c>
      <c r="E17" s="108" t="s">
        <v>147</v>
      </c>
      <c r="F17" s="108"/>
      <c r="G17" s="107">
        <v>1</v>
      </c>
      <c r="H17" s="105"/>
      <c r="I17" s="105"/>
      <c r="J17" s="105"/>
      <c r="K17" s="105"/>
      <c r="L17" s="105"/>
      <c r="M17" s="105"/>
      <c r="N17" s="105"/>
    </row>
    <row r="18" spans="1:96" x14ac:dyDescent="0.3">
      <c r="B18" s="105" t="s">
        <v>75</v>
      </c>
      <c r="C18" s="106" t="s">
        <v>76</v>
      </c>
      <c r="D18" s="105" t="s">
        <v>139</v>
      </c>
      <c r="E18" s="105" t="s">
        <v>33</v>
      </c>
      <c r="F18" s="105"/>
      <c r="G18" s="107">
        <v>1</v>
      </c>
      <c r="H18" s="105"/>
      <c r="I18" s="105"/>
      <c r="J18" s="105"/>
      <c r="K18" s="105"/>
      <c r="L18" s="105"/>
      <c r="M18" s="105"/>
      <c r="N18" s="105"/>
    </row>
    <row r="19" spans="1:96" x14ac:dyDescent="0.3">
      <c r="B19" s="105" t="s">
        <v>77</v>
      </c>
      <c r="C19" s="105" t="s">
        <v>78</v>
      </c>
      <c r="D19" s="105" t="s">
        <v>140</v>
      </c>
      <c r="E19" s="110" t="s">
        <v>38</v>
      </c>
      <c r="F19" s="108"/>
      <c r="G19" s="113">
        <v>1</v>
      </c>
      <c r="H19" s="108"/>
      <c r="I19" s="105"/>
      <c r="J19" s="105"/>
      <c r="K19" s="105"/>
      <c r="L19" s="105"/>
      <c r="M19" s="105"/>
      <c r="N19" s="105"/>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c r="CK19" s="67"/>
      <c r="CL19" s="67"/>
      <c r="CM19" s="67"/>
      <c r="CN19" s="67"/>
      <c r="CO19" s="67"/>
      <c r="CP19" s="67"/>
      <c r="CQ19" s="67"/>
      <c r="CR19" s="67"/>
    </row>
    <row r="20" spans="1:96" x14ac:dyDescent="0.3">
      <c r="B20" s="105" t="s">
        <v>71</v>
      </c>
      <c r="C20" s="105" t="s">
        <v>72</v>
      </c>
      <c r="D20" s="105" t="s">
        <v>136</v>
      </c>
      <c r="E20" s="110" t="s">
        <v>37</v>
      </c>
      <c r="F20" s="108"/>
      <c r="G20" s="113">
        <v>1</v>
      </c>
      <c r="H20" s="108"/>
      <c r="I20" s="105"/>
      <c r="J20" s="105"/>
      <c r="K20" s="105"/>
      <c r="L20" s="105"/>
      <c r="M20" s="105"/>
      <c r="N20" s="105"/>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c r="CJ20" s="67"/>
      <c r="CK20" s="67"/>
      <c r="CL20" s="67"/>
      <c r="CM20" s="67"/>
      <c r="CN20" s="67"/>
      <c r="CO20" s="67"/>
      <c r="CP20" s="67"/>
      <c r="CQ20" s="67"/>
      <c r="CR20" s="67"/>
    </row>
    <row r="21" spans="1:96" x14ac:dyDescent="0.3">
      <c r="B21" s="105" t="s">
        <v>193</v>
      </c>
      <c r="C21" s="106" t="s">
        <v>194</v>
      </c>
      <c r="D21" s="105" t="s">
        <v>195</v>
      </c>
      <c r="E21" s="110" t="s">
        <v>184</v>
      </c>
      <c r="F21" s="108"/>
      <c r="G21" s="113">
        <v>1</v>
      </c>
      <c r="H21" s="108"/>
      <c r="I21" s="105"/>
      <c r="J21" s="105"/>
      <c r="K21" s="105"/>
      <c r="L21" s="105"/>
      <c r="M21" s="105"/>
      <c r="N21" s="105"/>
    </row>
    <row r="22" spans="1:96" x14ac:dyDescent="0.3">
      <c r="B22" s="105" t="s">
        <v>196</v>
      </c>
      <c r="C22" s="106" t="s">
        <v>197</v>
      </c>
      <c r="D22" s="105" t="s">
        <v>198</v>
      </c>
      <c r="E22" s="110" t="s">
        <v>182</v>
      </c>
      <c r="F22" s="108"/>
      <c r="G22" s="113">
        <v>1</v>
      </c>
      <c r="H22" s="108"/>
      <c r="I22" s="105"/>
      <c r="J22" s="105"/>
      <c r="K22" s="105"/>
      <c r="L22" s="105"/>
      <c r="M22" s="105"/>
      <c r="N22" s="105"/>
    </row>
    <row r="23" spans="1:96" x14ac:dyDescent="0.3">
      <c r="B23" s="108" t="s">
        <v>199</v>
      </c>
      <c r="C23" s="109" t="s">
        <v>200</v>
      </c>
      <c r="D23" s="108" t="s">
        <v>201</v>
      </c>
      <c r="E23" s="110" t="s">
        <v>186</v>
      </c>
      <c r="F23" s="108"/>
      <c r="G23" s="113">
        <v>1</v>
      </c>
      <c r="H23" s="108"/>
      <c r="I23" s="105"/>
      <c r="J23" s="105"/>
      <c r="K23" s="105"/>
      <c r="L23" s="105"/>
      <c r="M23" s="105"/>
      <c r="N23" s="105"/>
    </row>
    <row r="24" spans="1:96" s="59" customFormat="1" x14ac:dyDescent="0.3">
      <c r="B24" s="105" t="s">
        <v>202</v>
      </c>
      <c r="C24" s="106" t="s">
        <v>203</v>
      </c>
      <c r="D24" s="105" t="s">
        <v>204</v>
      </c>
      <c r="E24" s="110" t="s">
        <v>185</v>
      </c>
      <c r="F24" s="108"/>
      <c r="G24" s="113">
        <v>1</v>
      </c>
      <c r="H24" s="108"/>
      <c r="I24" s="105"/>
      <c r="J24" s="105"/>
      <c r="K24" s="105"/>
      <c r="L24" s="105"/>
      <c r="M24" s="105"/>
      <c r="N24" s="105"/>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c r="CE24" s="67"/>
      <c r="CF24" s="67"/>
      <c r="CG24" s="67"/>
      <c r="CH24" s="67"/>
      <c r="CI24" s="67"/>
      <c r="CJ24" s="67"/>
      <c r="CK24" s="67"/>
      <c r="CL24" s="67"/>
      <c r="CM24" s="67"/>
      <c r="CN24" s="67"/>
      <c r="CO24" s="67"/>
      <c r="CP24" s="67"/>
      <c r="CQ24" s="67"/>
      <c r="CR24" s="67"/>
    </row>
    <row r="25" spans="1:96" s="59" customFormat="1" x14ac:dyDescent="0.3">
      <c r="B25" s="116" t="s">
        <v>212</v>
      </c>
      <c r="C25" s="116" t="s">
        <v>213</v>
      </c>
      <c r="D25" s="116" t="s">
        <v>214</v>
      </c>
      <c r="E25" s="117" t="s">
        <v>215</v>
      </c>
      <c r="F25" s="116"/>
      <c r="G25" s="118">
        <v>1</v>
      </c>
      <c r="H25" s="118" t="s">
        <v>30</v>
      </c>
      <c r="I25" s="118" t="s">
        <v>30</v>
      </c>
      <c r="J25" s="118" t="s">
        <v>30</v>
      </c>
      <c r="K25" s="118" t="s">
        <v>30</v>
      </c>
      <c r="L25" s="118" t="s">
        <v>30</v>
      </c>
      <c r="M25" s="118" t="s">
        <v>30</v>
      </c>
      <c r="N25" s="119">
        <v>1</v>
      </c>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c r="BZ25" s="67"/>
      <c r="CA25" s="67"/>
      <c r="CB25" s="67"/>
      <c r="CC25" s="67"/>
      <c r="CD25" s="67"/>
      <c r="CE25" s="67"/>
      <c r="CF25" s="67"/>
      <c r="CG25" s="67"/>
      <c r="CH25" s="67"/>
      <c r="CI25" s="67"/>
      <c r="CJ25" s="67"/>
      <c r="CK25" s="67"/>
      <c r="CL25" s="67"/>
      <c r="CM25" s="67"/>
      <c r="CN25" s="67"/>
      <c r="CO25" s="67"/>
      <c r="CP25" s="67"/>
      <c r="CQ25" s="67"/>
      <c r="CR25" s="67"/>
    </row>
    <row r="26" spans="1:96" s="59" customFormat="1" x14ac:dyDescent="0.3">
      <c r="B26" s="108" t="s">
        <v>30</v>
      </c>
      <c r="C26" s="108" t="s">
        <v>213</v>
      </c>
      <c r="D26" s="108" t="s">
        <v>216</v>
      </c>
      <c r="E26" s="110" t="s">
        <v>30</v>
      </c>
      <c r="F26" s="108"/>
      <c r="G26" s="111" t="s">
        <v>30</v>
      </c>
      <c r="H26" s="111">
        <v>0</v>
      </c>
      <c r="I26" s="111">
        <v>0</v>
      </c>
      <c r="J26" s="111">
        <v>0</v>
      </c>
      <c r="K26" s="111">
        <v>0</v>
      </c>
      <c r="L26" s="111">
        <v>0.1</v>
      </c>
      <c r="M26" s="111">
        <v>1</v>
      </c>
      <c r="N26" s="112">
        <v>1</v>
      </c>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c r="BW26" s="67"/>
      <c r="BX26" s="67"/>
      <c r="BY26" s="67"/>
      <c r="BZ26" s="67"/>
      <c r="CA26" s="67"/>
      <c r="CB26" s="67"/>
      <c r="CC26" s="67"/>
      <c r="CD26" s="67"/>
      <c r="CE26" s="67"/>
      <c r="CF26" s="67"/>
      <c r="CG26" s="67"/>
      <c r="CH26" s="67"/>
      <c r="CI26" s="67"/>
      <c r="CJ26" s="67"/>
      <c r="CK26" s="67"/>
      <c r="CL26" s="67"/>
      <c r="CM26" s="67"/>
      <c r="CN26" s="67"/>
      <c r="CO26" s="67"/>
      <c r="CP26" s="67"/>
      <c r="CQ26" s="67"/>
      <c r="CR26" s="67"/>
    </row>
    <row r="27" spans="1:96" s="60" customFormat="1" x14ac:dyDescent="0.3">
      <c r="A27" s="59"/>
      <c r="B27" s="108" t="s">
        <v>205</v>
      </c>
      <c r="C27" s="108" t="s">
        <v>206</v>
      </c>
      <c r="D27" s="108" t="s">
        <v>207</v>
      </c>
      <c r="E27" s="110" t="s">
        <v>183</v>
      </c>
      <c r="F27" s="108"/>
      <c r="G27" s="111">
        <v>1</v>
      </c>
      <c r="H27" s="111" t="s">
        <v>30</v>
      </c>
      <c r="I27" s="111" t="s">
        <v>30</v>
      </c>
      <c r="J27" s="111" t="s">
        <v>30</v>
      </c>
      <c r="K27" s="111" t="s">
        <v>30</v>
      </c>
      <c r="L27" s="111" t="s">
        <v>30</v>
      </c>
      <c r="M27" s="111" t="s">
        <v>30</v>
      </c>
      <c r="N27" s="112">
        <v>1</v>
      </c>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c r="BW27" s="67"/>
      <c r="BX27" s="67"/>
      <c r="BY27" s="67"/>
      <c r="BZ27" s="67"/>
      <c r="CA27" s="67"/>
      <c r="CB27" s="67"/>
      <c r="CC27" s="67"/>
      <c r="CD27" s="67"/>
      <c r="CE27" s="67"/>
      <c r="CF27" s="67"/>
      <c r="CG27" s="67"/>
      <c r="CH27" s="67"/>
      <c r="CI27" s="67"/>
      <c r="CJ27" s="67"/>
      <c r="CK27" s="67"/>
      <c r="CL27" s="67"/>
      <c r="CM27" s="67"/>
      <c r="CN27" s="67"/>
      <c r="CO27" s="67"/>
      <c r="CP27" s="67"/>
      <c r="CQ27" s="67"/>
      <c r="CR27" s="67"/>
    </row>
    <row r="28" spans="1:96" x14ac:dyDescent="0.3">
      <c r="B28" s="108" t="s">
        <v>30</v>
      </c>
      <c r="C28" s="108" t="s">
        <v>206</v>
      </c>
      <c r="D28" s="108" t="s">
        <v>208</v>
      </c>
      <c r="E28" s="110" t="s">
        <v>30</v>
      </c>
      <c r="F28" s="108"/>
      <c r="G28" s="111" t="s">
        <v>30</v>
      </c>
      <c r="H28" s="111">
        <v>0</v>
      </c>
      <c r="I28" s="111">
        <v>0</v>
      </c>
      <c r="J28" s="111">
        <v>0</v>
      </c>
      <c r="K28" s="111">
        <v>0</v>
      </c>
      <c r="L28" s="111">
        <v>0.1</v>
      </c>
      <c r="M28" s="111">
        <v>1</v>
      </c>
      <c r="N28" s="112">
        <v>1</v>
      </c>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c r="BO28" s="67"/>
      <c r="BP28" s="67"/>
      <c r="BQ28" s="67"/>
      <c r="BR28" s="67"/>
      <c r="BS28" s="67"/>
      <c r="BT28" s="67"/>
      <c r="BU28" s="67"/>
      <c r="BV28" s="67"/>
      <c r="BW28" s="67"/>
      <c r="BX28" s="67"/>
      <c r="BY28" s="67"/>
      <c r="BZ28" s="67"/>
      <c r="CA28" s="67"/>
      <c r="CB28" s="67"/>
      <c r="CC28" s="67"/>
      <c r="CD28" s="67"/>
      <c r="CE28" s="67"/>
      <c r="CF28" s="67"/>
      <c r="CG28" s="67"/>
      <c r="CH28" s="67"/>
      <c r="CI28" s="67"/>
      <c r="CJ28" s="67"/>
      <c r="CK28" s="67"/>
      <c r="CL28" s="67"/>
      <c r="CM28" s="67"/>
      <c r="CN28" s="67"/>
      <c r="CO28" s="67"/>
      <c r="CP28" s="67"/>
      <c r="CQ28" s="67"/>
      <c r="CR28" s="67"/>
    </row>
    <row r="29" spans="1:96" x14ac:dyDescent="0.3">
      <c r="B29" s="108" t="s">
        <v>209</v>
      </c>
      <c r="C29" s="108" t="s">
        <v>210</v>
      </c>
      <c r="D29" s="108" t="s">
        <v>627</v>
      </c>
      <c r="E29" s="110" t="s">
        <v>181</v>
      </c>
      <c r="F29" s="108"/>
      <c r="G29" s="111">
        <v>1</v>
      </c>
      <c r="H29" s="111" t="s">
        <v>30</v>
      </c>
      <c r="I29" s="111" t="s">
        <v>30</v>
      </c>
      <c r="J29" s="111" t="s">
        <v>30</v>
      </c>
      <c r="K29" s="111" t="s">
        <v>30</v>
      </c>
      <c r="L29" s="111" t="s">
        <v>30</v>
      </c>
      <c r="M29" s="111" t="s">
        <v>30</v>
      </c>
      <c r="N29" s="112">
        <v>1</v>
      </c>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67"/>
      <c r="AY29" s="67"/>
      <c r="AZ29" s="67"/>
      <c r="BA29" s="67"/>
      <c r="BB29" s="67"/>
      <c r="BC29" s="67"/>
      <c r="BD29" s="67"/>
      <c r="BE29" s="67"/>
      <c r="BF29" s="67"/>
      <c r="BG29" s="67"/>
      <c r="BH29" s="67"/>
      <c r="BI29" s="67"/>
      <c r="BJ29" s="67"/>
      <c r="BK29" s="67"/>
      <c r="BL29" s="67"/>
      <c r="BM29" s="67"/>
      <c r="BN29" s="67"/>
      <c r="BO29" s="67"/>
      <c r="BP29" s="67"/>
      <c r="BQ29" s="67"/>
      <c r="BR29" s="67"/>
      <c r="BS29" s="67"/>
      <c r="BT29" s="67"/>
      <c r="BU29" s="67"/>
      <c r="BV29" s="67"/>
      <c r="BW29" s="67"/>
      <c r="BX29" s="67"/>
      <c r="BY29" s="67"/>
      <c r="BZ29" s="67"/>
      <c r="CA29" s="67"/>
      <c r="CB29" s="67"/>
      <c r="CC29" s="67"/>
      <c r="CD29" s="67"/>
      <c r="CE29" s="67"/>
      <c r="CF29" s="67"/>
      <c r="CG29" s="67"/>
      <c r="CH29" s="67"/>
      <c r="CI29" s="67"/>
      <c r="CJ29" s="67"/>
      <c r="CK29" s="67"/>
      <c r="CL29" s="67"/>
      <c r="CM29" s="67"/>
      <c r="CN29" s="67"/>
      <c r="CO29" s="67"/>
      <c r="CP29" s="67"/>
      <c r="CQ29" s="67"/>
      <c r="CR29" s="67"/>
    </row>
    <row r="30" spans="1:96" s="67" customFormat="1" x14ac:dyDescent="0.3">
      <c r="B30" s="108" t="s">
        <v>30</v>
      </c>
      <c r="C30" s="108" t="s">
        <v>210</v>
      </c>
      <c r="D30" s="108" t="s">
        <v>207</v>
      </c>
      <c r="E30" s="110" t="s">
        <v>30</v>
      </c>
      <c r="F30" s="108"/>
      <c r="G30" s="111" t="s">
        <v>30</v>
      </c>
      <c r="H30" s="111">
        <v>0</v>
      </c>
      <c r="I30" s="111">
        <v>0</v>
      </c>
      <c r="J30" s="111">
        <v>0.05</v>
      </c>
      <c r="K30" s="111">
        <v>0.1</v>
      </c>
      <c r="L30" s="111">
        <v>0.1</v>
      </c>
      <c r="M30" s="111">
        <v>1</v>
      </c>
      <c r="N30" s="112">
        <v>1</v>
      </c>
    </row>
    <row r="31" spans="1:96" x14ac:dyDescent="0.3">
      <c r="B31" s="108" t="s">
        <v>30</v>
      </c>
      <c r="C31" s="108" t="s">
        <v>210</v>
      </c>
      <c r="D31" s="108" t="s">
        <v>208</v>
      </c>
      <c r="E31" s="110" t="s">
        <v>30</v>
      </c>
      <c r="F31" s="108"/>
      <c r="G31" s="111" t="s">
        <v>30</v>
      </c>
      <c r="H31" s="111">
        <v>0</v>
      </c>
      <c r="I31" s="111">
        <v>0</v>
      </c>
      <c r="J31" s="111">
        <v>0</v>
      </c>
      <c r="K31" s="111">
        <v>0</v>
      </c>
      <c r="L31" s="111">
        <v>0.1</v>
      </c>
      <c r="M31" s="111">
        <v>1</v>
      </c>
      <c r="N31" s="112">
        <v>1</v>
      </c>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c r="CI31" s="67"/>
      <c r="CJ31" s="67"/>
      <c r="CK31" s="67"/>
      <c r="CL31" s="67"/>
      <c r="CM31" s="67"/>
      <c r="CN31" s="67"/>
      <c r="CO31" s="67"/>
      <c r="CP31" s="67"/>
      <c r="CQ31" s="67"/>
      <c r="CR31" s="67"/>
    </row>
    <row r="32" spans="1:96" s="67" customFormat="1" x14ac:dyDescent="0.3">
      <c r="B32" s="108" t="str">
        <f>Proc!D54</f>
        <v>FT-ELCH2G</v>
      </c>
      <c r="C32" s="108" t="str">
        <f>Proc!E54</f>
        <v>Fuel Technology Hydrogen ELC</v>
      </c>
      <c r="D32" s="108" t="s">
        <v>521</v>
      </c>
      <c r="E32" s="110" t="s">
        <v>518</v>
      </c>
      <c r="F32" s="108"/>
      <c r="G32" s="111">
        <v>1</v>
      </c>
      <c r="H32" s="111"/>
      <c r="I32" s="111"/>
      <c r="J32" s="111"/>
      <c r="K32" s="111"/>
      <c r="L32" s="111"/>
      <c r="M32" s="111"/>
      <c r="N32" s="112"/>
    </row>
    <row r="33" spans="2:96" x14ac:dyDescent="0.3">
      <c r="B33" s="67"/>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c r="CI33" s="67"/>
      <c r="CJ33" s="67"/>
      <c r="CK33" s="67"/>
      <c r="CL33" s="67"/>
      <c r="CM33" s="67"/>
      <c r="CN33" s="67"/>
      <c r="CO33" s="67"/>
      <c r="CP33" s="67"/>
      <c r="CQ33" s="67"/>
      <c r="CR33" s="67"/>
    </row>
    <row r="34" spans="2:96" x14ac:dyDescent="0.3">
      <c r="B34" s="67"/>
      <c r="C34" s="67"/>
      <c r="D34" s="67"/>
      <c r="E34" s="67"/>
      <c r="F34" s="67"/>
      <c r="G34" s="67"/>
      <c r="H34" s="67"/>
      <c r="I34" s="67"/>
      <c r="J34" s="67"/>
      <c r="K34" s="67"/>
      <c r="L34" s="67"/>
    </row>
    <row r="35" spans="2:96" x14ac:dyDescent="0.3">
      <c r="B35" s="67"/>
      <c r="C35" s="67"/>
      <c r="D35" s="67"/>
      <c r="E35" s="67"/>
      <c r="F35" s="67"/>
      <c r="G35" s="67"/>
      <c r="H35" s="67"/>
      <c r="I35" s="67"/>
      <c r="J35" s="67"/>
      <c r="K35" s="67"/>
    </row>
    <row r="36" spans="2:96" x14ac:dyDescent="0.3">
      <c r="B36" s="67"/>
      <c r="C36" s="67"/>
      <c r="D36" s="67"/>
      <c r="E36" s="67"/>
      <c r="F36" s="67"/>
      <c r="G36" s="67"/>
      <c r="H36" s="67"/>
      <c r="I36" s="67"/>
      <c r="J36" s="67"/>
      <c r="K36" s="67"/>
    </row>
    <row r="37" spans="2:96" x14ac:dyDescent="0.3">
      <c r="B37" s="67"/>
      <c r="C37" s="67"/>
      <c r="D37" s="67"/>
      <c r="E37" s="67"/>
      <c r="F37" s="67"/>
      <c r="G37" s="67"/>
      <c r="H37" s="67"/>
      <c r="I37" s="67"/>
      <c r="J37" s="67"/>
      <c r="K37" s="67"/>
    </row>
    <row r="38" spans="2:96" x14ac:dyDescent="0.3">
      <c r="B38" s="67"/>
      <c r="C38" s="67"/>
      <c r="D38" s="67"/>
      <c r="E38" s="67"/>
      <c r="F38" s="67"/>
      <c r="G38" s="67"/>
    </row>
    <row r="39" spans="2:96" x14ac:dyDescent="0.3">
      <c r="B39" s="67"/>
      <c r="C39" s="67"/>
      <c r="D39" s="67"/>
      <c r="E39" s="67"/>
      <c r="F39" s="67"/>
      <c r="G39" s="67"/>
    </row>
    <row r="40" spans="2:96" x14ac:dyDescent="0.3">
      <c r="B40" s="67"/>
      <c r="C40" s="67"/>
      <c r="D40" s="67"/>
      <c r="E40" s="67"/>
      <c r="G40" s="67"/>
    </row>
  </sheetData>
  <pageMargins left="0.7" right="0.7" top="0.75" bottom="0.75" header="0.3" footer="0.3"/>
  <pageSetup paperSize="9" orientation="portrait"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7D50B-791A-44A4-95AB-DEA9775308B9}">
  <dimension ref="A2:AC129"/>
  <sheetViews>
    <sheetView showGridLines="0" topLeftCell="B45" workbookViewId="0">
      <selection activeCell="G65" sqref="G65"/>
    </sheetView>
  </sheetViews>
  <sheetFormatPr defaultColWidth="9.109375" defaultRowHeight="13.2" x14ac:dyDescent="0.25"/>
  <cols>
    <col min="1" max="1" width="3.44140625" style="122" hidden="1" customWidth="1"/>
    <col min="2" max="2" width="33.88671875" style="126" bestFit="1" customWidth="1"/>
    <col min="3" max="3" width="18.5546875" style="125" customWidth="1"/>
    <col min="4" max="4" width="16" style="124" customWidth="1"/>
    <col min="5" max="5" width="9.88671875" style="123" customWidth="1"/>
    <col min="6" max="6" width="9.109375" style="122"/>
    <col min="7" max="7" width="69.109375" style="122" bestFit="1" customWidth="1"/>
    <col min="8" max="9" width="9.109375" style="122"/>
    <col min="10" max="10" width="48.33203125" style="122" bestFit="1" customWidth="1"/>
    <col min="11" max="16384" width="9.109375" style="122"/>
  </cols>
  <sheetData>
    <row r="2" spans="1:29" x14ac:dyDescent="0.25">
      <c r="B2" s="226" t="s">
        <v>318</v>
      </c>
    </row>
    <row r="3" spans="1:29" s="193" customFormat="1" ht="13.8" thickBot="1" x14ac:dyDescent="0.3">
      <c r="A3" s="198" t="s">
        <v>306</v>
      </c>
      <c r="B3" s="197"/>
      <c r="C3" s="196"/>
      <c r="D3" s="195"/>
      <c r="E3" s="194"/>
      <c r="O3" s="122"/>
      <c r="AC3" s="227" t="s">
        <v>320</v>
      </c>
    </row>
    <row r="4" spans="1:29" ht="16.5" customHeight="1" thickBot="1" x14ac:dyDescent="0.3">
      <c r="A4" s="192" t="s">
        <v>307</v>
      </c>
      <c r="B4" s="147" t="s">
        <v>306</v>
      </c>
      <c r="C4" s="191"/>
      <c r="D4" s="190"/>
      <c r="H4" s="122" t="s">
        <v>319</v>
      </c>
      <c r="AC4" s="122" t="s">
        <v>301</v>
      </c>
    </row>
    <row r="5" spans="1:29" ht="26.4" x14ac:dyDescent="0.25">
      <c r="A5" s="178" t="s">
        <v>275</v>
      </c>
      <c r="B5" s="146" t="s">
        <v>241</v>
      </c>
      <c r="C5" s="145" t="s">
        <v>240</v>
      </c>
      <c r="D5" s="144" t="s">
        <v>239</v>
      </c>
      <c r="E5" s="143" t="s">
        <v>238</v>
      </c>
      <c r="AC5" s="122" t="s">
        <v>300</v>
      </c>
    </row>
    <row r="6" spans="1:29" x14ac:dyDescent="0.25">
      <c r="A6" s="189" t="s">
        <v>305</v>
      </c>
      <c r="B6" s="188" t="s">
        <v>304</v>
      </c>
      <c r="C6" s="184"/>
      <c r="D6" s="169">
        <v>6461.9</v>
      </c>
      <c r="E6" s="131"/>
      <c r="J6" s="199"/>
      <c r="AC6" s="122" t="s">
        <v>299</v>
      </c>
    </row>
    <row r="7" spans="1:29" x14ac:dyDescent="0.25">
      <c r="A7" s="187"/>
      <c r="B7" s="158" t="s">
        <v>261</v>
      </c>
      <c r="C7" s="184"/>
      <c r="D7" s="169">
        <v>5406.9</v>
      </c>
      <c r="E7" s="131"/>
      <c r="M7" s="199">
        <f t="shared" ref="M7:Z7" si="0">SUM(M9:M129)</f>
        <v>6062.8000000000011</v>
      </c>
      <c r="N7" s="199">
        <f t="shared" si="0"/>
        <v>7029.8600000000024</v>
      </c>
      <c r="O7" s="199">
        <f t="shared" si="0"/>
        <v>7528.760000000002</v>
      </c>
      <c r="P7" s="199">
        <f t="shared" si="0"/>
        <v>5974.6600000000026</v>
      </c>
      <c r="Q7" s="199">
        <f t="shared" si="0"/>
        <v>5914.6600000000026</v>
      </c>
      <c r="R7" s="199">
        <f t="shared" si="0"/>
        <v>4720.4600000000019</v>
      </c>
      <c r="S7" s="199">
        <f t="shared" si="0"/>
        <v>3272.0200000000004</v>
      </c>
      <c r="T7" s="199">
        <f t="shared" si="0"/>
        <v>2424.0000000000005</v>
      </c>
      <c r="U7" s="199">
        <f t="shared" si="0"/>
        <v>1736.4999999999998</v>
      </c>
      <c r="V7" s="199">
        <f t="shared" si="0"/>
        <v>824.89999999999986</v>
      </c>
      <c r="W7" s="199">
        <f t="shared" si="0"/>
        <v>802.89999999999986</v>
      </c>
      <c r="X7" s="199">
        <f t="shared" si="0"/>
        <v>802.89999999999986</v>
      </c>
      <c r="Y7" s="199">
        <f t="shared" si="0"/>
        <v>422.90000000000009</v>
      </c>
      <c r="Z7" s="199">
        <f t="shared" si="0"/>
        <v>422.90000000000009</v>
      </c>
      <c r="AC7" s="122" t="s">
        <v>298</v>
      </c>
    </row>
    <row r="8" spans="1:29" x14ac:dyDescent="0.25">
      <c r="A8" s="159"/>
      <c r="B8" s="186" t="s">
        <v>223</v>
      </c>
      <c r="C8" s="184"/>
      <c r="D8" s="169"/>
      <c r="E8" s="131"/>
      <c r="H8" s="122" t="s">
        <v>331</v>
      </c>
      <c r="I8" s="122" t="s">
        <v>339</v>
      </c>
      <c r="M8" s="122">
        <v>2010</v>
      </c>
      <c r="N8" s="122">
        <v>2015</v>
      </c>
      <c r="O8" s="122">
        <v>2020</v>
      </c>
      <c r="P8" s="122">
        <v>2025</v>
      </c>
      <c r="Q8" s="122">
        <v>2030</v>
      </c>
      <c r="R8" s="122">
        <v>2035</v>
      </c>
      <c r="S8" s="122">
        <v>2040</v>
      </c>
      <c r="T8" s="122">
        <v>2045</v>
      </c>
      <c r="U8" s="122">
        <v>2050</v>
      </c>
      <c r="V8" s="122">
        <v>2060</v>
      </c>
      <c r="W8" s="122">
        <v>2070</v>
      </c>
      <c r="X8" s="122">
        <v>2080</v>
      </c>
      <c r="Y8" s="122">
        <v>2090</v>
      </c>
      <c r="Z8" s="122">
        <v>2100</v>
      </c>
      <c r="AC8" s="122" t="s">
        <v>297</v>
      </c>
    </row>
    <row r="9" spans="1:29" x14ac:dyDescent="0.25">
      <c r="A9" s="159"/>
      <c r="B9" s="186" t="s">
        <v>303</v>
      </c>
      <c r="C9" s="170" t="s">
        <v>302</v>
      </c>
      <c r="D9" s="169">
        <v>2400</v>
      </c>
      <c r="E9" s="131" t="s">
        <v>221</v>
      </c>
      <c r="F9" s="122" t="str">
        <f>"AZ"&amp;RIGHT(E9,1)</f>
        <v>AZ1</v>
      </c>
      <c r="G9" s="122" t="str">
        <f>IF(J9&gt;0,"Power plants "&amp;J9&amp;" "&amp;H9&amp;" "&amp;E9,"")</f>
        <v>Power plants TPP 1981 -1990 AZ 1</v>
      </c>
      <c r="H9" s="122" t="str">
        <f>C9</f>
        <v>1981 -1990</v>
      </c>
      <c r="I9" s="122">
        <v>35</v>
      </c>
      <c r="J9" s="122" t="s">
        <v>335</v>
      </c>
      <c r="M9" s="199">
        <f>D9</f>
        <v>2400</v>
      </c>
      <c r="N9" s="199">
        <f>M9</f>
        <v>2400</v>
      </c>
      <c r="O9" s="199">
        <f>N9</f>
        <v>2400</v>
      </c>
      <c r="P9" s="122">
        <v>0</v>
      </c>
      <c r="Q9" s="122">
        <v>0</v>
      </c>
      <c r="AC9" s="122" t="s">
        <v>296</v>
      </c>
    </row>
    <row r="10" spans="1:29" x14ac:dyDescent="0.25">
      <c r="A10" s="159"/>
      <c r="B10" s="186" t="s">
        <v>301</v>
      </c>
      <c r="C10" s="170">
        <v>2013</v>
      </c>
      <c r="D10" s="169">
        <v>780</v>
      </c>
      <c r="E10" s="131" t="s">
        <v>221</v>
      </c>
      <c r="F10" s="122" t="str">
        <f t="shared" ref="F10:F73" si="1">"AZ"&amp;RIGHT(E10,1)</f>
        <v>AZ1</v>
      </c>
      <c r="G10" s="122" t="str">
        <f t="shared" ref="G10:G73" si="2">IF(J10&gt;0,"Power plants "&amp;J10&amp;" "&amp;H10&amp;" "&amp;E10,"")</f>
        <v>Power plants Janub CCPP 2013 AZ 1</v>
      </c>
      <c r="H10" s="122">
        <f>C10</f>
        <v>2013</v>
      </c>
      <c r="I10" s="122">
        <v>30</v>
      </c>
      <c r="J10" s="122" t="str">
        <f>B10</f>
        <v>Janub CCPP</v>
      </c>
      <c r="L10" s="122" t="s">
        <v>322</v>
      </c>
      <c r="M10" s="122">
        <f>IF(($H10+$I10)&gt;M$8,IF($H10&lt;=M$8,$D10,0),0)</f>
        <v>0</v>
      </c>
      <c r="N10" s="122">
        <f t="shared" ref="N10:Z25" si="3">IF(($H10+$I10)&gt;N$8,IF($H10&lt;=N$8,$D10,0),0)</f>
        <v>780</v>
      </c>
      <c r="O10" s="122">
        <f t="shared" si="3"/>
        <v>780</v>
      </c>
      <c r="P10" s="122">
        <f t="shared" si="3"/>
        <v>780</v>
      </c>
      <c r="Q10" s="122">
        <f t="shared" si="3"/>
        <v>780</v>
      </c>
      <c r="R10" s="122">
        <f t="shared" si="3"/>
        <v>780</v>
      </c>
      <c r="S10" s="122">
        <f t="shared" si="3"/>
        <v>780</v>
      </c>
      <c r="T10" s="122">
        <f t="shared" si="3"/>
        <v>0</v>
      </c>
      <c r="U10" s="122">
        <f t="shared" si="3"/>
        <v>0</v>
      </c>
      <c r="V10" s="122">
        <f t="shared" si="3"/>
        <v>0</v>
      </c>
      <c r="W10" s="122">
        <f t="shared" si="3"/>
        <v>0</v>
      </c>
      <c r="X10" s="122">
        <f t="shared" si="3"/>
        <v>0</v>
      </c>
      <c r="Y10" s="122">
        <f t="shared" si="3"/>
        <v>0</v>
      </c>
      <c r="Z10" s="122">
        <f t="shared" si="3"/>
        <v>0</v>
      </c>
      <c r="AC10" s="122" t="s">
        <v>323</v>
      </c>
    </row>
    <row r="11" spans="1:29" x14ac:dyDescent="0.25">
      <c r="A11" s="159"/>
      <c r="B11" s="186" t="s">
        <v>300</v>
      </c>
      <c r="C11" s="170">
        <v>2009</v>
      </c>
      <c r="D11" s="169">
        <v>525.29999999999995</v>
      </c>
      <c r="E11" s="131" t="s">
        <v>221</v>
      </c>
      <c r="F11" s="122" t="str">
        <f t="shared" si="1"/>
        <v>AZ1</v>
      </c>
      <c r="G11" s="122" t="str">
        <f t="shared" si="2"/>
        <v>Power plants Sumgait CCPP 2009 AZ 1</v>
      </c>
      <c r="H11" s="122">
        <f t="shared" ref="H11:H21" si="4">C11</f>
        <v>2009</v>
      </c>
      <c r="I11" s="122">
        <v>30</v>
      </c>
      <c r="J11" s="122" t="str">
        <f>B11</f>
        <v>Sumgait CCPP</v>
      </c>
      <c r="L11" s="122" t="s">
        <v>322</v>
      </c>
      <c r="M11" s="122">
        <f t="shared" ref="M11:Z42" si="5">IF(($H11+$I11)&gt;M$8,IF($H11&lt;=M$8,$D11,0),0)</f>
        <v>525.29999999999995</v>
      </c>
      <c r="N11" s="122">
        <f t="shared" si="3"/>
        <v>525.29999999999995</v>
      </c>
      <c r="O11" s="122">
        <f t="shared" si="3"/>
        <v>525.29999999999995</v>
      </c>
      <c r="P11" s="122">
        <f t="shared" si="3"/>
        <v>525.29999999999995</v>
      </c>
      <c r="Q11" s="122">
        <f t="shared" si="3"/>
        <v>525.29999999999995</v>
      </c>
      <c r="R11" s="122">
        <f t="shared" si="3"/>
        <v>525.29999999999995</v>
      </c>
      <c r="S11" s="122">
        <f t="shared" si="3"/>
        <v>0</v>
      </c>
      <c r="T11" s="122">
        <f t="shared" si="3"/>
        <v>0</v>
      </c>
      <c r="U11" s="122">
        <f t="shared" si="3"/>
        <v>0</v>
      </c>
      <c r="V11" s="122">
        <f t="shared" si="3"/>
        <v>0</v>
      </c>
      <c r="W11" s="122">
        <f t="shared" si="3"/>
        <v>0</v>
      </c>
      <c r="X11" s="122">
        <f t="shared" si="3"/>
        <v>0</v>
      </c>
      <c r="Y11" s="122">
        <f t="shared" si="3"/>
        <v>0</v>
      </c>
      <c r="Z11" s="122">
        <f t="shared" si="3"/>
        <v>0</v>
      </c>
      <c r="AC11" s="122" t="s">
        <v>289</v>
      </c>
    </row>
    <row r="12" spans="1:29" x14ac:dyDescent="0.25">
      <c r="A12" s="159"/>
      <c r="B12" s="186" t="s">
        <v>299</v>
      </c>
      <c r="C12" s="170">
        <v>2002</v>
      </c>
      <c r="D12" s="169">
        <v>400</v>
      </c>
      <c r="E12" s="131" t="s">
        <v>221</v>
      </c>
      <c r="F12" s="122" t="str">
        <f t="shared" si="1"/>
        <v>AZ1</v>
      </c>
      <c r="G12" s="122" t="str">
        <f t="shared" si="2"/>
        <v>Power plants Shimal 1 CCPP 2002 AZ 1</v>
      </c>
      <c r="H12" s="122">
        <f t="shared" si="4"/>
        <v>2002</v>
      </c>
      <c r="I12" s="122">
        <v>30</v>
      </c>
      <c r="J12" s="122" t="str">
        <f>B12</f>
        <v>Shimal 1 CCPP</v>
      </c>
      <c r="L12" s="122" t="s">
        <v>326</v>
      </c>
      <c r="M12" s="122">
        <f t="shared" si="5"/>
        <v>400</v>
      </c>
      <c r="N12" s="122">
        <f t="shared" si="3"/>
        <v>400</v>
      </c>
      <c r="O12" s="122">
        <f t="shared" si="3"/>
        <v>400</v>
      </c>
      <c r="P12" s="122">
        <f t="shared" si="3"/>
        <v>400</v>
      </c>
      <c r="Q12" s="122">
        <f t="shared" si="3"/>
        <v>400</v>
      </c>
      <c r="R12" s="122">
        <f t="shared" si="3"/>
        <v>0</v>
      </c>
      <c r="S12" s="122">
        <f t="shared" si="3"/>
        <v>0</v>
      </c>
      <c r="T12" s="122">
        <f t="shared" si="3"/>
        <v>0</v>
      </c>
      <c r="U12" s="122">
        <f t="shared" si="3"/>
        <v>0</v>
      </c>
      <c r="V12" s="122">
        <f t="shared" si="3"/>
        <v>0</v>
      </c>
      <c r="W12" s="122">
        <f t="shared" si="3"/>
        <v>0</v>
      </c>
      <c r="X12" s="122">
        <f t="shared" si="3"/>
        <v>0</v>
      </c>
      <c r="Y12" s="122">
        <f t="shared" si="3"/>
        <v>0</v>
      </c>
      <c r="Z12" s="122">
        <f t="shared" si="3"/>
        <v>0</v>
      </c>
      <c r="AC12" s="122" t="s">
        <v>288</v>
      </c>
    </row>
    <row r="13" spans="1:29" x14ac:dyDescent="0.25">
      <c r="A13" s="159"/>
      <c r="B13" s="186" t="s">
        <v>298</v>
      </c>
      <c r="C13" s="170">
        <v>2019</v>
      </c>
      <c r="D13" s="169">
        <v>409</v>
      </c>
      <c r="E13" s="131" t="s">
        <v>221</v>
      </c>
      <c r="F13" s="122" t="str">
        <f t="shared" si="1"/>
        <v>AZ1</v>
      </c>
      <c r="G13" s="122" t="str">
        <f t="shared" si="2"/>
        <v>Power plants Shimal 2  CCPP 2019 AZ 1</v>
      </c>
      <c r="H13" s="122">
        <f t="shared" si="4"/>
        <v>2019</v>
      </c>
      <c r="I13" s="122">
        <v>30</v>
      </c>
      <c r="J13" s="122" t="str">
        <f>B13</f>
        <v>Shimal 2  CCPP</v>
      </c>
      <c r="L13" s="122" t="s">
        <v>326</v>
      </c>
      <c r="M13" s="122">
        <f t="shared" si="5"/>
        <v>0</v>
      </c>
      <c r="N13" s="122">
        <f t="shared" si="3"/>
        <v>0</v>
      </c>
      <c r="O13" s="122">
        <f t="shared" si="3"/>
        <v>409</v>
      </c>
      <c r="P13" s="122">
        <f t="shared" si="3"/>
        <v>409</v>
      </c>
      <c r="Q13" s="122">
        <f t="shared" si="3"/>
        <v>409</v>
      </c>
      <c r="R13" s="122">
        <f t="shared" si="3"/>
        <v>409</v>
      </c>
      <c r="S13" s="122">
        <f t="shared" si="3"/>
        <v>409</v>
      </c>
      <c r="T13" s="122">
        <f t="shared" si="3"/>
        <v>409</v>
      </c>
      <c r="U13" s="122">
        <f t="shared" si="3"/>
        <v>0</v>
      </c>
      <c r="V13" s="122">
        <f t="shared" si="3"/>
        <v>0</v>
      </c>
      <c r="W13" s="122">
        <f t="shared" si="3"/>
        <v>0</v>
      </c>
      <c r="X13" s="122">
        <f t="shared" si="3"/>
        <v>0</v>
      </c>
      <c r="Y13" s="122">
        <f t="shared" si="3"/>
        <v>0</v>
      </c>
      <c r="Z13" s="122">
        <f t="shared" si="3"/>
        <v>0</v>
      </c>
      <c r="AC13" s="122" t="s">
        <v>287</v>
      </c>
    </row>
    <row r="14" spans="1:29" x14ac:dyDescent="0.25">
      <c r="A14" s="159"/>
      <c r="B14" s="186" t="s">
        <v>297</v>
      </c>
      <c r="C14" s="170">
        <v>2001</v>
      </c>
      <c r="D14" s="169">
        <v>107</v>
      </c>
      <c r="E14" s="131" t="s">
        <v>221</v>
      </c>
      <c r="F14" s="122" t="str">
        <f t="shared" si="1"/>
        <v>AZ1</v>
      </c>
      <c r="G14" s="122" t="str">
        <f t="shared" si="2"/>
        <v>Power plants Baku CHP 2001 AZ 1</v>
      </c>
      <c r="H14" s="122">
        <f t="shared" si="4"/>
        <v>2001</v>
      </c>
      <c r="I14" s="122">
        <v>30</v>
      </c>
      <c r="J14" s="122" t="s">
        <v>297</v>
      </c>
      <c r="L14" s="122" t="s">
        <v>322</v>
      </c>
      <c r="M14" s="122">
        <f t="shared" si="5"/>
        <v>107</v>
      </c>
      <c r="N14" s="122">
        <f t="shared" si="3"/>
        <v>107</v>
      </c>
      <c r="O14" s="122">
        <f t="shared" si="3"/>
        <v>107</v>
      </c>
      <c r="P14" s="122">
        <f t="shared" si="3"/>
        <v>107</v>
      </c>
      <c r="Q14" s="122">
        <f t="shared" si="3"/>
        <v>107</v>
      </c>
      <c r="R14" s="122">
        <f t="shared" si="3"/>
        <v>0</v>
      </c>
      <c r="S14" s="122">
        <f t="shared" si="3"/>
        <v>0</v>
      </c>
      <c r="T14" s="122">
        <f t="shared" si="3"/>
        <v>0</v>
      </c>
      <c r="U14" s="122">
        <f t="shared" si="3"/>
        <v>0</v>
      </c>
      <c r="V14" s="122">
        <f t="shared" si="3"/>
        <v>0</v>
      </c>
      <c r="W14" s="122">
        <f t="shared" si="3"/>
        <v>0</v>
      </c>
      <c r="X14" s="122">
        <f t="shared" si="3"/>
        <v>0</v>
      </c>
      <c r="Y14" s="122">
        <f t="shared" si="3"/>
        <v>0</v>
      </c>
      <c r="Z14" s="122">
        <f t="shared" si="3"/>
        <v>0</v>
      </c>
      <c r="AC14" s="122" t="s">
        <v>329</v>
      </c>
    </row>
    <row r="15" spans="1:29" x14ac:dyDescent="0.25">
      <c r="A15" s="159"/>
      <c r="B15" s="186" t="s">
        <v>296</v>
      </c>
      <c r="C15" s="170">
        <v>2007</v>
      </c>
      <c r="D15" s="169">
        <v>104.4</v>
      </c>
      <c r="E15" s="131" t="s">
        <v>221</v>
      </c>
      <c r="F15" s="122" t="str">
        <f t="shared" si="1"/>
        <v>AZ1</v>
      </c>
      <c r="G15" s="122" t="str">
        <f t="shared" si="2"/>
        <v>Power plants Baku TPP 2007 AZ 1</v>
      </c>
      <c r="H15" s="122">
        <f t="shared" si="4"/>
        <v>2007</v>
      </c>
      <c r="I15" s="122">
        <v>30</v>
      </c>
      <c r="J15" s="122" t="s">
        <v>594</v>
      </c>
      <c r="L15" s="122" t="s">
        <v>322</v>
      </c>
      <c r="M15" s="122">
        <f t="shared" si="5"/>
        <v>104.4</v>
      </c>
      <c r="N15" s="122">
        <f t="shared" si="3"/>
        <v>104.4</v>
      </c>
      <c r="O15" s="122">
        <f t="shared" si="3"/>
        <v>104.4</v>
      </c>
      <c r="P15" s="122">
        <f t="shared" si="3"/>
        <v>104.4</v>
      </c>
      <c r="Q15" s="122">
        <f t="shared" si="3"/>
        <v>104.4</v>
      </c>
      <c r="R15" s="122">
        <f t="shared" si="3"/>
        <v>104.4</v>
      </c>
      <c r="S15" s="122">
        <f t="shared" si="3"/>
        <v>0</v>
      </c>
      <c r="T15" s="122">
        <f t="shared" si="3"/>
        <v>0</v>
      </c>
      <c r="U15" s="122">
        <f t="shared" si="3"/>
        <v>0</v>
      </c>
      <c r="V15" s="122">
        <f t="shared" si="3"/>
        <v>0</v>
      </c>
      <c r="W15" s="122">
        <f t="shared" si="3"/>
        <v>0</v>
      </c>
      <c r="X15" s="122">
        <f t="shared" si="3"/>
        <v>0</v>
      </c>
      <c r="Y15" s="122">
        <f t="shared" si="3"/>
        <v>0</v>
      </c>
      <c r="Z15" s="122">
        <f t="shared" si="3"/>
        <v>0</v>
      </c>
      <c r="AC15" s="122" t="s">
        <v>149</v>
      </c>
    </row>
    <row r="16" spans="1:29" x14ac:dyDescent="0.25">
      <c r="A16" s="159"/>
      <c r="B16" s="186" t="s">
        <v>295</v>
      </c>
      <c r="C16" s="170">
        <v>2008</v>
      </c>
      <c r="D16" s="169">
        <v>299.3</v>
      </c>
      <c r="E16" s="131" t="s">
        <v>221</v>
      </c>
      <c r="F16" s="122" t="str">
        <f t="shared" si="1"/>
        <v>AZ1</v>
      </c>
      <c r="G16" s="122" t="str">
        <f t="shared" si="2"/>
        <v>Power plants Baku TPP 2008 AZ 1</v>
      </c>
      <c r="H16" s="122">
        <f t="shared" si="4"/>
        <v>2008</v>
      </c>
      <c r="I16" s="122">
        <v>30</v>
      </c>
      <c r="J16" s="122" t="s">
        <v>594</v>
      </c>
      <c r="L16" s="122" t="s">
        <v>322</v>
      </c>
      <c r="M16" s="122">
        <f t="shared" si="5"/>
        <v>299.3</v>
      </c>
      <c r="N16" s="122">
        <f t="shared" si="3"/>
        <v>299.3</v>
      </c>
      <c r="O16" s="122">
        <f t="shared" si="3"/>
        <v>299.3</v>
      </c>
      <c r="P16" s="122">
        <f t="shared" si="3"/>
        <v>299.3</v>
      </c>
      <c r="Q16" s="122">
        <f t="shared" si="3"/>
        <v>299.3</v>
      </c>
      <c r="R16" s="122">
        <f t="shared" si="3"/>
        <v>299.3</v>
      </c>
      <c r="S16" s="122">
        <f t="shared" si="3"/>
        <v>0</v>
      </c>
      <c r="T16" s="122">
        <f t="shared" si="3"/>
        <v>0</v>
      </c>
      <c r="U16" s="122">
        <f t="shared" si="3"/>
        <v>0</v>
      </c>
      <c r="V16" s="122">
        <f t="shared" si="3"/>
        <v>0</v>
      </c>
      <c r="W16" s="122">
        <f t="shared" si="3"/>
        <v>0</v>
      </c>
      <c r="X16" s="122">
        <f t="shared" si="3"/>
        <v>0</v>
      </c>
      <c r="Y16" s="122">
        <f t="shared" si="3"/>
        <v>0</v>
      </c>
      <c r="Z16" s="122">
        <f t="shared" si="3"/>
        <v>0</v>
      </c>
      <c r="AC16" s="122" t="s">
        <v>335</v>
      </c>
    </row>
    <row r="17" spans="1:29" x14ac:dyDescent="0.25">
      <c r="A17" s="159"/>
      <c r="B17" s="186" t="s">
        <v>294</v>
      </c>
      <c r="C17" s="170">
        <v>2006</v>
      </c>
      <c r="D17" s="169">
        <v>87</v>
      </c>
      <c r="E17" s="131" t="s">
        <v>221</v>
      </c>
      <c r="F17" s="122" t="str">
        <f t="shared" si="1"/>
        <v>AZ1</v>
      </c>
      <c r="G17" s="122" t="str">
        <f t="shared" si="2"/>
        <v>Power plants Other TPP 2006 AZ 1</v>
      </c>
      <c r="H17" s="122">
        <f t="shared" si="4"/>
        <v>2006</v>
      </c>
      <c r="I17" s="122">
        <v>30</v>
      </c>
      <c r="J17" s="122" t="s">
        <v>595</v>
      </c>
      <c r="L17" s="122" t="s">
        <v>325</v>
      </c>
      <c r="M17" s="122">
        <f t="shared" si="5"/>
        <v>87</v>
      </c>
      <c r="N17" s="122">
        <f t="shared" si="3"/>
        <v>87</v>
      </c>
      <c r="O17" s="122">
        <f t="shared" si="3"/>
        <v>87</v>
      </c>
      <c r="P17" s="122">
        <f t="shared" si="3"/>
        <v>87</v>
      </c>
      <c r="Q17" s="122">
        <f t="shared" si="3"/>
        <v>87</v>
      </c>
      <c r="R17" s="122">
        <f t="shared" si="3"/>
        <v>87</v>
      </c>
      <c r="S17" s="122">
        <f t="shared" si="3"/>
        <v>0</v>
      </c>
      <c r="T17" s="122">
        <f t="shared" si="3"/>
        <v>0</v>
      </c>
      <c r="U17" s="122">
        <f t="shared" si="3"/>
        <v>0</v>
      </c>
      <c r="V17" s="122">
        <f t="shared" si="3"/>
        <v>0</v>
      </c>
      <c r="W17" s="122">
        <f t="shared" si="3"/>
        <v>0</v>
      </c>
      <c r="X17" s="122">
        <f t="shared" si="3"/>
        <v>0</v>
      </c>
      <c r="Y17" s="122">
        <f t="shared" si="3"/>
        <v>0</v>
      </c>
      <c r="Z17" s="122">
        <f t="shared" si="3"/>
        <v>0</v>
      </c>
      <c r="AC17" s="122" t="s">
        <v>336</v>
      </c>
    </row>
    <row r="18" spans="1:29" x14ac:dyDescent="0.25">
      <c r="A18" s="159"/>
      <c r="B18" s="186" t="s">
        <v>293</v>
      </c>
      <c r="C18" s="170">
        <v>2006</v>
      </c>
      <c r="D18" s="169">
        <v>87</v>
      </c>
      <c r="E18" s="131" t="s">
        <v>221</v>
      </c>
      <c r="F18" s="122" t="str">
        <f t="shared" si="1"/>
        <v>AZ1</v>
      </c>
      <c r="G18" s="122" t="str">
        <f t="shared" si="2"/>
        <v>Power plants Other TPP 2006 AZ 1</v>
      </c>
      <c r="H18" s="122">
        <f t="shared" si="4"/>
        <v>2006</v>
      </c>
      <c r="I18" s="122">
        <v>30</v>
      </c>
      <c r="J18" s="122" t="s">
        <v>595</v>
      </c>
      <c r="L18" s="122" t="s">
        <v>324</v>
      </c>
      <c r="M18" s="122">
        <f t="shared" si="5"/>
        <v>87</v>
      </c>
      <c r="N18" s="122">
        <f t="shared" si="3"/>
        <v>87</v>
      </c>
      <c r="O18" s="122">
        <f t="shared" si="3"/>
        <v>87</v>
      </c>
      <c r="P18" s="122">
        <f t="shared" si="3"/>
        <v>87</v>
      </c>
      <c r="Q18" s="122">
        <f t="shared" si="3"/>
        <v>87</v>
      </c>
      <c r="R18" s="122">
        <f t="shared" si="3"/>
        <v>87</v>
      </c>
      <c r="S18" s="122">
        <f t="shared" si="3"/>
        <v>0</v>
      </c>
      <c r="T18" s="122">
        <f t="shared" si="3"/>
        <v>0</v>
      </c>
      <c r="U18" s="122">
        <f t="shared" si="3"/>
        <v>0</v>
      </c>
      <c r="V18" s="122">
        <f t="shared" si="3"/>
        <v>0</v>
      </c>
      <c r="W18" s="122">
        <f t="shared" si="3"/>
        <v>0</v>
      </c>
      <c r="X18" s="122">
        <f t="shared" si="3"/>
        <v>0</v>
      </c>
      <c r="Y18" s="122">
        <f t="shared" si="3"/>
        <v>0</v>
      </c>
      <c r="Z18" s="122">
        <f t="shared" si="3"/>
        <v>0</v>
      </c>
      <c r="AC18" s="122" t="s">
        <v>260</v>
      </c>
    </row>
    <row r="19" spans="1:29" x14ac:dyDescent="0.25">
      <c r="A19" s="159"/>
      <c r="B19" s="186" t="s">
        <v>292</v>
      </c>
      <c r="C19" s="170">
        <v>2006</v>
      </c>
      <c r="D19" s="169">
        <v>87</v>
      </c>
      <c r="E19" s="131" t="s">
        <v>221</v>
      </c>
      <c r="F19" s="122" t="str">
        <f t="shared" si="1"/>
        <v>AZ1</v>
      </c>
      <c r="G19" s="122" t="str">
        <f t="shared" si="2"/>
        <v>Power plants Other TPP 2006 AZ 1</v>
      </c>
      <c r="H19" s="122">
        <f t="shared" si="4"/>
        <v>2006</v>
      </c>
      <c r="I19" s="122">
        <v>30</v>
      </c>
      <c r="J19" s="122" t="s">
        <v>595</v>
      </c>
      <c r="L19" s="122" t="s">
        <v>326</v>
      </c>
      <c r="M19" s="122">
        <f t="shared" si="5"/>
        <v>87</v>
      </c>
      <c r="N19" s="122">
        <f t="shared" si="3"/>
        <v>87</v>
      </c>
      <c r="O19" s="122">
        <f t="shared" si="3"/>
        <v>87</v>
      </c>
      <c r="P19" s="122">
        <f t="shared" si="3"/>
        <v>87</v>
      </c>
      <c r="Q19" s="122">
        <f t="shared" si="3"/>
        <v>87</v>
      </c>
      <c r="R19" s="122">
        <f t="shared" si="3"/>
        <v>87</v>
      </c>
      <c r="S19" s="122">
        <f t="shared" si="3"/>
        <v>0</v>
      </c>
      <c r="T19" s="122">
        <f t="shared" si="3"/>
        <v>0</v>
      </c>
      <c r="U19" s="122">
        <f t="shared" si="3"/>
        <v>0</v>
      </c>
      <c r="V19" s="122">
        <f t="shared" si="3"/>
        <v>0</v>
      </c>
      <c r="W19" s="122">
        <f t="shared" si="3"/>
        <v>0</v>
      </c>
      <c r="X19" s="122">
        <f t="shared" si="3"/>
        <v>0</v>
      </c>
      <c r="Y19" s="122">
        <f t="shared" si="3"/>
        <v>0</v>
      </c>
      <c r="Z19" s="122">
        <f t="shared" si="3"/>
        <v>0</v>
      </c>
      <c r="AC19" s="122" t="s">
        <v>259</v>
      </c>
    </row>
    <row r="20" spans="1:29" x14ac:dyDescent="0.25">
      <c r="A20" s="159"/>
      <c r="B20" s="186" t="s">
        <v>291</v>
      </c>
      <c r="C20" s="170">
        <v>2009</v>
      </c>
      <c r="D20" s="169">
        <v>104.4</v>
      </c>
      <c r="E20" s="131" t="s">
        <v>221</v>
      </c>
      <c r="F20" s="122" t="str">
        <f t="shared" si="1"/>
        <v>AZ1</v>
      </c>
      <c r="G20" s="122" t="str">
        <f t="shared" si="2"/>
        <v>Power plants Other TPP 2009 AZ 1</v>
      </c>
      <c r="H20" s="122">
        <f t="shared" si="4"/>
        <v>2009</v>
      </c>
      <c r="I20" s="122">
        <v>30</v>
      </c>
      <c r="J20" s="122" t="s">
        <v>595</v>
      </c>
      <c r="L20" s="122" t="s">
        <v>326</v>
      </c>
      <c r="M20" s="122">
        <f t="shared" si="5"/>
        <v>104.4</v>
      </c>
      <c r="N20" s="122">
        <f t="shared" si="3"/>
        <v>104.4</v>
      </c>
      <c r="O20" s="122">
        <f t="shared" si="3"/>
        <v>104.4</v>
      </c>
      <c r="P20" s="122">
        <f t="shared" si="3"/>
        <v>104.4</v>
      </c>
      <c r="Q20" s="122">
        <f t="shared" si="3"/>
        <v>104.4</v>
      </c>
      <c r="R20" s="122">
        <f t="shared" si="3"/>
        <v>104.4</v>
      </c>
      <c r="S20" s="122">
        <f t="shared" si="3"/>
        <v>0</v>
      </c>
      <c r="T20" s="122">
        <f t="shared" si="3"/>
        <v>0</v>
      </c>
      <c r="U20" s="122">
        <f t="shared" si="3"/>
        <v>0</v>
      </c>
      <c r="V20" s="122">
        <f t="shared" si="3"/>
        <v>0</v>
      </c>
      <c r="W20" s="122">
        <f t="shared" si="3"/>
        <v>0</v>
      </c>
      <c r="X20" s="122">
        <f t="shared" si="3"/>
        <v>0</v>
      </c>
      <c r="Y20" s="122">
        <f t="shared" si="3"/>
        <v>0</v>
      </c>
      <c r="Z20" s="122">
        <f t="shared" si="3"/>
        <v>0</v>
      </c>
      <c r="AC20" s="122" t="s">
        <v>258</v>
      </c>
    </row>
    <row r="21" spans="1:29" x14ac:dyDescent="0.25">
      <c r="A21" s="159"/>
      <c r="B21" s="186" t="s">
        <v>290</v>
      </c>
      <c r="C21" s="170">
        <v>2018</v>
      </c>
      <c r="D21" s="169">
        <v>16.5</v>
      </c>
      <c r="E21" s="131" t="s">
        <v>221</v>
      </c>
      <c r="F21" s="122" t="str">
        <f t="shared" si="1"/>
        <v>AZ1</v>
      </c>
      <c r="G21" s="122" t="str">
        <f t="shared" si="2"/>
        <v>Power plants Other TPP 2018 AZ 1</v>
      </c>
      <c r="H21" s="122">
        <f t="shared" si="4"/>
        <v>2018</v>
      </c>
      <c r="I21" s="122">
        <v>30</v>
      </c>
      <c r="J21" s="122" t="s">
        <v>595</v>
      </c>
      <c r="L21" s="122" t="s">
        <v>325</v>
      </c>
      <c r="M21" s="122">
        <f t="shared" si="5"/>
        <v>0</v>
      </c>
      <c r="N21" s="122">
        <f t="shared" si="3"/>
        <v>0</v>
      </c>
      <c r="O21" s="122">
        <f t="shared" si="3"/>
        <v>16.5</v>
      </c>
      <c r="P21" s="122">
        <f t="shared" si="3"/>
        <v>16.5</v>
      </c>
      <c r="Q21" s="122">
        <f t="shared" si="3"/>
        <v>16.5</v>
      </c>
      <c r="R21" s="122">
        <f t="shared" si="3"/>
        <v>16.5</v>
      </c>
      <c r="S21" s="122">
        <f t="shared" si="3"/>
        <v>16.5</v>
      </c>
      <c r="T21" s="122">
        <f t="shared" si="3"/>
        <v>16.5</v>
      </c>
      <c r="U21" s="122">
        <f t="shared" si="3"/>
        <v>0</v>
      </c>
      <c r="V21" s="122">
        <f t="shared" si="3"/>
        <v>0</v>
      </c>
      <c r="W21" s="122">
        <f t="shared" si="3"/>
        <v>0</v>
      </c>
      <c r="X21" s="122">
        <f t="shared" si="3"/>
        <v>0</v>
      </c>
      <c r="Y21" s="122">
        <f t="shared" si="3"/>
        <v>0</v>
      </c>
      <c r="Z21" s="122">
        <f t="shared" si="3"/>
        <v>0</v>
      </c>
      <c r="AC21" s="122" t="s">
        <v>337</v>
      </c>
    </row>
    <row r="22" spans="1:29" x14ac:dyDescent="0.25">
      <c r="A22" s="159"/>
      <c r="B22" s="171"/>
      <c r="C22" s="170"/>
      <c r="D22" s="169"/>
      <c r="E22" s="131"/>
      <c r="F22" s="122" t="str">
        <f t="shared" si="1"/>
        <v>AZ</v>
      </c>
      <c r="G22" s="122" t="str">
        <f t="shared" si="2"/>
        <v/>
      </c>
      <c r="M22" s="122">
        <f t="shared" si="5"/>
        <v>0</v>
      </c>
      <c r="N22" s="122">
        <f t="shared" si="3"/>
        <v>0</v>
      </c>
      <c r="O22" s="122">
        <f t="shared" si="3"/>
        <v>0</v>
      </c>
      <c r="P22" s="122">
        <f t="shared" si="3"/>
        <v>0</v>
      </c>
      <c r="Q22" s="122">
        <f t="shared" si="3"/>
        <v>0</v>
      </c>
      <c r="R22" s="122">
        <f t="shared" si="3"/>
        <v>0</v>
      </c>
      <c r="S22" s="122">
        <f t="shared" si="3"/>
        <v>0</v>
      </c>
      <c r="T22" s="122">
        <f t="shared" si="3"/>
        <v>0</v>
      </c>
      <c r="U22" s="122">
        <f t="shared" si="3"/>
        <v>0</v>
      </c>
      <c r="V22" s="122">
        <f t="shared" si="3"/>
        <v>0</v>
      </c>
      <c r="W22" s="122">
        <f t="shared" si="3"/>
        <v>0</v>
      </c>
      <c r="X22" s="122">
        <f t="shared" si="3"/>
        <v>0</v>
      </c>
      <c r="Y22" s="122">
        <f t="shared" si="3"/>
        <v>0</v>
      </c>
      <c r="Z22" s="122">
        <f t="shared" si="3"/>
        <v>0</v>
      </c>
      <c r="AC22" s="122" t="s">
        <v>248</v>
      </c>
    </row>
    <row r="23" spans="1:29" x14ac:dyDescent="0.25">
      <c r="A23" s="159"/>
      <c r="B23" s="185" t="s">
        <v>224</v>
      </c>
      <c r="C23" s="184"/>
      <c r="D23" s="169">
        <v>1055</v>
      </c>
      <c r="E23" s="131"/>
      <c r="F23" s="122" t="str">
        <f t="shared" si="1"/>
        <v>AZ</v>
      </c>
      <c r="G23" s="122" t="str">
        <f t="shared" si="2"/>
        <v/>
      </c>
      <c r="M23" s="122">
        <f t="shared" si="5"/>
        <v>0</v>
      </c>
      <c r="N23" s="122">
        <f t="shared" si="3"/>
        <v>0</v>
      </c>
      <c r="O23" s="122">
        <f t="shared" si="3"/>
        <v>0</v>
      </c>
      <c r="P23" s="122">
        <f t="shared" si="3"/>
        <v>0</v>
      </c>
      <c r="Q23" s="122">
        <f t="shared" si="3"/>
        <v>0</v>
      </c>
      <c r="R23" s="122">
        <f t="shared" si="3"/>
        <v>0</v>
      </c>
      <c r="S23" s="122">
        <f t="shared" si="3"/>
        <v>0</v>
      </c>
      <c r="T23" s="122">
        <f t="shared" si="3"/>
        <v>0</v>
      </c>
      <c r="U23" s="122">
        <f t="shared" si="3"/>
        <v>0</v>
      </c>
      <c r="V23" s="122">
        <f t="shared" si="3"/>
        <v>0</v>
      </c>
      <c r="W23" s="122">
        <f t="shared" si="3"/>
        <v>0</v>
      </c>
      <c r="X23" s="122">
        <f t="shared" si="3"/>
        <v>0</v>
      </c>
      <c r="Y23" s="122">
        <f t="shared" si="3"/>
        <v>0</v>
      </c>
      <c r="Z23" s="122">
        <f t="shared" si="3"/>
        <v>0</v>
      </c>
      <c r="AC23" s="122" t="s">
        <v>338</v>
      </c>
    </row>
    <row r="24" spans="1:29" ht="13.8" x14ac:dyDescent="0.3">
      <c r="A24" s="159"/>
      <c r="B24" s="171" t="s">
        <v>602</v>
      </c>
      <c r="C24" s="170">
        <v>1955</v>
      </c>
      <c r="D24" s="169">
        <v>424.6</v>
      </c>
      <c r="E24" s="131" t="s">
        <v>221</v>
      </c>
      <c r="F24" s="122" t="str">
        <f t="shared" si="1"/>
        <v>AZ1</v>
      </c>
      <c r="G24" s="122" t="str">
        <f t="shared" si="2"/>
        <v>Power plants Mingachevir HPP 1955 AZ 1</v>
      </c>
      <c r="H24" s="122">
        <f>C24</f>
        <v>1955</v>
      </c>
      <c r="I24" s="122">
        <v>100</v>
      </c>
      <c r="J24" s="122" t="str">
        <f>B24</f>
        <v>Mingachevir HPP</v>
      </c>
      <c r="L24" s="122" t="s">
        <v>328</v>
      </c>
      <c r="M24" s="122">
        <f t="shared" si="5"/>
        <v>424.6</v>
      </c>
      <c r="N24" s="122">
        <f t="shared" si="3"/>
        <v>424.6</v>
      </c>
      <c r="O24" s="122">
        <f t="shared" si="3"/>
        <v>424.6</v>
      </c>
      <c r="P24" s="122">
        <f t="shared" si="3"/>
        <v>424.6</v>
      </c>
      <c r="Q24" s="122">
        <f t="shared" si="3"/>
        <v>424.6</v>
      </c>
      <c r="R24" s="122">
        <f t="shared" si="3"/>
        <v>424.6</v>
      </c>
      <c r="S24" s="122">
        <f t="shared" si="3"/>
        <v>424.6</v>
      </c>
      <c r="T24" s="122">
        <f t="shared" si="3"/>
        <v>424.6</v>
      </c>
      <c r="U24" s="122">
        <f t="shared" si="3"/>
        <v>424.6</v>
      </c>
      <c r="V24" s="122">
        <f t="shared" si="3"/>
        <v>0</v>
      </c>
      <c r="W24" s="122">
        <f t="shared" si="3"/>
        <v>0</v>
      </c>
      <c r="X24" s="122">
        <f t="shared" si="3"/>
        <v>0</v>
      </c>
      <c r="Y24" s="122">
        <f t="shared" si="3"/>
        <v>0</v>
      </c>
      <c r="Z24" s="122">
        <f t="shared" si="3"/>
        <v>0</v>
      </c>
      <c r="AC24"/>
    </row>
    <row r="25" spans="1:29" ht="13.8" x14ac:dyDescent="0.3">
      <c r="A25" s="159"/>
      <c r="B25" s="171" t="s">
        <v>603</v>
      </c>
      <c r="C25" s="170">
        <v>1983</v>
      </c>
      <c r="D25" s="169">
        <v>380</v>
      </c>
      <c r="E25" s="131" t="s">
        <v>221</v>
      </c>
      <c r="F25" s="122" t="str">
        <f t="shared" si="1"/>
        <v>AZ1</v>
      </c>
      <c r="G25" s="122" t="str">
        <f t="shared" si="2"/>
        <v>Power plants Shamkir  HPP 1983 AZ 1</v>
      </c>
      <c r="H25" s="122">
        <f t="shared" ref="H25:H35" si="6">C25</f>
        <v>1983</v>
      </c>
      <c r="I25" s="122">
        <v>100</v>
      </c>
      <c r="J25" s="122" t="str">
        <f>B25</f>
        <v>Shamkir  HPP</v>
      </c>
      <c r="L25" s="122" t="s">
        <v>321</v>
      </c>
      <c r="M25" s="122">
        <f t="shared" si="5"/>
        <v>380</v>
      </c>
      <c r="N25" s="122">
        <f t="shared" si="3"/>
        <v>380</v>
      </c>
      <c r="O25" s="122">
        <f t="shared" si="3"/>
        <v>380</v>
      </c>
      <c r="P25" s="122">
        <f t="shared" si="3"/>
        <v>380</v>
      </c>
      <c r="Q25" s="122">
        <f t="shared" si="3"/>
        <v>380</v>
      </c>
      <c r="R25" s="122">
        <f t="shared" si="3"/>
        <v>380</v>
      </c>
      <c r="S25" s="122">
        <f t="shared" si="3"/>
        <v>380</v>
      </c>
      <c r="T25" s="122">
        <f t="shared" si="3"/>
        <v>380</v>
      </c>
      <c r="U25" s="122">
        <f t="shared" si="3"/>
        <v>380</v>
      </c>
      <c r="V25" s="122">
        <f t="shared" si="3"/>
        <v>380</v>
      </c>
      <c r="W25" s="122">
        <f t="shared" si="3"/>
        <v>380</v>
      </c>
      <c r="X25" s="122">
        <f t="shared" si="3"/>
        <v>380</v>
      </c>
      <c r="Y25" s="122">
        <f t="shared" si="3"/>
        <v>0</v>
      </c>
      <c r="Z25" s="122">
        <f t="shared" si="3"/>
        <v>0</v>
      </c>
      <c r="AC25"/>
    </row>
    <row r="26" spans="1:29" ht="13.8" x14ac:dyDescent="0.3">
      <c r="A26" s="159"/>
      <c r="B26" s="171" t="s">
        <v>287</v>
      </c>
      <c r="C26" s="170">
        <v>2003</v>
      </c>
      <c r="D26" s="169">
        <v>150</v>
      </c>
      <c r="E26" s="131" t="s">
        <v>221</v>
      </c>
      <c r="F26" s="122" t="str">
        <f t="shared" si="1"/>
        <v>AZ1</v>
      </c>
      <c r="G26" s="122" t="str">
        <f t="shared" si="2"/>
        <v>Power plants Yenikend HPP 2003 AZ 1</v>
      </c>
      <c r="H26" s="122">
        <f t="shared" si="6"/>
        <v>2003</v>
      </c>
      <c r="I26" s="122">
        <v>100</v>
      </c>
      <c r="J26" s="122" t="str">
        <f>B26</f>
        <v>Yenikend HPP</v>
      </c>
      <c r="L26" s="122" t="s">
        <v>321</v>
      </c>
      <c r="M26" s="122">
        <f t="shared" si="5"/>
        <v>150</v>
      </c>
      <c r="N26" s="122">
        <f t="shared" si="5"/>
        <v>150</v>
      </c>
      <c r="O26" s="122">
        <f t="shared" si="5"/>
        <v>150</v>
      </c>
      <c r="P26" s="122">
        <f t="shared" si="5"/>
        <v>150</v>
      </c>
      <c r="Q26" s="122">
        <f t="shared" si="5"/>
        <v>150</v>
      </c>
      <c r="R26" s="122">
        <f t="shared" si="5"/>
        <v>150</v>
      </c>
      <c r="S26" s="122">
        <f t="shared" si="5"/>
        <v>150</v>
      </c>
      <c r="T26" s="122">
        <f t="shared" si="5"/>
        <v>150</v>
      </c>
      <c r="U26" s="122">
        <f t="shared" si="5"/>
        <v>150</v>
      </c>
      <c r="V26" s="122">
        <f t="shared" si="5"/>
        <v>150</v>
      </c>
      <c r="W26" s="122">
        <f t="shared" si="5"/>
        <v>150</v>
      </c>
      <c r="X26" s="122">
        <f t="shared" si="5"/>
        <v>150</v>
      </c>
      <c r="Y26" s="122">
        <f t="shared" si="5"/>
        <v>150</v>
      </c>
      <c r="Z26" s="122">
        <f t="shared" si="5"/>
        <v>150</v>
      </c>
      <c r="AC26"/>
    </row>
    <row r="27" spans="1:29" ht="13.8" x14ac:dyDescent="0.3">
      <c r="A27" s="159"/>
      <c r="B27" s="171" t="s">
        <v>286</v>
      </c>
      <c r="C27" s="170">
        <v>2012</v>
      </c>
      <c r="D27" s="169">
        <v>25</v>
      </c>
      <c r="E27" s="131" t="s">
        <v>221</v>
      </c>
      <c r="F27" s="122" t="str">
        <f t="shared" si="1"/>
        <v>AZ1</v>
      </c>
      <c r="G27" s="122" t="str">
        <f t="shared" si="2"/>
        <v>Power plants Other HPP 2012 AZ 1</v>
      </c>
      <c r="H27" s="122">
        <f t="shared" si="6"/>
        <v>2012</v>
      </c>
      <c r="I27" s="122">
        <v>100</v>
      </c>
      <c r="J27" s="122" t="s">
        <v>329</v>
      </c>
      <c r="L27" s="122" t="s">
        <v>325</v>
      </c>
      <c r="M27" s="122">
        <f t="shared" si="5"/>
        <v>0</v>
      </c>
      <c r="N27" s="122">
        <f t="shared" si="5"/>
        <v>25</v>
      </c>
      <c r="O27" s="122">
        <f t="shared" si="5"/>
        <v>25</v>
      </c>
      <c r="P27" s="122">
        <f t="shared" si="5"/>
        <v>25</v>
      </c>
      <c r="Q27" s="122">
        <f t="shared" si="5"/>
        <v>25</v>
      </c>
      <c r="R27" s="122">
        <f t="shared" si="5"/>
        <v>25</v>
      </c>
      <c r="S27" s="122">
        <f t="shared" si="5"/>
        <v>25</v>
      </c>
      <c r="T27" s="122">
        <f t="shared" si="5"/>
        <v>25</v>
      </c>
      <c r="U27" s="122">
        <f t="shared" si="5"/>
        <v>25</v>
      </c>
      <c r="V27" s="122">
        <f t="shared" si="5"/>
        <v>25</v>
      </c>
      <c r="W27" s="122">
        <f t="shared" si="5"/>
        <v>25</v>
      </c>
      <c r="X27" s="122">
        <f t="shared" si="5"/>
        <v>25</v>
      </c>
      <c r="Y27" s="122">
        <f t="shared" si="5"/>
        <v>25</v>
      </c>
      <c r="Z27" s="122">
        <f t="shared" si="5"/>
        <v>25</v>
      </c>
      <c r="AC27"/>
    </row>
    <row r="28" spans="1:29" ht="13.8" x14ac:dyDescent="0.3">
      <c r="A28" s="159"/>
      <c r="B28" s="171" t="s">
        <v>285</v>
      </c>
      <c r="C28" s="170">
        <v>2013</v>
      </c>
      <c r="D28" s="169">
        <v>25</v>
      </c>
      <c r="E28" s="131" t="s">
        <v>221</v>
      </c>
      <c r="F28" s="122" t="str">
        <f t="shared" si="1"/>
        <v>AZ1</v>
      </c>
      <c r="G28" s="122" t="str">
        <f t="shared" si="2"/>
        <v>Power plants Other HPP 2013 AZ 1</v>
      </c>
      <c r="H28" s="122">
        <f t="shared" si="6"/>
        <v>2013</v>
      </c>
      <c r="I28" s="122">
        <v>100</v>
      </c>
      <c r="J28" s="122" t="s">
        <v>329</v>
      </c>
      <c r="L28" s="122" t="s">
        <v>327</v>
      </c>
      <c r="M28" s="122">
        <f t="shared" si="5"/>
        <v>0</v>
      </c>
      <c r="N28" s="122">
        <f t="shared" si="5"/>
        <v>25</v>
      </c>
      <c r="O28" s="122">
        <f t="shared" si="5"/>
        <v>25</v>
      </c>
      <c r="P28" s="122">
        <f t="shared" si="5"/>
        <v>25</v>
      </c>
      <c r="Q28" s="122">
        <f t="shared" si="5"/>
        <v>25</v>
      </c>
      <c r="R28" s="122">
        <f t="shared" si="5"/>
        <v>25</v>
      </c>
      <c r="S28" s="122">
        <f t="shared" si="5"/>
        <v>25</v>
      </c>
      <c r="T28" s="122">
        <f t="shared" si="5"/>
        <v>25</v>
      </c>
      <c r="U28" s="122">
        <f t="shared" si="5"/>
        <v>25</v>
      </c>
      <c r="V28" s="122">
        <f t="shared" si="5"/>
        <v>25</v>
      </c>
      <c r="W28" s="122">
        <f t="shared" si="5"/>
        <v>25</v>
      </c>
      <c r="X28" s="122">
        <f t="shared" si="5"/>
        <v>25</v>
      </c>
      <c r="Y28" s="122">
        <f t="shared" si="5"/>
        <v>25</v>
      </c>
      <c r="Z28" s="122">
        <f t="shared" si="5"/>
        <v>25</v>
      </c>
      <c r="AC28"/>
    </row>
    <row r="29" spans="1:29" ht="13.8" x14ac:dyDescent="0.3">
      <c r="A29" s="159"/>
      <c r="B29" s="171" t="s">
        <v>284</v>
      </c>
      <c r="C29" s="170">
        <v>2014</v>
      </c>
      <c r="D29" s="169">
        <v>24.4</v>
      </c>
      <c r="E29" s="131" t="s">
        <v>221</v>
      </c>
      <c r="F29" s="122" t="str">
        <f t="shared" si="1"/>
        <v>AZ1</v>
      </c>
      <c r="G29" s="122" t="str">
        <f t="shared" si="2"/>
        <v>Power plants Other HPP 2014 AZ 1</v>
      </c>
      <c r="H29" s="122">
        <f t="shared" si="6"/>
        <v>2014</v>
      </c>
      <c r="I29" s="122">
        <v>100</v>
      </c>
      <c r="J29" s="122" t="s">
        <v>329</v>
      </c>
      <c r="L29" s="122" t="s">
        <v>321</v>
      </c>
      <c r="M29" s="122">
        <f t="shared" si="5"/>
        <v>0</v>
      </c>
      <c r="N29" s="122">
        <f t="shared" si="5"/>
        <v>24.4</v>
      </c>
      <c r="O29" s="122">
        <f t="shared" si="5"/>
        <v>24.4</v>
      </c>
      <c r="P29" s="122">
        <f t="shared" si="5"/>
        <v>24.4</v>
      </c>
      <c r="Q29" s="122">
        <f t="shared" si="5"/>
        <v>24.4</v>
      </c>
      <c r="R29" s="122">
        <f t="shared" si="5"/>
        <v>24.4</v>
      </c>
      <c r="S29" s="122">
        <f t="shared" si="5"/>
        <v>24.4</v>
      </c>
      <c r="T29" s="122">
        <f t="shared" si="5"/>
        <v>24.4</v>
      </c>
      <c r="U29" s="122">
        <f t="shared" si="5"/>
        <v>24.4</v>
      </c>
      <c r="V29" s="122">
        <f t="shared" si="5"/>
        <v>24.4</v>
      </c>
      <c r="W29" s="122">
        <f t="shared" si="5"/>
        <v>24.4</v>
      </c>
      <c r="X29" s="122">
        <f t="shared" si="5"/>
        <v>24.4</v>
      </c>
      <c r="Y29" s="122">
        <f t="shared" si="5"/>
        <v>24.4</v>
      </c>
      <c r="Z29" s="122">
        <f t="shared" si="5"/>
        <v>24.4</v>
      </c>
      <c r="AC29"/>
    </row>
    <row r="30" spans="1:29" ht="13.8" x14ac:dyDescent="0.3">
      <c r="A30" s="159"/>
      <c r="B30" s="171" t="s">
        <v>604</v>
      </c>
      <c r="C30" s="170">
        <v>1957</v>
      </c>
      <c r="D30" s="169">
        <v>17</v>
      </c>
      <c r="E30" s="131" t="s">
        <v>221</v>
      </c>
      <c r="F30" s="122" t="str">
        <f t="shared" si="1"/>
        <v>AZ1</v>
      </c>
      <c r="G30" s="122" t="str">
        <f t="shared" si="2"/>
        <v>Power plants Other HPP 1957 AZ 1</v>
      </c>
      <c r="H30" s="122">
        <f t="shared" si="6"/>
        <v>1957</v>
      </c>
      <c r="I30" s="122">
        <v>100</v>
      </c>
      <c r="J30" s="122" t="s">
        <v>329</v>
      </c>
      <c r="L30" s="122" t="s">
        <v>328</v>
      </c>
      <c r="M30" s="122">
        <f t="shared" si="5"/>
        <v>17</v>
      </c>
      <c r="N30" s="122">
        <f t="shared" si="5"/>
        <v>17</v>
      </c>
      <c r="O30" s="122">
        <f t="shared" si="5"/>
        <v>17</v>
      </c>
      <c r="P30" s="122">
        <f t="shared" si="5"/>
        <v>17</v>
      </c>
      <c r="Q30" s="122">
        <f t="shared" si="5"/>
        <v>17</v>
      </c>
      <c r="R30" s="122">
        <f t="shared" si="5"/>
        <v>17</v>
      </c>
      <c r="S30" s="122">
        <f t="shared" si="5"/>
        <v>17</v>
      </c>
      <c r="T30" s="122">
        <f t="shared" si="5"/>
        <v>17</v>
      </c>
      <c r="U30" s="122">
        <f t="shared" si="5"/>
        <v>17</v>
      </c>
      <c r="V30" s="122">
        <f t="shared" si="5"/>
        <v>0</v>
      </c>
      <c r="W30" s="122">
        <f t="shared" si="5"/>
        <v>0</v>
      </c>
      <c r="X30" s="122">
        <f t="shared" si="5"/>
        <v>0</v>
      </c>
      <c r="Y30" s="122">
        <f t="shared" si="5"/>
        <v>0</v>
      </c>
      <c r="Z30" s="122">
        <f t="shared" si="5"/>
        <v>0</v>
      </c>
      <c r="AC30"/>
    </row>
    <row r="31" spans="1:29" ht="13.8" x14ac:dyDescent="0.3">
      <c r="A31" s="159"/>
      <c r="B31" s="171" t="s">
        <v>283</v>
      </c>
      <c r="C31" s="170">
        <v>2015</v>
      </c>
      <c r="D31" s="169">
        <v>3.1</v>
      </c>
      <c r="E31" s="131" t="s">
        <v>221</v>
      </c>
      <c r="F31" s="122" t="str">
        <f t="shared" si="1"/>
        <v>AZ1</v>
      </c>
      <c r="G31" s="122" t="str">
        <f t="shared" si="2"/>
        <v>Power plants Other HPP 2015 AZ 1</v>
      </c>
      <c r="H31" s="122">
        <f t="shared" si="6"/>
        <v>2015</v>
      </c>
      <c r="I31" s="122">
        <v>100</v>
      </c>
      <c r="J31" s="122" t="s">
        <v>329</v>
      </c>
      <c r="M31" s="122">
        <f t="shared" si="5"/>
        <v>0</v>
      </c>
      <c r="N31" s="122">
        <f t="shared" si="5"/>
        <v>3.1</v>
      </c>
      <c r="O31" s="122">
        <f t="shared" si="5"/>
        <v>3.1</v>
      </c>
      <c r="P31" s="122">
        <f t="shared" si="5"/>
        <v>3.1</v>
      </c>
      <c r="Q31" s="122">
        <f t="shared" si="5"/>
        <v>3.1</v>
      </c>
      <c r="R31" s="122">
        <f t="shared" si="5"/>
        <v>3.1</v>
      </c>
      <c r="S31" s="122">
        <f t="shared" si="5"/>
        <v>3.1</v>
      </c>
      <c r="T31" s="122">
        <f t="shared" si="5"/>
        <v>3.1</v>
      </c>
      <c r="U31" s="122">
        <f t="shared" si="5"/>
        <v>3.1</v>
      </c>
      <c r="V31" s="122">
        <f t="shared" si="5"/>
        <v>3.1</v>
      </c>
      <c r="W31" s="122">
        <f t="shared" si="5"/>
        <v>3.1</v>
      </c>
      <c r="X31" s="122">
        <f t="shared" si="5"/>
        <v>3.1</v>
      </c>
      <c r="Y31" s="122">
        <f t="shared" si="5"/>
        <v>3.1</v>
      </c>
      <c r="Z31" s="122">
        <f t="shared" si="5"/>
        <v>3.1</v>
      </c>
      <c r="AC31"/>
    </row>
    <row r="32" spans="1:29" ht="13.8" x14ac:dyDescent="0.3">
      <c r="A32" s="159"/>
      <c r="B32" s="171" t="s">
        <v>282</v>
      </c>
      <c r="C32" s="170">
        <v>2013</v>
      </c>
      <c r="D32" s="169">
        <v>1.6</v>
      </c>
      <c r="E32" s="131" t="s">
        <v>221</v>
      </c>
      <c r="F32" s="122" t="str">
        <f t="shared" si="1"/>
        <v>AZ1</v>
      </c>
      <c r="G32" s="122" t="str">
        <f t="shared" si="2"/>
        <v>Power plants Other HPP 2013 AZ 1</v>
      </c>
      <c r="H32" s="122">
        <f t="shared" si="6"/>
        <v>2013</v>
      </c>
      <c r="I32" s="122">
        <v>100</v>
      </c>
      <c r="J32" s="122" t="s">
        <v>329</v>
      </c>
      <c r="M32" s="122">
        <f t="shared" si="5"/>
        <v>0</v>
      </c>
      <c r="N32" s="122">
        <f t="shared" si="5"/>
        <v>1.6</v>
      </c>
      <c r="O32" s="122">
        <f t="shared" si="5"/>
        <v>1.6</v>
      </c>
      <c r="P32" s="122">
        <f t="shared" si="5"/>
        <v>1.6</v>
      </c>
      <c r="Q32" s="122">
        <f t="shared" si="5"/>
        <v>1.6</v>
      </c>
      <c r="R32" s="122">
        <f t="shared" si="5"/>
        <v>1.6</v>
      </c>
      <c r="S32" s="122">
        <f t="shared" si="5"/>
        <v>1.6</v>
      </c>
      <c r="T32" s="122">
        <f t="shared" si="5"/>
        <v>1.6</v>
      </c>
      <c r="U32" s="122">
        <f t="shared" si="5"/>
        <v>1.6</v>
      </c>
      <c r="V32" s="122">
        <f t="shared" si="5"/>
        <v>1.6</v>
      </c>
      <c r="W32" s="122">
        <f t="shared" si="5"/>
        <v>1.6</v>
      </c>
      <c r="X32" s="122">
        <f t="shared" si="5"/>
        <v>1.6</v>
      </c>
      <c r="Y32" s="122">
        <f t="shared" si="5"/>
        <v>1.6</v>
      </c>
      <c r="Z32" s="122">
        <f t="shared" si="5"/>
        <v>1.6</v>
      </c>
      <c r="AC32"/>
    </row>
    <row r="33" spans="1:29" ht="13.8" x14ac:dyDescent="0.3">
      <c r="A33" s="159"/>
      <c r="B33" s="171" t="s">
        <v>281</v>
      </c>
      <c r="C33" s="170"/>
      <c r="D33" s="169">
        <v>1.6</v>
      </c>
      <c r="E33" s="131" t="s">
        <v>221</v>
      </c>
      <c r="F33" s="122" t="str">
        <f t="shared" si="1"/>
        <v>AZ1</v>
      </c>
      <c r="G33" s="122" t="str">
        <f t="shared" si="2"/>
        <v>Power plants Other HPP  AZ 1</v>
      </c>
      <c r="I33" s="122">
        <v>100</v>
      </c>
      <c r="J33" s="122" t="s">
        <v>329</v>
      </c>
      <c r="M33" s="122">
        <f t="shared" si="5"/>
        <v>0</v>
      </c>
      <c r="N33" s="122">
        <f t="shared" si="5"/>
        <v>0</v>
      </c>
      <c r="O33" s="122">
        <f t="shared" si="5"/>
        <v>0</v>
      </c>
      <c r="P33" s="122">
        <f t="shared" si="5"/>
        <v>0</v>
      </c>
      <c r="Q33" s="122">
        <f t="shared" si="5"/>
        <v>0</v>
      </c>
      <c r="R33" s="122">
        <f t="shared" si="5"/>
        <v>0</v>
      </c>
      <c r="S33" s="122">
        <f t="shared" si="5"/>
        <v>0</v>
      </c>
      <c r="T33" s="122">
        <f t="shared" si="5"/>
        <v>0</v>
      </c>
      <c r="U33" s="122">
        <f t="shared" si="5"/>
        <v>0</v>
      </c>
      <c r="V33" s="122">
        <f t="shared" si="5"/>
        <v>0</v>
      </c>
      <c r="W33" s="122">
        <f t="shared" si="5"/>
        <v>0</v>
      </c>
      <c r="X33" s="122">
        <f t="shared" si="5"/>
        <v>0</v>
      </c>
      <c r="Y33" s="122">
        <f t="shared" si="5"/>
        <v>0</v>
      </c>
      <c r="Z33" s="122">
        <f t="shared" si="5"/>
        <v>0</v>
      </c>
      <c r="AC33"/>
    </row>
    <row r="34" spans="1:29" ht="13.8" x14ac:dyDescent="0.3">
      <c r="A34" s="159"/>
      <c r="B34" s="171" t="s">
        <v>280</v>
      </c>
      <c r="C34" s="170">
        <v>2015</v>
      </c>
      <c r="D34" s="169">
        <v>1</v>
      </c>
      <c r="E34" s="131" t="s">
        <v>221</v>
      </c>
      <c r="F34" s="122" t="str">
        <f t="shared" si="1"/>
        <v>AZ1</v>
      </c>
      <c r="G34" s="122" t="str">
        <f t="shared" si="2"/>
        <v>Power plants Other HPP 2015 AZ 1</v>
      </c>
      <c r="H34" s="122">
        <f t="shared" si="6"/>
        <v>2015</v>
      </c>
      <c r="I34" s="122">
        <v>100</v>
      </c>
      <c r="J34" s="122" t="s">
        <v>329</v>
      </c>
      <c r="M34" s="122">
        <f t="shared" si="5"/>
        <v>0</v>
      </c>
      <c r="N34" s="122">
        <f t="shared" si="5"/>
        <v>1</v>
      </c>
      <c r="O34" s="122">
        <f t="shared" si="5"/>
        <v>1</v>
      </c>
      <c r="P34" s="122">
        <f t="shared" si="5"/>
        <v>1</v>
      </c>
      <c r="Q34" s="122">
        <f t="shared" si="5"/>
        <v>1</v>
      </c>
      <c r="R34" s="122">
        <f t="shared" si="5"/>
        <v>1</v>
      </c>
      <c r="S34" s="122">
        <f t="shared" si="5"/>
        <v>1</v>
      </c>
      <c r="T34" s="122">
        <f t="shared" si="5"/>
        <v>1</v>
      </c>
      <c r="U34" s="122">
        <f t="shared" si="5"/>
        <v>1</v>
      </c>
      <c r="V34" s="122">
        <f t="shared" si="5"/>
        <v>1</v>
      </c>
      <c r="W34" s="122">
        <f t="shared" si="5"/>
        <v>1</v>
      </c>
      <c r="X34" s="122">
        <f t="shared" si="5"/>
        <v>1</v>
      </c>
      <c r="Y34" s="122">
        <f t="shared" si="5"/>
        <v>1</v>
      </c>
      <c r="Z34" s="122">
        <f t="shared" si="5"/>
        <v>1</v>
      </c>
      <c r="AC34"/>
    </row>
    <row r="35" spans="1:29" ht="13.8" x14ac:dyDescent="0.3">
      <c r="A35" s="159"/>
      <c r="B35" s="171" t="s">
        <v>279</v>
      </c>
      <c r="C35" s="170">
        <v>2017</v>
      </c>
      <c r="D35" s="169">
        <v>1.4</v>
      </c>
      <c r="E35" s="131" t="s">
        <v>221</v>
      </c>
      <c r="F35" s="122" t="str">
        <f t="shared" si="1"/>
        <v>AZ1</v>
      </c>
      <c r="G35" s="122" t="str">
        <f t="shared" si="2"/>
        <v>Power plants Other HPP 2017 AZ 1</v>
      </c>
      <c r="H35" s="122">
        <f t="shared" si="6"/>
        <v>2017</v>
      </c>
      <c r="I35" s="122">
        <v>100</v>
      </c>
      <c r="J35" s="122" t="s">
        <v>329</v>
      </c>
      <c r="M35" s="122">
        <f t="shared" si="5"/>
        <v>0</v>
      </c>
      <c r="N35" s="122">
        <f t="shared" si="5"/>
        <v>0</v>
      </c>
      <c r="O35" s="122">
        <f t="shared" si="5"/>
        <v>1.4</v>
      </c>
      <c r="P35" s="122">
        <f t="shared" si="5"/>
        <v>1.4</v>
      </c>
      <c r="Q35" s="122">
        <f t="shared" si="5"/>
        <v>1.4</v>
      </c>
      <c r="R35" s="122">
        <f t="shared" si="5"/>
        <v>1.4</v>
      </c>
      <c r="S35" s="122">
        <f t="shared" si="5"/>
        <v>1.4</v>
      </c>
      <c r="T35" s="122">
        <f t="shared" si="5"/>
        <v>1.4</v>
      </c>
      <c r="U35" s="122">
        <f t="shared" si="5"/>
        <v>1.4</v>
      </c>
      <c r="V35" s="122">
        <f t="shared" si="5"/>
        <v>1.4</v>
      </c>
      <c r="W35" s="122">
        <f t="shared" si="5"/>
        <v>1.4</v>
      </c>
      <c r="X35" s="122">
        <f t="shared" si="5"/>
        <v>1.4</v>
      </c>
      <c r="Y35" s="122">
        <f t="shared" si="5"/>
        <v>1.4</v>
      </c>
      <c r="Z35" s="122">
        <f t="shared" si="5"/>
        <v>1.4</v>
      </c>
      <c r="AC35"/>
    </row>
    <row r="36" spans="1:29" ht="13.8" x14ac:dyDescent="0.3">
      <c r="A36" s="159"/>
      <c r="B36" s="171" t="s">
        <v>605</v>
      </c>
      <c r="C36" s="170"/>
      <c r="D36" s="169">
        <v>0.3</v>
      </c>
      <c r="E36" s="131" t="s">
        <v>221</v>
      </c>
      <c r="F36" s="122" t="str">
        <f t="shared" si="1"/>
        <v>AZ1</v>
      </c>
      <c r="G36" s="122" t="str">
        <f t="shared" si="2"/>
        <v>Power plants Other HPP 2010 AZ 1</v>
      </c>
      <c r="H36" s="122">
        <v>2010</v>
      </c>
      <c r="I36" s="122">
        <v>100</v>
      </c>
      <c r="J36" s="122" t="s">
        <v>329</v>
      </c>
      <c r="M36" s="122">
        <f t="shared" si="5"/>
        <v>0.3</v>
      </c>
      <c r="N36" s="122">
        <f t="shared" si="5"/>
        <v>0.3</v>
      </c>
      <c r="O36" s="122">
        <f t="shared" si="5"/>
        <v>0.3</v>
      </c>
      <c r="P36" s="122">
        <f t="shared" si="5"/>
        <v>0.3</v>
      </c>
      <c r="Q36" s="122">
        <f t="shared" si="5"/>
        <v>0.3</v>
      </c>
      <c r="R36" s="122">
        <f t="shared" si="5"/>
        <v>0.3</v>
      </c>
      <c r="S36" s="122">
        <f t="shared" si="5"/>
        <v>0.3</v>
      </c>
      <c r="T36" s="122">
        <f t="shared" si="5"/>
        <v>0.3</v>
      </c>
      <c r="U36" s="122">
        <f t="shared" si="5"/>
        <v>0.3</v>
      </c>
      <c r="V36" s="122">
        <f t="shared" si="5"/>
        <v>0.3</v>
      </c>
      <c r="W36" s="122">
        <f t="shared" si="5"/>
        <v>0.3</v>
      </c>
      <c r="X36" s="122">
        <f t="shared" si="5"/>
        <v>0.3</v>
      </c>
      <c r="Y36" s="122">
        <f t="shared" si="5"/>
        <v>0.3</v>
      </c>
      <c r="Z36" s="122">
        <f t="shared" si="5"/>
        <v>0.3</v>
      </c>
      <c r="AC36"/>
    </row>
    <row r="37" spans="1:29" ht="26.4" x14ac:dyDescent="0.3">
      <c r="A37" s="159"/>
      <c r="B37" s="171" t="s">
        <v>606</v>
      </c>
      <c r="C37" s="150" t="s">
        <v>278</v>
      </c>
      <c r="D37" s="169">
        <v>8</v>
      </c>
      <c r="E37" s="183" t="s">
        <v>250</v>
      </c>
      <c r="F37" s="122" t="str">
        <f t="shared" si="1"/>
        <v>AZ2</v>
      </c>
      <c r="G37" s="122" t="str">
        <f t="shared" si="2"/>
        <v>Power plants Other HPP 2021 AZ 2</v>
      </c>
      <c r="H37" s="122">
        <v>2021</v>
      </c>
      <c r="I37" s="122">
        <v>100</v>
      </c>
      <c r="J37" s="122" t="s">
        <v>329</v>
      </c>
      <c r="L37" s="122" t="s">
        <v>330</v>
      </c>
      <c r="M37" s="122">
        <f t="shared" si="5"/>
        <v>0</v>
      </c>
      <c r="N37" s="122">
        <f t="shared" si="5"/>
        <v>0</v>
      </c>
      <c r="O37" s="122">
        <f t="shared" si="5"/>
        <v>0</v>
      </c>
      <c r="P37" s="122">
        <f t="shared" si="5"/>
        <v>8</v>
      </c>
      <c r="Q37" s="122">
        <f t="shared" si="5"/>
        <v>8</v>
      </c>
      <c r="R37" s="122">
        <f t="shared" si="5"/>
        <v>8</v>
      </c>
      <c r="S37" s="122">
        <f t="shared" si="5"/>
        <v>8</v>
      </c>
      <c r="T37" s="122">
        <f t="shared" si="5"/>
        <v>8</v>
      </c>
      <c r="U37" s="122">
        <f t="shared" si="5"/>
        <v>8</v>
      </c>
      <c r="V37" s="122">
        <f t="shared" si="5"/>
        <v>8</v>
      </c>
      <c r="W37" s="122">
        <f t="shared" si="5"/>
        <v>8</v>
      </c>
      <c r="X37" s="122">
        <f t="shared" si="5"/>
        <v>8</v>
      </c>
      <c r="Y37" s="122">
        <f t="shared" si="5"/>
        <v>8</v>
      </c>
      <c r="Z37" s="122">
        <f t="shared" si="5"/>
        <v>8</v>
      </c>
      <c r="AC37"/>
    </row>
    <row r="38" spans="1:29" ht="13.8" x14ac:dyDescent="0.3">
      <c r="A38" s="159"/>
      <c r="B38" s="171" t="s">
        <v>607</v>
      </c>
      <c r="C38" s="170" t="s">
        <v>277</v>
      </c>
      <c r="D38" s="169">
        <v>7.9</v>
      </c>
      <c r="E38" s="182" t="s">
        <v>250</v>
      </c>
      <c r="F38" s="122" t="str">
        <f t="shared" si="1"/>
        <v>AZ2</v>
      </c>
      <c r="G38" s="122" t="str">
        <f t="shared" si="2"/>
        <v>Power plants Other HPP 2021 AZ 2</v>
      </c>
      <c r="H38" s="122">
        <v>2021</v>
      </c>
      <c r="I38" s="122">
        <v>100</v>
      </c>
      <c r="J38" s="122" t="s">
        <v>329</v>
      </c>
      <c r="L38" s="122" t="s">
        <v>330</v>
      </c>
      <c r="M38" s="122">
        <f t="shared" si="5"/>
        <v>0</v>
      </c>
      <c r="N38" s="122">
        <f t="shared" si="5"/>
        <v>0</v>
      </c>
      <c r="O38" s="122">
        <f t="shared" si="5"/>
        <v>0</v>
      </c>
      <c r="P38" s="122">
        <f t="shared" si="5"/>
        <v>7.9</v>
      </c>
      <c r="Q38" s="122">
        <f t="shared" si="5"/>
        <v>7.9</v>
      </c>
      <c r="R38" s="122">
        <f t="shared" si="5"/>
        <v>7.9</v>
      </c>
      <c r="S38" s="122">
        <f t="shared" si="5"/>
        <v>7.9</v>
      </c>
      <c r="T38" s="122">
        <f t="shared" si="5"/>
        <v>7.9</v>
      </c>
      <c r="U38" s="122">
        <f t="shared" si="5"/>
        <v>7.9</v>
      </c>
      <c r="V38" s="122">
        <f t="shared" si="5"/>
        <v>7.9</v>
      </c>
      <c r="W38" s="122">
        <f t="shared" si="5"/>
        <v>7.9</v>
      </c>
      <c r="X38" s="122">
        <f t="shared" si="5"/>
        <v>7.9</v>
      </c>
      <c r="Y38" s="122">
        <f t="shared" si="5"/>
        <v>7.9</v>
      </c>
      <c r="Z38" s="122">
        <f t="shared" si="5"/>
        <v>7.9</v>
      </c>
      <c r="AC38"/>
    </row>
    <row r="39" spans="1:29" ht="13.8" x14ac:dyDescent="0.3">
      <c r="A39" s="159"/>
      <c r="B39" s="171"/>
      <c r="C39" s="170"/>
      <c r="D39" s="169"/>
      <c r="E39" s="131"/>
      <c r="F39" s="122" t="str">
        <f t="shared" si="1"/>
        <v>AZ</v>
      </c>
      <c r="G39" s="122" t="str">
        <f t="shared" si="2"/>
        <v/>
      </c>
      <c r="M39" s="122">
        <f t="shared" si="5"/>
        <v>0</v>
      </c>
      <c r="N39" s="122">
        <f t="shared" si="5"/>
        <v>0</v>
      </c>
      <c r="O39" s="122">
        <f t="shared" si="5"/>
        <v>0</v>
      </c>
      <c r="P39" s="122">
        <f t="shared" si="5"/>
        <v>0</v>
      </c>
      <c r="Q39" s="122">
        <f t="shared" si="5"/>
        <v>0</v>
      </c>
      <c r="R39" s="122">
        <f t="shared" si="5"/>
        <v>0</v>
      </c>
      <c r="S39" s="122">
        <f t="shared" si="5"/>
        <v>0</v>
      </c>
      <c r="T39" s="122">
        <f t="shared" si="5"/>
        <v>0</v>
      </c>
      <c r="U39" s="122">
        <f t="shared" si="5"/>
        <v>0</v>
      </c>
      <c r="V39" s="122">
        <f t="shared" si="5"/>
        <v>0</v>
      </c>
      <c r="W39" s="122">
        <f t="shared" si="5"/>
        <v>0</v>
      </c>
      <c r="X39" s="122">
        <f t="shared" si="5"/>
        <v>0</v>
      </c>
      <c r="Y39" s="122">
        <f t="shared" si="5"/>
        <v>0</v>
      </c>
      <c r="Z39" s="122">
        <f t="shared" si="5"/>
        <v>0</v>
      </c>
      <c r="AC39"/>
    </row>
    <row r="40" spans="1:29" ht="13.8" x14ac:dyDescent="0.3">
      <c r="A40" s="159"/>
      <c r="B40" s="171" t="s">
        <v>608</v>
      </c>
      <c r="C40" s="150" t="s">
        <v>253</v>
      </c>
      <c r="D40" s="169">
        <v>100</v>
      </c>
      <c r="E40" s="182" t="s">
        <v>250</v>
      </c>
      <c r="F40" s="122" t="str">
        <f t="shared" si="1"/>
        <v>AZ2</v>
      </c>
      <c r="G40" s="122" t="str">
        <f t="shared" si="2"/>
        <v>Power plants Other HPP 2023 AZ 2</v>
      </c>
      <c r="H40" s="122">
        <v>2023</v>
      </c>
      <c r="I40" s="122">
        <v>100</v>
      </c>
      <c r="J40" s="122" t="s">
        <v>329</v>
      </c>
      <c r="L40" s="122" t="s">
        <v>330</v>
      </c>
      <c r="M40" s="122">
        <f t="shared" si="5"/>
        <v>0</v>
      </c>
      <c r="N40" s="122">
        <f t="shared" si="5"/>
        <v>0</v>
      </c>
      <c r="O40" s="122">
        <f t="shared" si="5"/>
        <v>0</v>
      </c>
      <c r="P40" s="122">
        <f t="shared" si="5"/>
        <v>100</v>
      </c>
      <c r="Q40" s="122">
        <f t="shared" si="5"/>
        <v>100</v>
      </c>
      <c r="R40" s="122">
        <f t="shared" si="5"/>
        <v>100</v>
      </c>
      <c r="S40" s="122">
        <f t="shared" si="5"/>
        <v>100</v>
      </c>
      <c r="T40" s="122">
        <f t="shared" si="5"/>
        <v>100</v>
      </c>
      <c r="U40" s="122">
        <f t="shared" si="5"/>
        <v>100</v>
      </c>
      <c r="V40" s="122">
        <f t="shared" si="5"/>
        <v>100</v>
      </c>
      <c r="W40" s="122">
        <f t="shared" si="5"/>
        <v>100</v>
      </c>
      <c r="X40" s="122">
        <f t="shared" si="5"/>
        <v>100</v>
      </c>
      <c r="Y40" s="122">
        <f t="shared" si="5"/>
        <v>100</v>
      </c>
      <c r="Z40" s="122">
        <f t="shared" si="5"/>
        <v>100</v>
      </c>
      <c r="AC40"/>
    </row>
    <row r="41" spans="1:29" ht="14.4" thickBot="1" x14ac:dyDescent="0.35">
      <c r="A41" s="159"/>
      <c r="B41" s="167" t="s">
        <v>609</v>
      </c>
      <c r="C41" s="181" t="s">
        <v>253</v>
      </c>
      <c r="D41" s="165">
        <v>20</v>
      </c>
      <c r="E41" s="180" t="s">
        <v>250</v>
      </c>
      <c r="F41" s="122" t="str">
        <f t="shared" si="1"/>
        <v>AZ2</v>
      </c>
      <c r="G41" s="122" t="str">
        <f t="shared" si="2"/>
        <v>Power plants Other HPP 2023 AZ 2</v>
      </c>
      <c r="H41" s="122">
        <v>2023</v>
      </c>
      <c r="I41" s="122">
        <v>100</v>
      </c>
      <c r="J41" s="122" t="s">
        <v>329</v>
      </c>
      <c r="L41" s="122" t="s">
        <v>330</v>
      </c>
      <c r="M41" s="122">
        <f t="shared" si="5"/>
        <v>0</v>
      </c>
      <c r="N41" s="122">
        <f t="shared" si="5"/>
        <v>0</v>
      </c>
      <c r="O41" s="122">
        <f t="shared" si="5"/>
        <v>0</v>
      </c>
      <c r="P41" s="122">
        <f t="shared" si="5"/>
        <v>20</v>
      </c>
      <c r="Q41" s="122">
        <f t="shared" si="5"/>
        <v>20</v>
      </c>
      <c r="R41" s="122">
        <f t="shared" si="5"/>
        <v>20</v>
      </c>
      <c r="S41" s="122">
        <f t="shared" si="5"/>
        <v>20</v>
      </c>
      <c r="T41" s="122">
        <f t="shared" si="5"/>
        <v>20</v>
      </c>
      <c r="U41" s="122">
        <f t="shared" si="5"/>
        <v>20</v>
      </c>
      <c r="V41" s="122">
        <f t="shared" si="5"/>
        <v>20</v>
      </c>
      <c r="W41" s="122">
        <f t="shared" si="5"/>
        <v>20</v>
      </c>
      <c r="X41" s="122">
        <f t="shared" si="5"/>
        <v>20</v>
      </c>
      <c r="Y41" s="122">
        <f t="shared" si="5"/>
        <v>20</v>
      </c>
      <c r="Z41" s="122">
        <f t="shared" si="5"/>
        <v>20</v>
      </c>
      <c r="AC41"/>
    </row>
    <row r="42" spans="1:29" ht="13.8" x14ac:dyDescent="0.3">
      <c r="A42" s="159"/>
      <c r="B42" s="163"/>
      <c r="C42" s="179"/>
      <c r="D42" s="161"/>
      <c r="E42" s="160"/>
      <c r="F42" s="122" t="str">
        <f t="shared" si="1"/>
        <v>AZ</v>
      </c>
      <c r="G42" s="122" t="str">
        <f t="shared" si="2"/>
        <v/>
      </c>
      <c r="M42" s="122">
        <f t="shared" si="5"/>
        <v>0</v>
      </c>
      <c r="N42" s="122">
        <f t="shared" si="5"/>
        <v>0</v>
      </c>
      <c r="O42" s="122">
        <f t="shared" si="5"/>
        <v>0</v>
      </c>
      <c r="P42" s="122">
        <f t="shared" si="5"/>
        <v>0</v>
      </c>
      <c r="Q42" s="122">
        <f t="shared" si="5"/>
        <v>0</v>
      </c>
      <c r="R42" s="122">
        <f t="shared" si="5"/>
        <v>0</v>
      </c>
      <c r="S42" s="122">
        <f t="shared" si="5"/>
        <v>0</v>
      </c>
      <c r="T42" s="122">
        <f t="shared" si="5"/>
        <v>0</v>
      </c>
      <c r="U42" s="122">
        <f t="shared" si="5"/>
        <v>0</v>
      </c>
      <c r="V42" s="122">
        <f t="shared" si="5"/>
        <v>0</v>
      </c>
      <c r="W42" s="122">
        <f t="shared" si="5"/>
        <v>0</v>
      </c>
      <c r="X42" s="122">
        <f t="shared" si="5"/>
        <v>0</v>
      </c>
      <c r="Y42" s="122">
        <f t="shared" si="5"/>
        <v>0</v>
      </c>
      <c r="Z42" s="122">
        <f t="shared" si="5"/>
        <v>0</v>
      </c>
      <c r="AC42"/>
    </row>
    <row r="43" spans="1:29" ht="13.8" x14ac:dyDescent="0.3">
      <c r="A43" s="159"/>
      <c r="B43" s="163"/>
      <c r="C43" s="179"/>
      <c r="D43" s="161"/>
      <c r="E43" s="160"/>
      <c r="F43" s="122" t="str">
        <f t="shared" si="1"/>
        <v>AZ</v>
      </c>
      <c r="G43" s="122" t="str">
        <f t="shared" si="2"/>
        <v/>
      </c>
      <c r="M43" s="122">
        <f t="shared" ref="M43:Z61" si="7">IF(($H43+$I43)&gt;M$8,IF($H43&lt;=M$8,$D43,0),0)</f>
        <v>0</v>
      </c>
      <c r="N43" s="122">
        <f t="shared" si="7"/>
        <v>0</v>
      </c>
      <c r="O43" s="122">
        <f t="shared" si="7"/>
        <v>0</v>
      </c>
      <c r="P43" s="122">
        <f t="shared" si="7"/>
        <v>0</v>
      </c>
      <c r="Q43" s="122">
        <f t="shared" si="7"/>
        <v>0</v>
      </c>
      <c r="R43" s="122">
        <f t="shared" si="7"/>
        <v>0</v>
      </c>
      <c r="S43" s="122">
        <f t="shared" si="7"/>
        <v>0</v>
      </c>
      <c r="T43" s="122">
        <f t="shared" si="7"/>
        <v>0</v>
      </c>
      <c r="U43" s="122">
        <f t="shared" si="7"/>
        <v>0</v>
      </c>
      <c r="V43" s="122">
        <f t="shared" si="7"/>
        <v>0</v>
      </c>
      <c r="W43" s="122">
        <f t="shared" si="7"/>
        <v>0</v>
      </c>
      <c r="X43" s="122">
        <f t="shared" si="7"/>
        <v>0</v>
      </c>
      <c r="Y43" s="122">
        <f t="shared" si="7"/>
        <v>0</v>
      </c>
      <c r="Z43" s="122">
        <f t="shared" si="7"/>
        <v>0</v>
      </c>
      <c r="AC43"/>
    </row>
    <row r="44" spans="1:29" ht="14.4" thickBot="1" x14ac:dyDescent="0.35">
      <c r="A44" s="159"/>
      <c r="B44" s="163"/>
      <c r="C44" s="179"/>
      <c r="D44" s="161"/>
      <c r="E44" s="160"/>
      <c r="F44" s="122" t="str">
        <f t="shared" si="1"/>
        <v>AZ</v>
      </c>
      <c r="G44" s="122" t="str">
        <f t="shared" si="2"/>
        <v/>
      </c>
      <c r="M44" s="122">
        <f t="shared" si="7"/>
        <v>0</v>
      </c>
      <c r="N44" s="122">
        <f t="shared" si="7"/>
        <v>0</v>
      </c>
      <c r="O44" s="122">
        <f t="shared" si="7"/>
        <v>0</v>
      </c>
      <c r="P44" s="122">
        <f t="shared" si="7"/>
        <v>0</v>
      </c>
      <c r="Q44" s="122">
        <f t="shared" si="7"/>
        <v>0</v>
      </c>
      <c r="R44" s="122">
        <f t="shared" si="7"/>
        <v>0</v>
      </c>
      <c r="S44" s="122">
        <f t="shared" si="7"/>
        <v>0</v>
      </c>
      <c r="T44" s="122">
        <f t="shared" si="7"/>
        <v>0</v>
      </c>
      <c r="U44" s="122">
        <f t="shared" si="7"/>
        <v>0</v>
      </c>
      <c r="V44" s="122">
        <f t="shared" si="7"/>
        <v>0</v>
      </c>
      <c r="W44" s="122">
        <f t="shared" si="7"/>
        <v>0</v>
      </c>
      <c r="X44" s="122">
        <f t="shared" si="7"/>
        <v>0</v>
      </c>
      <c r="Y44" s="122">
        <f t="shared" si="7"/>
        <v>0</v>
      </c>
      <c r="Z44" s="122">
        <f t="shared" si="7"/>
        <v>0</v>
      </c>
      <c r="AC44"/>
    </row>
    <row r="45" spans="1:29" ht="16.2" thickBot="1" x14ac:dyDescent="0.35">
      <c r="A45" s="159"/>
      <c r="B45" s="147" t="s">
        <v>276</v>
      </c>
      <c r="C45" s="162"/>
      <c r="D45" s="161"/>
      <c r="F45" s="122" t="str">
        <f t="shared" si="1"/>
        <v>AZ</v>
      </c>
      <c r="G45" s="122" t="str">
        <f t="shared" si="2"/>
        <v/>
      </c>
      <c r="M45" s="122">
        <f t="shared" si="7"/>
        <v>0</v>
      </c>
      <c r="N45" s="122">
        <f t="shared" si="7"/>
        <v>0</v>
      </c>
      <c r="O45" s="122">
        <f t="shared" si="7"/>
        <v>0</v>
      </c>
      <c r="P45" s="122">
        <f t="shared" si="7"/>
        <v>0</v>
      </c>
      <c r="Q45" s="122">
        <f t="shared" si="7"/>
        <v>0</v>
      </c>
      <c r="R45" s="122">
        <f t="shared" si="7"/>
        <v>0</v>
      </c>
      <c r="S45" s="122">
        <f t="shared" si="7"/>
        <v>0</v>
      </c>
      <c r="T45" s="122">
        <f t="shared" si="7"/>
        <v>0</v>
      </c>
      <c r="U45" s="122">
        <f t="shared" si="7"/>
        <v>0</v>
      </c>
      <c r="V45" s="122">
        <f t="shared" si="7"/>
        <v>0</v>
      </c>
      <c r="W45" s="122">
        <f t="shared" si="7"/>
        <v>0</v>
      </c>
      <c r="X45" s="122">
        <f t="shared" si="7"/>
        <v>0</v>
      </c>
      <c r="Y45" s="122">
        <f t="shared" si="7"/>
        <v>0</v>
      </c>
      <c r="Z45" s="122">
        <f t="shared" si="7"/>
        <v>0</v>
      </c>
      <c r="AC45"/>
    </row>
    <row r="46" spans="1:29" ht="26.4" x14ac:dyDescent="0.3">
      <c r="A46" s="178" t="s">
        <v>275</v>
      </c>
      <c r="B46" s="146" t="s">
        <v>241</v>
      </c>
      <c r="C46" s="145" t="s">
        <v>240</v>
      </c>
      <c r="D46" s="144" t="s">
        <v>239</v>
      </c>
      <c r="E46" s="143" t="s">
        <v>238</v>
      </c>
      <c r="F46" s="122" t="str">
        <f t="shared" si="1"/>
        <v xml:space="preserve">AZ </v>
      </c>
      <c r="G46" s="122" t="str">
        <f t="shared" si="2"/>
        <v/>
      </c>
      <c r="M46" s="122">
        <f t="shared" si="7"/>
        <v>0</v>
      </c>
      <c r="N46" s="122">
        <f t="shared" si="7"/>
        <v>0</v>
      </c>
      <c r="O46" s="122">
        <f t="shared" si="7"/>
        <v>0</v>
      </c>
      <c r="P46" s="122">
        <f t="shared" si="7"/>
        <v>0</v>
      </c>
      <c r="Q46" s="122">
        <f t="shared" si="7"/>
        <v>0</v>
      </c>
      <c r="R46" s="122">
        <f t="shared" si="7"/>
        <v>0</v>
      </c>
      <c r="S46" s="122">
        <f t="shared" si="7"/>
        <v>0</v>
      </c>
      <c r="T46" s="122">
        <f t="shared" si="7"/>
        <v>0</v>
      </c>
      <c r="U46" s="122">
        <f t="shared" si="7"/>
        <v>0</v>
      </c>
      <c r="V46" s="122">
        <f t="shared" si="7"/>
        <v>0</v>
      </c>
      <c r="W46" s="122">
        <f t="shared" si="7"/>
        <v>0</v>
      </c>
      <c r="X46" s="122">
        <f t="shared" si="7"/>
        <v>0</v>
      </c>
      <c r="Y46" s="122">
        <f t="shared" si="7"/>
        <v>0</v>
      </c>
      <c r="Z46" s="122">
        <f t="shared" si="7"/>
        <v>0</v>
      </c>
      <c r="AC46"/>
    </row>
    <row r="47" spans="1:29" ht="13.8" x14ac:dyDescent="0.3">
      <c r="A47" s="159"/>
      <c r="B47" s="137" t="s">
        <v>274</v>
      </c>
      <c r="C47" s="170"/>
      <c r="D47" s="169">
        <v>55.3</v>
      </c>
      <c r="E47" s="131"/>
      <c r="F47" s="122" t="str">
        <f t="shared" si="1"/>
        <v>AZ</v>
      </c>
      <c r="G47" s="122" t="str">
        <f t="shared" si="2"/>
        <v/>
      </c>
      <c r="M47" s="122">
        <f t="shared" si="7"/>
        <v>0</v>
      </c>
      <c r="N47" s="122">
        <f t="shared" si="7"/>
        <v>0</v>
      </c>
      <c r="O47" s="122">
        <f t="shared" si="7"/>
        <v>0</v>
      </c>
      <c r="P47" s="122">
        <f t="shared" si="7"/>
        <v>0</v>
      </c>
      <c r="Q47" s="122">
        <f t="shared" si="7"/>
        <v>0</v>
      </c>
      <c r="R47" s="122">
        <f t="shared" si="7"/>
        <v>0</v>
      </c>
      <c r="S47" s="122">
        <f t="shared" si="7"/>
        <v>0</v>
      </c>
      <c r="T47" s="122">
        <f t="shared" si="7"/>
        <v>0</v>
      </c>
      <c r="U47" s="122">
        <f t="shared" si="7"/>
        <v>0</v>
      </c>
      <c r="V47" s="122">
        <f t="shared" si="7"/>
        <v>0</v>
      </c>
      <c r="W47" s="122">
        <f t="shared" si="7"/>
        <v>0</v>
      </c>
      <c r="X47" s="122">
        <f t="shared" si="7"/>
        <v>0</v>
      </c>
      <c r="Y47" s="122">
        <f t="shared" si="7"/>
        <v>0</v>
      </c>
      <c r="Z47" s="122">
        <f t="shared" si="7"/>
        <v>0</v>
      </c>
      <c r="AC47"/>
    </row>
    <row r="48" spans="1:29" ht="13.8" x14ac:dyDescent="0.3">
      <c r="A48" s="159"/>
      <c r="B48" s="177" t="s">
        <v>273</v>
      </c>
      <c r="C48" s="170"/>
      <c r="D48" s="169"/>
      <c r="E48" s="131"/>
      <c r="F48" s="122" t="str">
        <f t="shared" si="1"/>
        <v>AZ</v>
      </c>
      <c r="G48" s="122" t="str">
        <f t="shared" si="2"/>
        <v/>
      </c>
      <c r="M48" s="122">
        <f t="shared" si="7"/>
        <v>0</v>
      </c>
      <c r="N48" s="122">
        <f t="shared" si="7"/>
        <v>0</v>
      </c>
      <c r="O48" s="122">
        <f t="shared" si="7"/>
        <v>0</v>
      </c>
      <c r="P48" s="122">
        <f t="shared" si="7"/>
        <v>0</v>
      </c>
      <c r="Q48" s="122">
        <f t="shared" si="7"/>
        <v>0</v>
      </c>
      <c r="R48" s="122">
        <f t="shared" si="7"/>
        <v>0</v>
      </c>
      <c r="S48" s="122">
        <f t="shared" si="7"/>
        <v>0</v>
      </c>
      <c r="T48" s="122">
        <f t="shared" si="7"/>
        <v>0</v>
      </c>
      <c r="U48" s="122">
        <f t="shared" si="7"/>
        <v>0</v>
      </c>
      <c r="V48" s="122">
        <f t="shared" si="7"/>
        <v>0</v>
      </c>
      <c r="W48" s="122">
        <f t="shared" si="7"/>
        <v>0</v>
      </c>
      <c r="X48" s="122">
        <f t="shared" si="7"/>
        <v>0</v>
      </c>
      <c r="Y48" s="122">
        <f t="shared" si="7"/>
        <v>0</v>
      </c>
      <c r="Z48" s="122">
        <f t="shared" si="7"/>
        <v>0</v>
      </c>
      <c r="AC48"/>
    </row>
    <row r="49" spans="1:29" ht="13.8" x14ac:dyDescent="0.3">
      <c r="A49" s="159"/>
      <c r="B49" s="171" t="s">
        <v>611</v>
      </c>
      <c r="C49" s="170"/>
      <c r="D49" s="169">
        <v>50</v>
      </c>
      <c r="E49" s="131" t="s">
        <v>221</v>
      </c>
      <c r="F49" s="122" t="str">
        <f t="shared" si="1"/>
        <v>AZ1</v>
      </c>
      <c r="G49" s="122" t="str">
        <f t="shared" si="2"/>
        <v>Power plants Wind WPP 2020 AZ 1</v>
      </c>
      <c r="H49" s="122">
        <v>2020</v>
      </c>
      <c r="I49" s="122">
        <v>25</v>
      </c>
      <c r="J49" s="122" t="s">
        <v>596</v>
      </c>
      <c r="M49" s="122">
        <f t="shared" si="7"/>
        <v>0</v>
      </c>
      <c r="N49" s="122">
        <f t="shared" si="7"/>
        <v>0</v>
      </c>
      <c r="O49" s="122">
        <f t="shared" si="7"/>
        <v>50</v>
      </c>
      <c r="P49" s="122">
        <f t="shared" si="7"/>
        <v>50</v>
      </c>
      <c r="Q49" s="122">
        <f t="shared" si="7"/>
        <v>50</v>
      </c>
      <c r="R49" s="122">
        <f t="shared" si="7"/>
        <v>50</v>
      </c>
      <c r="S49" s="122">
        <f t="shared" si="7"/>
        <v>50</v>
      </c>
      <c r="T49" s="122">
        <f t="shared" si="7"/>
        <v>0</v>
      </c>
      <c r="U49" s="122">
        <f t="shared" si="7"/>
        <v>0</v>
      </c>
      <c r="V49" s="122">
        <f t="shared" si="7"/>
        <v>0</v>
      </c>
      <c r="W49" s="122">
        <f t="shared" si="7"/>
        <v>0</v>
      </c>
      <c r="X49" s="122">
        <f t="shared" si="7"/>
        <v>0</v>
      </c>
      <c r="Y49" s="122">
        <f t="shared" si="7"/>
        <v>0</v>
      </c>
      <c r="Z49" s="122">
        <f t="shared" si="7"/>
        <v>0</v>
      </c>
      <c r="AC49"/>
    </row>
    <row r="50" spans="1:29" ht="13.8" x14ac:dyDescent="0.3">
      <c r="A50" s="159"/>
      <c r="B50" s="171" t="s">
        <v>610</v>
      </c>
      <c r="C50" s="170"/>
      <c r="D50" s="169">
        <v>3.6</v>
      </c>
      <c r="E50" s="131" t="s">
        <v>221</v>
      </c>
      <c r="F50" s="122" t="str">
        <f t="shared" si="1"/>
        <v>AZ1</v>
      </c>
      <c r="G50" s="122" t="str">
        <f t="shared" si="2"/>
        <v>Power plants Wind WPP 2015 AZ 1</v>
      </c>
      <c r="H50" s="122">
        <v>2015</v>
      </c>
      <c r="I50" s="122">
        <v>25</v>
      </c>
      <c r="J50" s="122" t="s">
        <v>596</v>
      </c>
      <c r="M50" s="122">
        <f t="shared" si="7"/>
        <v>0</v>
      </c>
      <c r="N50" s="122">
        <f t="shared" si="7"/>
        <v>3.6</v>
      </c>
      <c r="O50" s="122">
        <f t="shared" si="7"/>
        <v>3.6</v>
      </c>
      <c r="P50" s="122">
        <f t="shared" si="7"/>
        <v>3.6</v>
      </c>
      <c r="Q50" s="122">
        <f t="shared" si="7"/>
        <v>3.6</v>
      </c>
      <c r="R50" s="122">
        <f t="shared" si="7"/>
        <v>3.6</v>
      </c>
      <c r="S50" s="122">
        <f t="shared" si="7"/>
        <v>0</v>
      </c>
      <c r="T50" s="122">
        <f t="shared" si="7"/>
        <v>0</v>
      </c>
      <c r="U50" s="122">
        <f t="shared" si="7"/>
        <v>0</v>
      </c>
      <c r="V50" s="122">
        <f t="shared" si="7"/>
        <v>0</v>
      </c>
      <c r="W50" s="122">
        <f t="shared" si="7"/>
        <v>0</v>
      </c>
      <c r="X50" s="122">
        <f t="shared" si="7"/>
        <v>0</v>
      </c>
      <c r="Y50" s="122">
        <f t="shared" si="7"/>
        <v>0</v>
      </c>
      <c r="Z50" s="122">
        <f t="shared" si="7"/>
        <v>0</v>
      </c>
      <c r="AC50"/>
    </row>
    <row r="51" spans="1:29" ht="14.4" thickBot="1" x14ac:dyDescent="0.35">
      <c r="A51" s="159"/>
      <c r="B51" s="167" t="s">
        <v>612</v>
      </c>
      <c r="C51" s="166"/>
      <c r="D51" s="165">
        <v>1.7</v>
      </c>
      <c r="E51" s="127" t="s">
        <v>221</v>
      </c>
      <c r="F51" s="122" t="str">
        <f t="shared" si="1"/>
        <v>AZ1</v>
      </c>
      <c r="G51" s="122" t="str">
        <f t="shared" si="2"/>
        <v>Power plants Wind WPP 2015 AZ 1</v>
      </c>
      <c r="H51" s="122">
        <v>2015</v>
      </c>
      <c r="I51" s="122">
        <v>25</v>
      </c>
      <c r="J51" s="122" t="s">
        <v>596</v>
      </c>
      <c r="M51" s="122">
        <f t="shared" si="7"/>
        <v>0</v>
      </c>
      <c r="N51" s="122">
        <f t="shared" si="7"/>
        <v>1.7</v>
      </c>
      <c r="O51" s="122">
        <f t="shared" si="7"/>
        <v>1.7</v>
      </c>
      <c r="P51" s="122">
        <f t="shared" si="7"/>
        <v>1.7</v>
      </c>
      <c r="Q51" s="122">
        <f t="shared" si="7"/>
        <v>1.7</v>
      </c>
      <c r="R51" s="122">
        <f t="shared" si="7"/>
        <v>1.7</v>
      </c>
      <c r="S51" s="122">
        <f t="shared" si="7"/>
        <v>0</v>
      </c>
      <c r="T51" s="122">
        <f t="shared" si="7"/>
        <v>0</v>
      </c>
      <c r="U51" s="122">
        <f t="shared" si="7"/>
        <v>0</v>
      </c>
      <c r="V51" s="122">
        <f t="shared" si="7"/>
        <v>0</v>
      </c>
      <c r="W51" s="122">
        <f t="shared" si="7"/>
        <v>0</v>
      </c>
      <c r="X51" s="122">
        <f t="shared" si="7"/>
        <v>0</v>
      </c>
      <c r="Y51" s="122">
        <f t="shared" si="7"/>
        <v>0</v>
      </c>
      <c r="Z51" s="122">
        <f t="shared" si="7"/>
        <v>0</v>
      </c>
      <c r="AC51"/>
    </row>
    <row r="52" spans="1:29" ht="13.8" x14ac:dyDescent="0.3">
      <c r="A52" s="159"/>
      <c r="B52" s="163"/>
      <c r="C52" s="162"/>
      <c r="D52" s="161"/>
      <c r="F52" s="122" t="str">
        <f t="shared" si="1"/>
        <v>AZ</v>
      </c>
      <c r="G52" s="122" t="str">
        <f t="shared" si="2"/>
        <v/>
      </c>
      <c r="M52" s="122">
        <f t="shared" si="7"/>
        <v>0</v>
      </c>
      <c r="N52" s="122">
        <f t="shared" si="7"/>
        <v>0</v>
      </c>
      <c r="O52" s="122">
        <f t="shared" si="7"/>
        <v>0</v>
      </c>
      <c r="P52" s="122">
        <f t="shared" si="7"/>
        <v>0</v>
      </c>
      <c r="Q52" s="122">
        <f t="shared" si="7"/>
        <v>0</v>
      </c>
      <c r="R52" s="122">
        <f t="shared" si="7"/>
        <v>0</v>
      </c>
      <c r="S52" s="122">
        <f t="shared" si="7"/>
        <v>0</v>
      </c>
      <c r="T52" s="122">
        <f t="shared" si="7"/>
        <v>0</v>
      </c>
      <c r="U52" s="122">
        <f t="shared" si="7"/>
        <v>0</v>
      </c>
      <c r="V52" s="122">
        <f t="shared" si="7"/>
        <v>0</v>
      </c>
      <c r="W52" s="122">
        <f t="shared" si="7"/>
        <v>0</v>
      </c>
      <c r="X52" s="122">
        <f t="shared" si="7"/>
        <v>0</v>
      </c>
      <c r="Y52" s="122">
        <f t="shared" si="7"/>
        <v>0</v>
      </c>
      <c r="Z52" s="122">
        <f t="shared" si="7"/>
        <v>0</v>
      </c>
      <c r="AC52"/>
    </row>
    <row r="53" spans="1:29" ht="14.4" thickBot="1" x14ac:dyDescent="0.35">
      <c r="A53" s="159"/>
      <c r="B53" s="163"/>
      <c r="C53" s="162"/>
      <c r="D53" s="161"/>
      <c r="F53" s="122" t="str">
        <f t="shared" si="1"/>
        <v>AZ</v>
      </c>
      <c r="G53" s="122" t="str">
        <f t="shared" si="2"/>
        <v/>
      </c>
      <c r="M53" s="122">
        <f t="shared" si="7"/>
        <v>0</v>
      </c>
      <c r="N53" s="122">
        <f t="shared" si="7"/>
        <v>0</v>
      </c>
      <c r="O53" s="122">
        <f t="shared" si="7"/>
        <v>0</v>
      </c>
      <c r="P53" s="122">
        <f t="shared" si="7"/>
        <v>0</v>
      </c>
      <c r="Q53" s="122">
        <f t="shared" si="7"/>
        <v>0</v>
      </c>
      <c r="R53" s="122">
        <f t="shared" si="7"/>
        <v>0</v>
      </c>
      <c r="S53" s="122">
        <f t="shared" si="7"/>
        <v>0</v>
      </c>
      <c r="T53" s="122">
        <f t="shared" si="7"/>
        <v>0</v>
      </c>
      <c r="U53" s="122">
        <f t="shared" si="7"/>
        <v>0</v>
      </c>
      <c r="V53" s="122">
        <f t="shared" si="7"/>
        <v>0</v>
      </c>
      <c r="W53" s="122">
        <f t="shared" si="7"/>
        <v>0</v>
      </c>
      <c r="X53" s="122">
        <f t="shared" si="7"/>
        <v>0</v>
      </c>
      <c r="Y53" s="122">
        <f t="shared" si="7"/>
        <v>0</v>
      </c>
      <c r="Z53" s="122">
        <f t="shared" si="7"/>
        <v>0</v>
      </c>
      <c r="AC53"/>
    </row>
    <row r="54" spans="1:29" ht="47.4" thickBot="1" x14ac:dyDescent="0.35">
      <c r="A54" s="159"/>
      <c r="B54" s="147" t="s">
        <v>272</v>
      </c>
      <c r="C54" s="162"/>
      <c r="D54" s="161"/>
      <c r="F54" s="122" t="str">
        <f t="shared" si="1"/>
        <v>AZ</v>
      </c>
      <c r="G54" s="122" t="str">
        <f t="shared" si="2"/>
        <v/>
      </c>
      <c r="M54" s="122">
        <f t="shared" si="7"/>
        <v>0</v>
      </c>
      <c r="N54" s="122">
        <f t="shared" si="7"/>
        <v>0</v>
      </c>
      <c r="O54" s="122">
        <f t="shared" si="7"/>
        <v>0</v>
      </c>
      <c r="P54" s="122">
        <f t="shared" si="7"/>
        <v>0</v>
      </c>
      <c r="Q54" s="122">
        <f t="shared" si="7"/>
        <v>0</v>
      </c>
      <c r="R54" s="122">
        <f t="shared" si="7"/>
        <v>0</v>
      </c>
      <c r="S54" s="122">
        <f t="shared" si="7"/>
        <v>0</v>
      </c>
      <c r="T54" s="122">
        <f t="shared" si="7"/>
        <v>0</v>
      </c>
      <c r="U54" s="122">
        <f t="shared" si="7"/>
        <v>0</v>
      </c>
      <c r="V54" s="122">
        <f t="shared" si="7"/>
        <v>0</v>
      </c>
      <c r="W54" s="122">
        <f t="shared" si="7"/>
        <v>0</v>
      </c>
      <c r="X54" s="122">
        <f t="shared" si="7"/>
        <v>0</v>
      </c>
      <c r="Y54" s="122">
        <f t="shared" si="7"/>
        <v>0</v>
      </c>
      <c r="Z54" s="122">
        <f t="shared" si="7"/>
        <v>0</v>
      </c>
      <c r="AC54"/>
    </row>
    <row r="55" spans="1:29" ht="26.4" x14ac:dyDescent="0.3">
      <c r="A55" s="159"/>
      <c r="B55" s="146" t="s">
        <v>241</v>
      </c>
      <c r="C55" s="145" t="s">
        <v>240</v>
      </c>
      <c r="D55" s="144" t="s">
        <v>239</v>
      </c>
      <c r="E55" s="143" t="s">
        <v>238</v>
      </c>
      <c r="F55" s="122" t="str">
        <f t="shared" si="1"/>
        <v xml:space="preserve">AZ </v>
      </c>
      <c r="G55" s="122" t="str">
        <f t="shared" si="2"/>
        <v/>
      </c>
      <c r="M55" s="122">
        <f t="shared" si="7"/>
        <v>0</v>
      </c>
      <c r="N55" s="122">
        <f t="shared" si="7"/>
        <v>0</v>
      </c>
      <c r="O55" s="122">
        <f t="shared" si="7"/>
        <v>0</v>
      </c>
      <c r="P55" s="122">
        <f t="shared" si="7"/>
        <v>0</v>
      </c>
      <c r="Q55" s="122">
        <f t="shared" si="7"/>
        <v>0</v>
      </c>
      <c r="R55" s="122">
        <f t="shared" si="7"/>
        <v>0</v>
      </c>
      <c r="S55" s="122">
        <f t="shared" si="7"/>
        <v>0</v>
      </c>
      <c r="T55" s="122">
        <f t="shared" si="7"/>
        <v>0</v>
      </c>
      <c r="U55" s="122">
        <f t="shared" si="7"/>
        <v>0</v>
      </c>
      <c r="V55" s="122">
        <f t="shared" si="7"/>
        <v>0</v>
      </c>
      <c r="W55" s="122">
        <f t="shared" si="7"/>
        <v>0</v>
      </c>
      <c r="X55" s="122">
        <f t="shared" si="7"/>
        <v>0</v>
      </c>
      <c r="Y55" s="122">
        <f t="shared" si="7"/>
        <v>0</v>
      </c>
      <c r="Z55" s="122">
        <f t="shared" si="7"/>
        <v>0</v>
      </c>
      <c r="AC55"/>
    </row>
    <row r="56" spans="1:29" ht="13.8" x14ac:dyDescent="0.3">
      <c r="A56" s="159"/>
      <c r="B56" s="171" t="s">
        <v>613</v>
      </c>
      <c r="C56" s="170"/>
      <c r="D56" s="169">
        <v>244.4</v>
      </c>
      <c r="E56" s="131"/>
      <c r="F56" s="122" t="str">
        <f t="shared" si="1"/>
        <v>AZ</v>
      </c>
      <c r="G56" s="122" t="str">
        <f t="shared" si="2"/>
        <v/>
      </c>
      <c r="M56" s="122">
        <f t="shared" si="7"/>
        <v>0</v>
      </c>
      <c r="N56" s="122">
        <f t="shared" si="7"/>
        <v>0</v>
      </c>
      <c r="O56" s="122">
        <f t="shared" si="7"/>
        <v>0</v>
      </c>
      <c r="P56" s="122">
        <f t="shared" si="7"/>
        <v>0</v>
      </c>
      <c r="Q56" s="122">
        <f t="shared" si="7"/>
        <v>0</v>
      </c>
      <c r="R56" s="122">
        <f t="shared" si="7"/>
        <v>0</v>
      </c>
      <c r="S56" s="122">
        <f t="shared" si="7"/>
        <v>0</v>
      </c>
      <c r="T56" s="122">
        <f t="shared" si="7"/>
        <v>0</v>
      </c>
      <c r="U56" s="122">
        <f t="shared" si="7"/>
        <v>0</v>
      </c>
      <c r="V56" s="122">
        <f t="shared" si="7"/>
        <v>0</v>
      </c>
      <c r="W56" s="122">
        <f t="shared" si="7"/>
        <v>0</v>
      </c>
      <c r="X56" s="122">
        <f t="shared" si="7"/>
        <v>0</v>
      </c>
      <c r="Y56" s="122">
        <f t="shared" si="7"/>
        <v>0</v>
      </c>
      <c r="Z56" s="122">
        <f t="shared" si="7"/>
        <v>0</v>
      </c>
      <c r="AC56"/>
    </row>
    <row r="57" spans="1:29" ht="13.8" x14ac:dyDescent="0.3">
      <c r="A57" s="159"/>
      <c r="B57" s="171" t="s">
        <v>614</v>
      </c>
      <c r="C57" s="170"/>
      <c r="D57" s="169"/>
      <c r="E57" s="131"/>
      <c r="F57" s="122" t="str">
        <f t="shared" si="1"/>
        <v>AZ</v>
      </c>
      <c r="G57" s="122" t="str">
        <f t="shared" si="2"/>
        <v/>
      </c>
      <c r="M57" s="122">
        <f t="shared" si="7"/>
        <v>0</v>
      </c>
      <c r="N57" s="122">
        <f t="shared" si="7"/>
        <v>0</v>
      </c>
      <c r="O57" s="122">
        <f t="shared" si="7"/>
        <v>0</v>
      </c>
      <c r="P57" s="122">
        <f t="shared" si="7"/>
        <v>0</v>
      </c>
      <c r="Q57" s="122">
        <f t="shared" si="7"/>
        <v>0</v>
      </c>
      <c r="R57" s="122">
        <f t="shared" si="7"/>
        <v>0</v>
      </c>
      <c r="S57" s="122">
        <f t="shared" si="7"/>
        <v>0</v>
      </c>
      <c r="T57" s="122">
        <f t="shared" si="7"/>
        <v>0</v>
      </c>
      <c r="U57" s="122">
        <f t="shared" si="7"/>
        <v>0</v>
      </c>
      <c r="V57" s="122">
        <f t="shared" si="7"/>
        <v>0</v>
      </c>
      <c r="W57" s="122">
        <f t="shared" si="7"/>
        <v>0</v>
      </c>
      <c r="X57" s="122">
        <f t="shared" si="7"/>
        <v>0</v>
      </c>
      <c r="Y57" s="122">
        <f t="shared" si="7"/>
        <v>0</v>
      </c>
      <c r="Z57" s="122">
        <f t="shared" si="7"/>
        <v>0</v>
      </c>
      <c r="AC57"/>
    </row>
    <row r="58" spans="1:29" ht="13.8" x14ac:dyDescent="0.3">
      <c r="A58" s="159"/>
      <c r="B58" s="158" t="s">
        <v>615</v>
      </c>
      <c r="C58" s="170"/>
      <c r="D58" s="169">
        <v>147</v>
      </c>
      <c r="E58" s="168" t="s">
        <v>263</v>
      </c>
      <c r="F58" s="122" t="str">
        <f t="shared" si="1"/>
        <v>AZ3</v>
      </c>
      <c r="G58" s="122" t="str">
        <f t="shared" si="2"/>
        <v/>
      </c>
      <c r="M58" s="122">
        <f t="shared" si="7"/>
        <v>0</v>
      </c>
      <c r="N58" s="122">
        <f t="shared" si="7"/>
        <v>0</v>
      </c>
      <c r="O58" s="122">
        <f t="shared" si="7"/>
        <v>0</v>
      </c>
      <c r="P58" s="122">
        <f t="shared" si="7"/>
        <v>0</v>
      </c>
      <c r="Q58" s="122">
        <f t="shared" si="7"/>
        <v>0</v>
      </c>
      <c r="R58" s="122">
        <f t="shared" si="7"/>
        <v>0</v>
      </c>
      <c r="S58" s="122">
        <f t="shared" si="7"/>
        <v>0</v>
      </c>
      <c r="T58" s="122">
        <f t="shared" si="7"/>
        <v>0</v>
      </c>
      <c r="U58" s="122">
        <f t="shared" si="7"/>
        <v>0</v>
      </c>
      <c r="V58" s="122">
        <f t="shared" si="7"/>
        <v>0</v>
      </c>
      <c r="W58" s="122">
        <f t="shared" si="7"/>
        <v>0</v>
      </c>
      <c r="X58" s="122">
        <f t="shared" si="7"/>
        <v>0</v>
      </c>
      <c r="Y58" s="122">
        <f t="shared" si="7"/>
        <v>0</v>
      </c>
      <c r="Z58" s="122">
        <f t="shared" si="7"/>
        <v>0</v>
      </c>
      <c r="AC58"/>
    </row>
    <row r="59" spans="1:29" ht="13.8" x14ac:dyDescent="0.3">
      <c r="A59" s="159"/>
      <c r="B59" s="176" t="s">
        <v>271</v>
      </c>
      <c r="C59" s="175" t="s">
        <v>270</v>
      </c>
      <c r="D59" s="174">
        <v>60</v>
      </c>
      <c r="E59" s="168" t="s">
        <v>263</v>
      </c>
      <c r="F59" s="122" t="str">
        <f t="shared" si="1"/>
        <v>AZ3</v>
      </c>
      <c r="G59" s="122" t="str">
        <f t="shared" si="2"/>
        <v>Power plants TPP 2006 AZ 3</v>
      </c>
      <c r="H59" s="122">
        <v>2006</v>
      </c>
      <c r="I59" s="122">
        <v>20</v>
      </c>
      <c r="J59" s="122" t="s">
        <v>335</v>
      </c>
      <c r="M59" s="122">
        <f t="shared" si="7"/>
        <v>60</v>
      </c>
      <c r="N59" s="122">
        <f t="shared" si="7"/>
        <v>60</v>
      </c>
      <c r="O59" s="122">
        <f t="shared" si="7"/>
        <v>60</v>
      </c>
      <c r="P59" s="122">
        <f t="shared" si="7"/>
        <v>60</v>
      </c>
      <c r="Q59" s="122">
        <f t="shared" si="7"/>
        <v>0</v>
      </c>
      <c r="R59" s="122">
        <f t="shared" si="7"/>
        <v>0</v>
      </c>
      <c r="S59" s="122">
        <f t="shared" si="7"/>
        <v>0</v>
      </c>
      <c r="T59" s="122">
        <f t="shared" si="7"/>
        <v>0</v>
      </c>
      <c r="U59" s="122">
        <f t="shared" si="7"/>
        <v>0</v>
      </c>
      <c r="V59" s="122">
        <f t="shared" si="7"/>
        <v>0</v>
      </c>
      <c r="W59" s="122">
        <f t="shared" si="7"/>
        <v>0</v>
      </c>
      <c r="X59" s="122">
        <f t="shared" si="7"/>
        <v>0</v>
      </c>
      <c r="Y59" s="122">
        <f t="shared" si="7"/>
        <v>0</v>
      </c>
      <c r="Z59" s="122">
        <f t="shared" si="7"/>
        <v>0</v>
      </c>
      <c r="AC59"/>
    </row>
    <row r="60" spans="1:29" ht="13.8" x14ac:dyDescent="0.3">
      <c r="A60" s="159"/>
      <c r="B60" s="171" t="s">
        <v>616</v>
      </c>
      <c r="C60" s="170">
        <v>2006</v>
      </c>
      <c r="D60" s="169">
        <v>87</v>
      </c>
      <c r="E60" s="168" t="s">
        <v>263</v>
      </c>
      <c r="F60" s="122" t="str">
        <f t="shared" si="1"/>
        <v>AZ3</v>
      </c>
      <c r="G60" s="122" t="str">
        <f t="shared" si="2"/>
        <v>Power plants Other TPP 2006 AZ 3</v>
      </c>
      <c r="H60" s="122">
        <f t="shared" ref="H60" si="8">C60</f>
        <v>2006</v>
      </c>
      <c r="I60" s="122">
        <v>30</v>
      </c>
      <c r="J60" s="122" t="s">
        <v>595</v>
      </c>
      <c r="M60" s="122">
        <f>IF(($H60+$I60)&gt;M$8,IF($H60&lt;=M$8,$D60,0),0)</f>
        <v>87</v>
      </c>
      <c r="N60" s="122">
        <f t="shared" si="7"/>
        <v>87</v>
      </c>
      <c r="O60" s="122">
        <f t="shared" si="7"/>
        <v>87</v>
      </c>
      <c r="P60" s="122">
        <f t="shared" si="7"/>
        <v>87</v>
      </c>
      <c r="Q60" s="122">
        <f t="shared" si="7"/>
        <v>87</v>
      </c>
      <c r="R60" s="122">
        <f t="shared" si="7"/>
        <v>87</v>
      </c>
      <c r="S60" s="122">
        <f t="shared" si="7"/>
        <v>0</v>
      </c>
      <c r="T60" s="122">
        <f t="shared" si="7"/>
        <v>0</v>
      </c>
      <c r="U60" s="122">
        <f t="shared" si="7"/>
        <v>0</v>
      </c>
      <c r="V60" s="122">
        <f t="shared" si="7"/>
        <v>0</v>
      </c>
      <c r="W60" s="122">
        <f t="shared" si="7"/>
        <v>0</v>
      </c>
      <c r="X60" s="122">
        <f t="shared" si="7"/>
        <v>0</v>
      </c>
      <c r="Y60" s="122">
        <f t="shared" si="7"/>
        <v>0</v>
      </c>
      <c r="Z60" s="122">
        <f t="shared" si="7"/>
        <v>0</v>
      </c>
      <c r="AC60"/>
    </row>
    <row r="61" spans="1:29" ht="13.8" x14ac:dyDescent="0.3">
      <c r="A61" s="159"/>
      <c r="B61" s="173" t="s">
        <v>247</v>
      </c>
      <c r="C61" s="170"/>
      <c r="D61" s="169">
        <v>70.400000000000006</v>
      </c>
      <c r="E61" s="168" t="s">
        <v>263</v>
      </c>
      <c r="F61" s="122" t="str">
        <f t="shared" si="1"/>
        <v>AZ3</v>
      </c>
      <c r="G61" s="122" t="str">
        <f t="shared" si="2"/>
        <v/>
      </c>
      <c r="M61" s="122">
        <f t="shared" si="7"/>
        <v>0</v>
      </c>
      <c r="N61" s="122">
        <f t="shared" si="7"/>
        <v>0</v>
      </c>
      <c r="O61" s="122">
        <f t="shared" si="7"/>
        <v>0</v>
      </c>
      <c r="P61" s="122">
        <f t="shared" ref="N61:Z80" si="9">IF(($H61+$I61)&gt;P$8,IF($H61&lt;=P$8,$D61,0),0)</f>
        <v>0</v>
      </c>
      <c r="Q61" s="122">
        <f t="shared" si="9"/>
        <v>0</v>
      </c>
      <c r="R61" s="122">
        <f t="shared" si="9"/>
        <v>0</v>
      </c>
      <c r="S61" s="122">
        <f t="shared" si="9"/>
        <v>0</v>
      </c>
      <c r="T61" s="122">
        <f t="shared" si="9"/>
        <v>0</v>
      </c>
      <c r="U61" s="122">
        <f t="shared" si="9"/>
        <v>0</v>
      </c>
      <c r="V61" s="122">
        <f t="shared" si="9"/>
        <v>0</v>
      </c>
      <c r="W61" s="122">
        <f t="shared" si="9"/>
        <v>0</v>
      </c>
      <c r="X61" s="122">
        <f t="shared" si="9"/>
        <v>0</v>
      </c>
      <c r="Y61" s="122">
        <f t="shared" si="9"/>
        <v>0</v>
      </c>
      <c r="Z61" s="122">
        <f t="shared" si="9"/>
        <v>0</v>
      </c>
      <c r="AC61"/>
    </row>
    <row r="62" spans="1:29" ht="13.8" x14ac:dyDescent="0.3">
      <c r="A62" s="159"/>
      <c r="B62" s="171" t="s">
        <v>269</v>
      </c>
      <c r="C62" s="170">
        <v>1970</v>
      </c>
      <c r="D62" s="169">
        <v>22</v>
      </c>
      <c r="E62" s="168" t="s">
        <v>263</v>
      </c>
      <c r="F62" s="122" t="str">
        <f t="shared" si="1"/>
        <v>AZ3</v>
      </c>
      <c r="G62" s="122" t="str">
        <f t="shared" si="2"/>
        <v>Power plants Other HPP 1970 AZ 3</v>
      </c>
      <c r="H62" s="122">
        <f t="shared" ref="H62:H66" si="10">C62</f>
        <v>1970</v>
      </c>
      <c r="I62" s="122">
        <v>100</v>
      </c>
      <c r="J62" s="122" t="s">
        <v>329</v>
      </c>
      <c r="M62" s="122">
        <f t="shared" ref="M62:Z120" si="11">IF(($H62+$I62)&gt;M$8,IF($H62&lt;=M$8,$D62,0),0)</f>
        <v>22</v>
      </c>
      <c r="N62" s="122">
        <f t="shared" si="9"/>
        <v>22</v>
      </c>
      <c r="O62" s="122">
        <f t="shared" si="9"/>
        <v>22</v>
      </c>
      <c r="P62" s="122">
        <f t="shared" si="9"/>
        <v>22</v>
      </c>
      <c r="Q62" s="122">
        <f t="shared" si="9"/>
        <v>22</v>
      </c>
      <c r="R62" s="122">
        <f t="shared" si="9"/>
        <v>22</v>
      </c>
      <c r="S62" s="122">
        <f t="shared" si="9"/>
        <v>22</v>
      </c>
      <c r="T62" s="122">
        <f t="shared" si="9"/>
        <v>22</v>
      </c>
      <c r="U62" s="122">
        <f t="shared" si="9"/>
        <v>22</v>
      </c>
      <c r="V62" s="122">
        <f t="shared" si="9"/>
        <v>22</v>
      </c>
      <c r="W62" s="122">
        <f t="shared" si="9"/>
        <v>0</v>
      </c>
      <c r="X62" s="122">
        <f t="shared" si="9"/>
        <v>0</v>
      </c>
      <c r="Y62" s="122">
        <f t="shared" si="9"/>
        <v>0</v>
      </c>
      <c r="Z62" s="122">
        <f t="shared" si="9"/>
        <v>0</v>
      </c>
      <c r="AC62"/>
    </row>
    <row r="63" spans="1:29" ht="13.8" x14ac:dyDescent="0.3">
      <c r="A63" s="159"/>
      <c r="B63" s="171" t="s">
        <v>268</v>
      </c>
      <c r="C63" s="170">
        <v>2006</v>
      </c>
      <c r="D63" s="169">
        <v>4.5999999999999996</v>
      </c>
      <c r="E63" s="168" t="s">
        <v>263</v>
      </c>
      <c r="F63" s="122" t="str">
        <f t="shared" si="1"/>
        <v>AZ3</v>
      </c>
      <c r="G63" s="122" t="str">
        <f t="shared" si="2"/>
        <v>Power plants Other HPP 2006 AZ 3</v>
      </c>
      <c r="H63" s="122">
        <f t="shared" si="10"/>
        <v>2006</v>
      </c>
      <c r="I63" s="122">
        <v>100</v>
      </c>
      <c r="J63" s="122" t="s">
        <v>329</v>
      </c>
      <c r="M63" s="122">
        <f t="shared" si="11"/>
        <v>4.5999999999999996</v>
      </c>
      <c r="N63" s="122">
        <f t="shared" si="9"/>
        <v>4.5999999999999996</v>
      </c>
      <c r="O63" s="122">
        <f t="shared" si="9"/>
        <v>4.5999999999999996</v>
      </c>
      <c r="P63" s="122">
        <f t="shared" si="9"/>
        <v>4.5999999999999996</v>
      </c>
      <c r="Q63" s="122">
        <f t="shared" si="9"/>
        <v>4.5999999999999996</v>
      </c>
      <c r="R63" s="122">
        <f t="shared" si="9"/>
        <v>4.5999999999999996</v>
      </c>
      <c r="S63" s="122">
        <f t="shared" si="9"/>
        <v>4.5999999999999996</v>
      </c>
      <c r="T63" s="122">
        <f t="shared" si="9"/>
        <v>4.5999999999999996</v>
      </c>
      <c r="U63" s="122">
        <f t="shared" si="9"/>
        <v>4.5999999999999996</v>
      </c>
      <c r="V63" s="122">
        <f t="shared" si="9"/>
        <v>4.5999999999999996</v>
      </c>
      <c r="W63" s="122">
        <f t="shared" si="9"/>
        <v>4.5999999999999996</v>
      </c>
      <c r="X63" s="122">
        <f t="shared" si="9"/>
        <v>4.5999999999999996</v>
      </c>
      <c r="Y63" s="122">
        <f t="shared" si="9"/>
        <v>4.5999999999999996</v>
      </c>
      <c r="Z63" s="122">
        <f t="shared" si="9"/>
        <v>4.5999999999999996</v>
      </c>
      <c r="AC63"/>
    </row>
    <row r="64" spans="1:29" ht="13.8" x14ac:dyDescent="0.3">
      <c r="A64" s="159"/>
      <c r="B64" s="171" t="s">
        <v>267</v>
      </c>
      <c r="C64" s="170">
        <v>2010</v>
      </c>
      <c r="D64" s="169">
        <v>22</v>
      </c>
      <c r="E64" s="168" t="s">
        <v>263</v>
      </c>
      <c r="F64" s="122" t="str">
        <f t="shared" si="1"/>
        <v>AZ3</v>
      </c>
      <c r="G64" s="122" t="str">
        <f t="shared" si="2"/>
        <v>Power plants Other HPP 2010 AZ 3</v>
      </c>
      <c r="H64" s="122">
        <f t="shared" si="10"/>
        <v>2010</v>
      </c>
      <c r="I64" s="122">
        <v>100</v>
      </c>
      <c r="J64" s="122" t="s">
        <v>329</v>
      </c>
      <c r="M64" s="122">
        <f t="shared" si="11"/>
        <v>22</v>
      </c>
      <c r="N64" s="122">
        <f t="shared" si="9"/>
        <v>22</v>
      </c>
      <c r="O64" s="122">
        <f t="shared" si="9"/>
        <v>22</v>
      </c>
      <c r="P64" s="122">
        <f t="shared" si="9"/>
        <v>22</v>
      </c>
      <c r="Q64" s="122">
        <f t="shared" si="9"/>
        <v>22</v>
      </c>
      <c r="R64" s="122">
        <f t="shared" si="9"/>
        <v>22</v>
      </c>
      <c r="S64" s="122">
        <f t="shared" si="9"/>
        <v>22</v>
      </c>
      <c r="T64" s="122">
        <f t="shared" si="9"/>
        <v>22</v>
      </c>
      <c r="U64" s="122">
        <f t="shared" si="9"/>
        <v>22</v>
      </c>
      <c r="V64" s="122">
        <f t="shared" si="9"/>
        <v>22</v>
      </c>
      <c r="W64" s="122">
        <f t="shared" si="9"/>
        <v>22</v>
      </c>
      <c r="X64" s="122">
        <f t="shared" si="9"/>
        <v>22</v>
      </c>
      <c r="Y64" s="122">
        <f t="shared" si="9"/>
        <v>22</v>
      </c>
      <c r="Z64" s="122">
        <f t="shared" si="9"/>
        <v>22</v>
      </c>
      <c r="AC64"/>
    </row>
    <row r="65" spans="1:29" ht="13.8" x14ac:dyDescent="0.3">
      <c r="A65" s="159"/>
      <c r="B65" s="171" t="s">
        <v>266</v>
      </c>
      <c r="C65" s="170">
        <v>2013</v>
      </c>
      <c r="D65" s="169">
        <v>20.5</v>
      </c>
      <c r="E65" s="168" t="s">
        <v>263</v>
      </c>
      <c r="F65" s="122" t="str">
        <f t="shared" si="1"/>
        <v>AZ3</v>
      </c>
      <c r="G65" s="122" t="str">
        <f t="shared" si="2"/>
        <v>Power plants Other HPP 2013 AZ 3</v>
      </c>
      <c r="H65" s="122">
        <f t="shared" si="10"/>
        <v>2013</v>
      </c>
      <c r="I65" s="122">
        <v>100</v>
      </c>
      <c r="J65" s="122" t="s">
        <v>329</v>
      </c>
      <c r="M65" s="122">
        <f t="shared" si="11"/>
        <v>0</v>
      </c>
      <c r="N65" s="122">
        <f t="shared" si="9"/>
        <v>20.5</v>
      </c>
      <c r="O65" s="122">
        <f t="shared" si="9"/>
        <v>20.5</v>
      </c>
      <c r="P65" s="122">
        <f t="shared" si="9"/>
        <v>20.5</v>
      </c>
      <c r="Q65" s="122">
        <f t="shared" si="9"/>
        <v>20.5</v>
      </c>
      <c r="R65" s="122">
        <f t="shared" si="9"/>
        <v>20.5</v>
      </c>
      <c r="S65" s="122">
        <f t="shared" si="9"/>
        <v>20.5</v>
      </c>
      <c r="T65" s="122">
        <f t="shared" si="9"/>
        <v>20.5</v>
      </c>
      <c r="U65" s="122">
        <f t="shared" si="9"/>
        <v>20.5</v>
      </c>
      <c r="V65" s="122">
        <f t="shared" si="9"/>
        <v>20.5</v>
      </c>
      <c r="W65" s="122">
        <f t="shared" si="9"/>
        <v>20.5</v>
      </c>
      <c r="X65" s="122">
        <f t="shared" si="9"/>
        <v>20.5</v>
      </c>
      <c r="Y65" s="122">
        <f t="shared" si="9"/>
        <v>20.5</v>
      </c>
      <c r="Z65" s="122">
        <f t="shared" si="9"/>
        <v>20.5</v>
      </c>
      <c r="AC65"/>
    </row>
    <row r="66" spans="1:29" ht="13.8" x14ac:dyDescent="0.3">
      <c r="A66" s="159"/>
      <c r="B66" s="171" t="s">
        <v>617</v>
      </c>
      <c r="C66" s="170">
        <v>2014</v>
      </c>
      <c r="D66" s="169">
        <v>1.4</v>
      </c>
      <c r="E66" s="168" t="s">
        <v>263</v>
      </c>
      <c r="F66" s="122" t="str">
        <f t="shared" si="1"/>
        <v>AZ3</v>
      </c>
      <c r="G66" s="122" t="str">
        <f t="shared" si="2"/>
        <v>Power plants Other HPP 2014 AZ 3</v>
      </c>
      <c r="H66" s="122">
        <f t="shared" si="10"/>
        <v>2014</v>
      </c>
      <c r="I66" s="122">
        <v>100</v>
      </c>
      <c r="J66" s="122" t="s">
        <v>329</v>
      </c>
      <c r="M66" s="122">
        <f t="shared" si="11"/>
        <v>0</v>
      </c>
      <c r="N66" s="122">
        <f t="shared" si="9"/>
        <v>1.4</v>
      </c>
      <c r="O66" s="122">
        <f t="shared" si="9"/>
        <v>1.4</v>
      </c>
      <c r="P66" s="122">
        <f t="shared" si="9"/>
        <v>1.4</v>
      </c>
      <c r="Q66" s="122">
        <f t="shared" si="9"/>
        <v>1.4</v>
      </c>
      <c r="R66" s="122">
        <f t="shared" si="9"/>
        <v>1.4</v>
      </c>
      <c r="S66" s="122">
        <f t="shared" si="9"/>
        <v>1.4</v>
      </c>
      <c r="T66" s="122">
        <f t="shared" si="9"/>
        <v>1.4</v>
      </c>
      <c r="U66" s="122">
        <f t="shared" si="9"/>
        <v>1.4</v>
      </c>
      <c r="V66" s="122">
        <f t="shared" si="9"/>
        <v>1.4</v>
      </c>
      <c r="W66" s="122">
        <f t="shared" si="9"/>
        <v>1.4</v>
      </c>
      <c r="X66" s="122">
        <f t="shared" si="9"/>
        <v>1.4</v>
      </c>
      <c r="Y66" s="122">
        <f t="shared" si="9"/>
        <v>1.4</v>
      </c>
      <c r="Z66" s="122">
        <f t="shared" si="9"/>
        <v>1.4</v>
      </c>
      <c r="AC66"/>
    </row>
    <row r="67" spans="1:29" ht="18" customHeight="1" x14ac:dyDescent="0.3">
      <c r="A67" s="159"/>
      <c r="B67" s="171" t="s">
        <v>265</v>
      </c>
      <c r="C67" s="150" t="s">
        <v>253</v>
      </c>
      <c r="D67" s="169"/>
      <c r="E67" s="168" t="s">
        <v>263</v>
      </c>
      <c r="F67" s="122" t="str">
        <f t="shared" si="1"/>
        <v>AZ3</v>
      </c>
      <c r="G67" s="122" t="str">
        <f t="shared" si="2"/>
        <v>Power plants Other HPP 2023 AZ 3</v>
      </c>
      <c r="H67" s="122">
        <v>2023</v>
      </c>
      <c r="I67" s="122">
        <v>100</v>
      </c>
      <c r="J67" s="122" t="s">
        <v>329</v>
      </c>
      <c r="L67" s="122" t="s">
        <v>334</v>
      </c>
      <c r="M67" s="122">
        <f t="shared" si="11"/>
        <v>0</v>
      </c>
      <c r="N67" s="122">
        <f t="shared" si="9"/>
        <v>0</v>
      </c>
      <c r="O67" s="122">
        <f t="shared" si="9"/>
        <v>0</v>
      </c>
      <c r="P67" s="122">
        <f t="shared" si="9"/>
        <v>0</v>
      </c>
      <c r="Q67" s="122">
        <f t="shared" si="9"/>
        <v>0</v>
      </c>
      <c r="R67" s="122">
        <f t="shared" si="9"/>
        <v>0</v>
      </c>
      <c r="S67" s="122">
        <f t="shared" si="9"/>
        <v>0</v>
      </c>
      <c r="T67" s="122">
        <f t="shared" si="9"/>
        <v>0</v>
      </c>
      <c r="U67" s="122">
        <f t="shared" si="9"/>
        <v>0</v>
      </c>
      <c r="V67" s="122">
        <f t="shared" si="9"/>
        <v>0</v>
      </c>
      <c r="W67" s="122">
        <f t="shared" si="9"/>
        <v>0</v>
      </c>
      <c r="X67" s="122">
        <f t="shared" si="9"/>
        <v>0</v>
      </c>
      <c r="Y67" s="122">
        <f t="shared" si="9"/>
        <v>0</v>
      </c>
      <c r="Z67" s="122">
        <f t="shared" si="9"/>
        <v>0</v>
      </c>
      <c r="AC67"/>
    </row>
    <row r="68" spans="1:29" ht="13.8" x14ac:dyDescent="0.3">
      <c r="A68" s="159"/>
      <c r="B68" s="172" t="s">
        <v>264</v>
      </c>
      <c r="C68" s="170"/>
      <c r="D68" s="169">
        <v>27</v>
      </c>
      <c r="E68" s="131"/>
      <c r="F68" s="122" t="str">
        <f t="shared" si="1"/>
        <v>AZ</v>
      </c>
      <c r="G68" s="122" t="str">
        <f t="shared" si="2"/>
        <v/>
      </c>
      <c r="M68" s="122">
        <f t="shared" si="11"/>
        <v>0</v>
      </c>
      <c r="N68" s="122">
        <f t="shared" si="9"/>
        <v>0</v>
      </c>
      <c r="O68" s="122">
        <f t="shared" si="9"/>
        <v>0</v>
      </c>
      <c r="P68" s="122">
        <f t="shared" si="9"/>
        <v>0</v>
      </c>
      <c r="Q68" s="122">
        <f t="shared" si="9"/>
        <v>0</v>
      </c>
      <c r="R68" s="122">
        <f t="shared" si="9"/>
        <v>0</v>
      </c>
      <c r="S68" s="122">
        <f t="shared" si="9"/>
        <v>0</v>
      </c>
      <c r="T68" s="122">
        <f t="shared" si="9"/>
        <v>0</v>
      </c>
      <c r="U68" s="122">
        <f t="shared" si="9"/>
        <v>0</v>
      </c>
      <c r="V68" s="122">
        <f t="shared" si="9"/>
        <v>0</v>
      </c>
      <c r="W68" s="122">
        <f t="shared" si="9"/>
        <v>0</v>
      </c>
      <c r="X68" s="122">
        <f t="shared" si="9"/>
        <v>0</v>
      </c>
      <c r="Y68" s="122">
        <f t="shared" si="9"/>
        <v>0</v>
      </c>
      <c r="Z68" s="122">
        <f t="shared" si="9"/>
        <v>0</v>
      </c>
      <c r="AC68"/>
    </row>
    <row r="69" spans="1:29" ht="13.8" x14ac:dyDescent="0.3">
      <c r="A69" s="159"/>
      <c r="B69" s="171" t="s">
        <v>614</v>
      </c>
      <c r="C69" s="170"/>
      <c r="D69" s="169"/>
      <c r="E69" s="131"/>
      <c r="F69" s="122" t="str">
        <f t="shared" si="1"/>
        <v>AZ</v>
      </c>
      <c r="G69" s="122" t="str">
        <f t="shared" si="2"/>
        <v/>
      </c>
      <c r="M69" s="122">
        <f t="shared" si="11"/>
        <v>0</v>
      </c>
      <c r="N69" s="122">
        <f t="shared" si="9"/>
        <v>0</v>
      </c>
      <c r="O69" s="122">
        <f t="shared" si="9"/>
        <v>0</v>
      </c>
      <c r="P69" s="122">
        <f t="shared" si="9"/>
        <v>0</v>
      </c>
      <c r="Q69" s="122">
        <f t="shared" si="9"/>
        <v>0</v>
      </c>
      <c r="R69" s="122">
        <f t="shared" si="9"/>
        <v>0</v>
      </c>
      <c r="S69" s="122">
        <f t="shared" si="9"/>
        <v>0</v>
      </c>
      <c r="T69" s="122">
        <f t="shared" si="9"/>
        <v>0</v>
      </c>
      <c r="U69" s="122">
        <f t="shared" si="9"/>
        <v>0</v>
      </c>
      <c r="V69" s="122">
        <f t="shared" si="9"/>
        <v>0</v>
      </c>
      <c r="W69" s="122">
        <f t="shared" si="9"/>
        <v>0</v>
      </c>
      <c r="X69" s="122">
        <f t="shared" si="9"/>
        <v>0</v>
      </c>
      <c r="Y69" s="122">
        <f t="shared" si="9"/>
        <v>0</v>
      </c>
      <c r="Z69" s="122">
        <f t="shared" si="9"/>
        <v>0</v>
      </c>
      <c r="AC69"/>
    </row>
    <row r="70" spans="1:29" ht="13.8" x14ac:dyDescent="0.3">
      <c r="A70" s="159"/>
      <c r="B70" s="171" t="s">
        <v>618</v>
      </c>
      <c r="C70" s="170"/>
      <c r="D70" s="169">
        <v>22</v>
      </c>
      <c r="E70" s="168" t="s">
        <v>263</v>
      </c>
      <c r="F70" s="122" t="str">
        <f t="shared" si="1"/>
        <v>AZ3</v>
      </c>
      <c r="G70" s="122" t="str">
        <f t="shared" si="2"/>
        <v>Power plants Solar SPP 2020 AZ 3</v>
      </c>
      <c r="H70" s="122">
        <v>2020</v>
      </c>
      <c r="I70" s="122">
        <v>30</v>
      </c>
      <c r="J70" s="122" t="s">
        <v>597</v>
      </c>
      <c r="M70" s="122">
        <f t="shared" si="11"/>
        <v>0</v>
      </c>
      <c r="N70" s="122">
        <f t="shared" si="9"/>
        <v>0</v>
      </c>
      <c r="O70" s="122">
        <f t="shared" si="9"/>
        <v>22</v>
      </c>
      <c r="P70" s="122">
        <f t="shared" si="9"/>
        <v>22</v>
      </c>
      <c r="Q70" s="122">
        <f t="shared" si="9"/>
        <v>22</v>
      </c>
      <c r="R70" s="122">
        <f t="shared" si="9"/>
        <v>22</v>
      </c>
      <c r="S70" s="122">
        <f t="shared" si="9"/>
        <v>22</v>
      </c>
      <c r="T70" s="122">
        <f t="shared" si="9"/>
        <v>22</v>
      </c>
      <c r="U70" s="122">
        <f t="shared" si="9"/>
        <v>0</v>
      </c>
      <c r="V70" s="122">
        <f t="shared" si="9"/>
        <v>0</v>
      </c>
      <c r="W70" s="122">
        <f t="shared" si="9"/>
        <v>0</v>
      </c>
      <c r="X70" s="122">
        <f t="shared" si="9"/>
        <v>0</v>
      </c>
      <c r="Y70" s="122">
        <f t="shared" si="9"/>
        <v>0</v>
      </c>
      <c r="Z70" s="122">
        <f t="shared" si="9"/>
        <v>0</v>
      </c>
      <c r="AC70"/>
    </row>
    <row r="71" spans="1:29" ht="14.4" thickBot="1" x14ac:dyDescent="0.35">
      <c r="A71" s="159"/>
      <c r="B71" s="167" t="s">
        <v>619</v>
      </c>
      <c r="C71" s="166"/>
      <c r="D71" s="165">
        <v>5</v>
      </c>
      <c r="E71" s="164" t="s">
        <v>263</v>
      </c>
      <c r="F71" s="122" t="str">
        <f t="shared" si="1"/>
        <v>AZ3</v>
      </c>
      <c r="G71" s="122" t="str">
        <f t="shared" si="2"/>
        <v>Power plants Solar SPP 2015 AZ 3</v>
      </c>
      <c r="H71" s="122">
        <v>2015</v>
      </c>
      <c r="I71" s="122">
        <v>30</v>
      </c>
      <c r="J71" s="122" t="s">
        <v>597</v>
      </c>
      <c r="M71" s="122">
        <f t="shared" si="11"/>
        <v>0</v>
      </c>
      <c r="N71" s="122">
        <f t="shared" si="9"/>
        <v>5</v>
      </c>
      <c r="O71" s="122">
        <f t="shared" si="9"/>
        <v>5</v>
      </c>
      <c r="P71" s="122">
        <f t="shared" si="9"/>
        <v>5</v>
      </c>
      <c r="Q71" s="122">
        <f t="shared" si="9"/>
        <v>5</v>
      </c>
      <c r="R71" s="122">
        <f t="shared" si="9"/>
        <v>5</v>
      </c>
      <c r="S71" s="122">
        <f t="shared" si="9"/>
        <v>5</v>
      </c>
      <c r="T71" s="122">
        <f t="shared" si="9"/>
        <v>0</v>
      </c>
      <c r="U71" s="122">
        <f t="shared" si="9"/>
        <v>0</v>
      </c>
      <c r="V71" s="122">
        <f t="shared" si="9"/>
        <v>0</v>
      </c>
      <c r="W71" s="122">
        <f t="shared" si="9"/>
        <v>0</v>
      </c>
      <c r="X71" s="122">
        <f t="shared" si="9"/>
        <v>0</v>
      </c>
      <c r="Y71" s="122">
        <f t="shared" si="9"/>
        <v>0</v>
      </c>
      <c r="Z71" s="122">
        <f t="shared" si="9"/>
        <v>0</v>
      </c>
      <c r="AC71"/>
    </row>
    <row r="72" spans="1:29" ht="13.8" x14ac:dyDescent="0.3">
      <c r="A72" s="159"/>
      <c r="B72" s="163"/>
      <c r="C72" s="162"/>
      <c r="D72" s="161"/>
      <c r="E72" s="160"/>
      <c r="F72" s="122" t="str">
        <f t="shared" si="1"/>
        <v>AZ</v>
      </c>
      <c r="G72" s="122" t="str">
        <f t="shared" si="2"/>
        <v/>
      </c>
      <c r="M72" s="122">
        <f t="shared" si="11"/>
        <v>0</v>
      </c>
      <c r="N72" s="122">
        <f t="shared" si="9"/>
        <v>0</v>
      </c>
      <c r="O72" s="122">
        <f t="shared" si="9"/>
        <v>0</v>
      </c>
      <c r="P72" s="122">
        <f t="shared" si="9"/>
        <v>0</v>
      </c>
      <c r="Q72" s="122">
        <f t="shared" si="9"/>
        <v>0</v>
      </c>
      <c r="R72" s="122">
        <f t="shared" si="9"/>
        <v>0</v>
      </c>
      <c r="S72" s="122">
        <f t="shared" si="9"/>
        <v>0</v>
      </c>
      <c r="T72" s="122">
        <f t="shared" si="9"/>
        <v>0</v>
      </c>
      <c r="U72" s="122">
        <f t="shared" si="9"/>
        <v>0</v>
      </c>
      <c r="V72" s="122">
        <f t="shared" si="9"/>
        <v>0</v>
      </c>
      <c r="W72" s="122">
        <f t="shared" si="9"/>
        <v>0</v>
      </c>
      <c r="X72" s="122">
        <f t="shared" si="9"/>
        <v>0</v>
      </c>
      <c r="Y72" s="122">
        <f t="shared" si="9"/>
        <v>0</v>
      </c>
      <c r="Z72" s="122">
        <f t="shared" si="9"/>
        <v>0</v>
      </c>
      <c r="AC72"/>
    </row>
    <row r="73" spans="1:29" ht="14.4" thickBot="1" x14ac:dyDescent="0.35">
      <c r="A73" s="159"/>
      <c r="B73" s="163"/>
      <c r="C73" s="162"/>
      <c r="D73" s="161"/>
      <c r="E73" s="160"/>
      <c r="F73" s="122" t="str">
        <f t="shared" si="1"/>
        <v>AZ</v>
      </c>
      <c r="G73" s="122" t="str">
        <f t="shared" si="2"/>
        <v/>
      </c>
      <c r="M73" s="122">
        <f t="shared" si="11"/>
        <v>0</v>
      </c>
      <c r="N73" s="122">
        <f t="shared" si="9"/>
        <v>0</v>
      </c>
      <c r="O73" s="122">
        <f t="shared" si="9"/>
        <v>0</v>
      </c>
      <c r="P73" s="122">
        <f t="shared" si="9"/>
        <v>0</v>
      </c>
      <c r="Q73" s="122">
        <f t="shared" si="9"/>
        <v>0</v>
      </c>
      <c r="R73" s="122">
        <f t="shared" si="9"/>
        <v>0</v>
      </c>
      <c r="S73" s="122">
        <f t="shared" si="9"/>
        <v>0</v>
      </c>
      <c r="T73" s="122">
        <f t="shared" si="9"/>
        <v>0</v>
      </c>
      <c r="U73" s="122">
        <f t="shared" si="9"/>
        <v>0</v>
      </c>
      <c r="V73" s="122">
        <f t="shared" si="9"/>
        <v>0</v>
      </c>
      <c r="W73" s="122">
        <f t="shared" si="9"/>
        <v>0</v>
      </c>
      <c r="X73" s="122">
        <f t="shared" si="9"/>
        <v>0</v>
      </c>
      <c r="Y73" s="122">
        <f t="shared" si="9"/>
        <v>0</v>
      </c>
      <c r="Z73" s="122">
        <f t="shared" si="9"/>
        <v>0</v>
      </c>
      <c r="AC73"/>
    </row>
    <row r="74" spans="1:29" ht="16.2" thickBot="1" x14ac:dyDescent="0.35">
      <c r="A74" s="159"/>
      <c r="B74" s="147" t="s">
        <v>262</v>
      </c>
      <c r="C74" s="162"/>
      <c r="D74" s="161"/>
      <c r="E74" s="160"/>
      <c r="F74" s="122" t="str">
        <f t="shared" ref="F74:F129" si="12">"AZ"&amp;RIGHT(E74,1)</f>
        <v>AZ</v>
      </c>
      <c r="G74" s="122" t="str">
        <f t="shared" ref="G74:G129" si="13">IF(J74&gt;0,"Power plants "&amp;J74&amp;" "&amp;H74&amp;" "&amp;E74,"")</f>
        <v/>
      </c>
      <c r="M74" s="122">
        <f t="shared" si="11"/>
        <v>0</v>
      </c>
      <c r="N74" s="122">
        <f t="shared" si="9"/>
        <v>0</v>
      </c>
      <c r="O74" s="122">
        <f t="shared" si="9"/>
        <v>0</v>
      </c>
      <c r="P74" s="122">
        <f t="shared" si="9"/>
        <v>0</v>
      </c>
      <c r="Q74" s="122">
        <f t="shared" si="9"/>
        <v>0</v>
      </c>
      <c r="R74" s="122">
        <f t="shared" si="9"/>
        <v>0</v>
      </c>
      <c r="S74" s="122">
        <f t="shared" si="9"/>
        <v>0</v>
      </c>
      <c r="T74" s="122">
        <f t="shared" si="9"/>
        <v>0</v>
      </c>
      <c r="U74" s="122">
        <f t="shared" si="9"/>
        <v>0</v>
      </c>
      <c r="V74" s="122">
        <f t="shared" si="9"/>
        <v>0</v>
      </c>
      <c r="W74" s="122">
        <f t="shared" si="9"/>
        <v>0</v>
      </c>
      <c r="X74" s="122">
        <f t="shared" si="9"/>
        <v>0</v>
      </c>
      <c r="Y74" s="122">
        <f t="shared" si="9"/>
        <v>0</v>
      </c>
      <c r="Z74" s="122">
        <f t="shared" si="9"/>
        <v>0</v>
      </c>
      <c r="AC74"/>
    </row>
    <row r="75" spans="1:29" ht="26.4" x14ac:dyDescent="0.3">
      <c r="A75" s="159"/>
      <c r="B75" s="146" t="s">
        <v>241</v>
      </c>
      <c r="C75" s="145" t="s">
        <v>240</v>
      </c>
      <c r="D75" s="144" t="s">
        <v>239</v>
      </c>
      <c r="E75" s="143" t="s">
        <v>238</v>
      </c>
      <c r="F75" s="122" t="str">
        <f t="shared" si="12"/>
        <v xml:space="preserve">AZ </v>
      </c>
      <c r="G75" s="122" t="str">
        <f t="shared" si="13"/>
        <v/>
      </c>
      <c r="M75" s="122">
        <f t="shared" si="11"/>
        <v>0</v>
      </c>
      <c r="N75" s="122">
        <f t="shared" si="9"/>
        <v>0</v>
      </c>
      <c r="O75" s="122">
        <f t="shared" si="9"/>
        <v>0</v>
      </c>
      <c r="P75" s="122">
        <f t="shared" si="9"/>
        <v>0</v>
      </c>
      <c r="Q75" s="122">
        <f t="shared" si="9"/>
        <v>0</v>
      </c>
      <c r="R75" s="122">
        <f t="shared" si="9"/>
        <v>0</v>
      </c>
      <c r="S75" s="122">
        <f t="shared" si="9"/>
        <v>0</v>
      </c>
      <c r="T75" s="122">
        <f t="shared" si="9"/>
        <v>0</v>
      </c>
      <c r="U75" s="122">
        <f t="shared" si="9"/>
        <v>0</v>
      </c>
      <c r="V75" s="122">
        <f t="shared" si="9"/>
        <v>0</v>
      </c>
      <c r="W75" s="122">
        <f t="shared" si="9"/>
        <v>0</v>
      </c>
      <c r="X75" s="122">
        <f t="shared" si="9"/>
        <v>0</v>
      </c>
      <c r="Y75" s="122">
        <f t="shared" si="9"/>
        <v>0</v>
      </c>
      <c r="Z75" s="122">
        <f t="shared" si="9"/>
        <v>0</v>
      </c>
      <c r="AC75"/>
    </row>
    <row r="76" spans="1:29" s="151" customFormat="1" ht="13.8" x14ac:dyDescent="0.3">
      <c r="A76" s="156"/>
      <c r="B76" s="158" t="s">
        <v>261</v>
      </c>
      <c r="C76" s="154"/>
      <c r="D76" s="157">
        <v>683.8</v>
      </c>
      <c r="E76" s="152"/>
      <c r="F76" s="122" t="str">
        <f t="shared" si="12"/>
        <v>AZ</v>
      </c>
      <c r="G76" s="122" t="str">
        <f t="shared" si="13"/>
        <v/>
      </c>
      <c r="M76" s="122">
        <f t="shared" si="11"/>
        <v>0</v>
      </c>
      <c r="N76" s="122">
        <f t="shared" si="9"/>
        <v>0</v>
      </c>
      <c r="O76" s="122">
        <f t="shared" si="9"/>
        <v>0</v>
      </c>
      <c r="P76" s="122">
        <f t="shared" si="9"/>
        <v>0</v>
      </c>
      <c r="Q76" s="122">
        <f t="shared" si="9"/>
        <v>0</v>
      </c>
      <c r="R76" s="122">
        <f t="shared" si="9"/>
        <v>0</v>
      </c>
      <c r="S76" s="122">
        <f t="shared" si="9"/>
        <v>0</v>
      </c>
      <c r="T76" s="122">
        <f t="shared" si="9"/>
        <v>0</v>
      </c>
      <c r="U76" s="122">
        <f t="shared" si="9"/>
        <v>0</v>
      </c>
      <c r="V76" s="122">
        <f t="shared" si="9"/>
        <v>0</v>
      </c>
      <c r="W76" s="122">
        <f t="shared" si="9"/>
        <v>0</v>
      </c>
      <c r="X76" s="122">
        <f t="shared" si="9"/>
        <v>0</v>
      </c>
      <c r="Y76" s="122">
        <f t="shared" si="9"/>
        <v>0</v>
      </c>
      <c r="Z76" s="122">
        <f t="shared" si="9"/>
        <v>0</v>
      </c>
      <c r="AC76"/>
    </row>
    <row r="77" spans="1:29" s="151" customFormat="1" ht="13.8" x14ac:dyDescent="0.3">
      <c r="A77" s="156"/>
      <c r="B77" s="155" t="s">
        <v>614</v>
      </c>
      <c r="C77" s="154"/>
      <c r="D77" s="153"/>
      <c r="E77" s="152"/>
      <c r="F77" s="122" t="str">
        <f t="shared" si="12"/>
        <v>AZ</v>
      </c>
      <c r="G77" s="122" t="str">
        <f t="shared" si="13"/>
        <v/>
      </c>
      <c r="M77" s="122">
        <f t="shared" si="11"/>
        <v>0</v>
      </c>
      <c r="N77" s="122">
        <f t="shared" si="9"/>
        <v>0</v>
      </c>
      <c r="O77" s="122">
        <f t="shared" si="9"/>
        <v>0</v>
      </c>
      <c r="P77" s="122">
        <f t="shared" si="9"/>
        <v>0</v>
      </c>
      <c r="Q77" s="122">
        <f t="shared" si="9"/>
        <v>0</v>
      </c>
      <c r="R77" s="122">
        <f t="shared" si="9"/>
        <v>0</v>
      </c>
      <c r="S77" s="122">
        <f t="shared" si="9"/>
        <v>0</v>
      </c>
      <c r="T77" s="122">
        <f t="shared" si="9"/>
        <v>0</v>
      </c>
      <c r="U77" s="122">
        <f t="shared" si="9"/>
        <v>0</v>
      </c>
      <c r="V77" s="122">
        <f t="shared" si="9"/>
        <v>0</v>
      </c>
      <c r="W77" s="122">
        <f t="shared" si="9"/>
        <v>0</v>
      </c>
      <c r="X77" s="122">
        <f t="shared" si="9"/>
        <v>0</v>
      </c>
      <c r="Y77" s="122">
        <f t="shared" si="9"/>
        <v>0</v>
      </c>
      <c r="Z77" s="122">
        <f t="shared" si="9"/>
        <v>0</v>
      </c>
      <c r="AC77"/>
    </row>
    <row r="78" spans="1:29" ht="13.8" x14ac:dyDescent="0.3">
      <c r="B78" s="134" t="s">
        <v>620</v>
      </c>
      <c r="C78" s="133"/>
      <c r="D78" s="132">
        <v>517.5</v>
      </c>
      <c r="E78" s="131" t="s">
        <v>221</v>
      </c>
      <c r="F78" s="122" t="str">
        <f t="shared" si="12"/>
        <v>AZ1</v>
      </c>
      <c r="G78" s="122" t="str">
        <f t="shared" si="13"/>
        <v>Power plants BP Azerbaijan IPP 1991 AZ 1</v>
      </c>
      <c r="H78" s="122">
        <v>1991</v>
      </c>
      <c r="I78" s="122">
        <v>40</v>
      </c>
      <c r="J78" s="122" t="str">
        <f>B78&amp;" IPP"</f>
        <v>BP Azerbaijan IPP</v>
      </c>
      <c r="M78" s="122">
        <f t="shared" si="11"/>
        <v>517.5</v>
      </c>
      <c r="N78" s="122">
        <f t="shared" si="9"/>
        <v>517.5</v>
      </c>
      <c r="O78" s="122">
        <f t="shared" si="9"/>
        <v>517.5</v>
      </c>
      <c r="P78" s="122">
        <f t="shared" si="9"/>
        <v>517.5</v>
      </c>
      <c r="Q78" s="122">
        <f t="shared" si="9"/>
        <v>517.5</v>
      </c>
      <c r="R78" s="122">
        <f t="shared" si="9"/>
        <v>0</v>
      </c>
      <c r="S78" s="122">
        <f t="shared" si="9"/>
        <v>0</v>
      </c>
      <c r="T78" s="122">
        <f t="shared" si="9"/>
        <v>0</v>
      </c>
      <c r="U78" s="122">
        <f t="shared" si="9"/>
        <v>0</v>
      </c>
      <c r="V78" s="122">
        <f t="shared" si="9"/>
        <v>0</v>
      </c>
      <c r="W78" s="122">
        <f t="shared" si="9"/>
        <v>0</v>
      </c>
      <c r="X78" s="122">
        <f t="shared" si="9"/>
        <v>0</v>
      </c>
      <c r="Y78" s="122">
        <f t="shared" si="9"/>
        <v>0</v>
      </c>
      <c r="Z78" s="122">
        <f t="shared" si="9"/>
        <v>0</v>
      </c>
      <c r="AC78"/>
    </row>
    <row r="79" spans="1:29" ht="13.8" x14ac:dyDescent="0.3">
      <c r="B79" s="134" t="s">
        <v>259</v>
      </c>
      <c r="C79" s="133"/>
      <c r="D79" s="132">
        <v>137.69999999999999</v>
      </c>
      <c r="E79" s="131" t="s">
        <v>221</v>
      </c>
      <c r="F79" s="122" t="str">
        <f t="shared" si="12"/>
        <v>AZ1</v>
      </c>
      <c r="G79" s="122" t="str">
        <f t="shared" si="13"/>
        <v>Power plants SOCAR IPP 1992 AZ 1</v>
      </c>
      <c r="H79" s="122">
        <v>1992</v>
      </c>
      <c r="I79" s="122">
        <v>40</v>
      </c>
      <c r="J79" s="122" t="str">
        <f>B79&amp;" IPP"</f>
        <v>SOCAR IPP</v>
      </c>
      <c r="M79" s="122">
        <f t="shared" si="11"/>
        <v>137.69999999999999</v>
      </c>
      <c r="N79" s="122">
        <f t="shared" si="9"/>
        <v>137.69999999999999</v>
      </c>
      <c r="O79" s="122">
        <f t="shared" si="9"/>
        <v>137.69999999999999</v>
      </c>
      <c r="P79" s="122">
        <f t="shared" si="9"/>
        <v>137.69999999999999</v>
      </c>
      <c r="Q79" s="122">
        <f t="shared" si="9"/>
        <v>137.69999999999999</v>
      </c>
      <c r="R79" s="122">
        <f t="shared" si="9"/>
        <v>0</v>
      </c>
      <c r="S79" s="122">
        <f t="shared" si="9"/>
        <v>0</v>
      </c>
      <c r="T79" s="122">
        <f t="shared" si="9"/>
        <v>0</v>
      </c>
      <c r="U79" s="122">
        <f t="shared" si="9"/>
        <v>0</v>
      </c>
      <c r="V79" s="122">
        <f t="shared" si="9"/>
        <v>0</v>
      </c>
      <c r="W79" s="122">
        <f t="shared" si="9"/>
        <v>0</v>
      </c>
      <c r="X79" s="122">
        <f t="shared" si="9"/>
        <v>0</v>
      </c>
      <c r="Y79" s="122">
        <f t="shared" si="9"/>
        <v>0</v>
      </c>
      <c r="Z79" s="122">
        <f t="shared" si="9"/>
        <v>0</v>
      </c>
      <c r="AC79"/>
    </row>
    <row r="80" spans="1:29" ht="26.4" x14ac:dyDescent="0.3">
      <c r="B80" s="134" t="s">
        <v>258</v>
      </c>
      <c r="C80" s="133"/>
      <c r="D80" s="132">
        <v>24</v>
      </c>
      <c r="E80" s="131" t="s">
        <v>221</v>
      </c>
      <c r="F80" s="122" t="str">
        <f t="shared" si="12"/>
        <v>AZ1</v>
      </c>
      <c r="G80" s="122" t="str">
        <f t="shared" si="13"/>
        <v>Power plants Azersun Holding (Sugar Production Plant) IPP 1991 AZ 1</v>
      </c>
      <c r="H80" s="122">
        <v>1991</v>
      </c>
      <c r="I80" s="122">
        <v>40</v>
      </c>
      <c r="J80" s="122" t="str">
        <f>B80&amp;" IPP"</f>
        <v>Azersun Holding (Sugar Production Plant) IPP</v>
      </c>
      <c r="M80" s="122">
        <f t="shared" si="11"/>
        <v>24</v>
      </c>
      <c r="N80" s="122">
        <f t="shared" si="9"/>
        <v>24</v>
      </c>
      <c r="O80" s="122">
        <f t="shared" si="9"/>
        <v>24</v>
      </c>
      <c r="P80" s="122">
        <f t="shared" si="9"/>
        <v>24</v>
      </c>
      <c r="Q80" s="122">
        <f t="shared" si="9"/>
        <v>24</v>
      </c>
      <c r="R80" s="122">
        <f t="shared" si="9"/>
        <v>0</v>
      </c>
      <c r="S80" s="122">
        <f t="shared" si="9"/>
        <v>0</v>
      </c>
      <c r="T80" s="122">
        <f t="shared" si="9"/>
        <v>0</v>
      </c>
      <c r="U80" s="122">
        <f t="shared" si="9"/>
        <v>0</v>
      </c>
      <c r="V80" s="122">
        <f t="shared" si="9"/>
        <v>0</v>
      </c>
      <c r="W80" s="122">
        <f t="shared" si="9"/>
        <v>0</v>
      </c>
      <c r="X80" s="122">
        <f t="shared" ref="N80:Z100" si="14">IF(($H80+$I80)&gt;X$8,IF($H80&lt;=X$8,$D80,0),0)</f>
        <v>0</v>
      </c>
      <c r="Y80" s="122">
        <f t="shared" si="14"/>
        <v>0</v>
      </c>
      <c r="Z80" s="122">
        <f t="shared" si="14"/>
        <v>0</v>
      </c>
      <c r="AC80"/>
    </row>
    <row r="81" spans="2:29" ht="26.4" x14ac:dyDescent="0.3">
      <c r="B81" s="134" t="s">
        <v>258</v>
      </c>
      <c r="C81" s="133"/>
      <c r="D81" s="132">
        <v>8</v>
      </c>
      <c r="E81" s="131" t="s">
        <v>221</v>
      </c>
      <c r="F81" s="122" t="str">
        <f t="shared" si="12"/>
        <v>AZ1</v>
      </c>
      <c r="G81" s="122" t="str">
        <f t="shared" si="13"/>
        <v>Power plants Azersun Holding (Sugar Production Plant) IPP 1991 AZ 1</v>
      </c>
      <c r="H81" s="122">
        <v>1991</v>
      </c>
      <c r="I81" s="122">
        <v>40</v>
      </c>
      <c r="J81" s="122" t="str">
        <f>B81&amp;" IPP"</f>
        <v>Azersun Holding (Sugar Production Plant) IPP</v>
      </c>
      <c r="M81" s="122">
        <f t="shared" si="11"/>
        <v>8</v>
      </c>
      <c r="N81" s="122">
        <f t="shared" si="14"/>
        <v>8</v>
      </c>
      <c r="O81" s="122">
        <f t="shared" si="14"/>
        <v>8</v>
      </c>
      <c r="P81" s="122">
        <f t="shared" si="14"/>
        <v>8</v>
      </c>
      <c r="Q81" s="122">
        <f t="shared" si="14"/>
        <v>8</v>
      </c>
      <c r="R81" s="122">
        <f t="shared" si="14"/>
        <v>0</v>
      </c>
      <c r="S81" s="122">
        <f t="shared" si="14"/>
        <v>0</v>
      </c>
      <c r="T81" s="122">
        <f t="shared" si="14"/>
        <v>0</v>
      </c>
      <c r="U81" s="122">
        <f t="shared" si="14"/>
        <v>0</v>
      </c>
      <c r="V81" s="122">
        <f t="shared" si="14"/>
        <v>0</v>
      </c>
      <c r="W81" s="122">
        <f t="shared" si="14"/>
        <v>0</v>
      </c>
      <c r="X81" s="122">
        <f t="shared" si="14"/>
        <v>0</v>
      </c>
      <c r="Y81" s="122">
        <f t="shared" si="14"/>
        <v>0</v>
      </c>
      <c r="Z81" s="122">
        <f t="shared" si="14"/>
        <v>0</v>
      </c>
      <c r="AC81"/>
    </row>
    <row r="82" spans="2:29" ht="13.8" x14ac:dyDescent="0.3">
      <c r="B82" s="134"/>
      <c r="C82" s="133"/>
      <c r="D82" s="132"/>
      <c r="E82" s="131"/>
      <c r="F82" s="122" t="str">
        <f t="shared" si="12"/>
        <v>AZ</v>
      </c>
      <c r="G82" s="122" t="str">
        <f t="shared" si="13"/>
        <v/>
      </c>
      <c r="M82" s="122">
        <f t="shared" si="11"/>
        <v>0</v>
      </c>
      <c r="N82" s="122">
        <f t="shared" si="14"/>
        <v>0</v>
      </c>
      <c r="O82" s="122">
        <f t="shared" si="14"/>
        <v>0</v>
      </c>
      <c r="P82" s="122">
        <f t="shared" si="14"/>
        <v>0</v>
      </c>
      <c r="Q82" s="122">
        <f t="shared" si="14"/>
        <v>0</v>
      </c>
      <c r="R82" s="122">
        <f t="shared" si="14"/>
        <v>0</v>
      </c>
      <c r="S82" s="122">
        <f t="shared" si="14"/>
        <v>0</v>
      </c>
      <c r="T82" s="122">
        <f t="shared" si="14"/>
        <v>0</v>
      </c>
      <c r="U82" s="122">
        <f t="shared" si="14"/>
        <v>0</v>
      </c>
      <c r="V82" s="122">
        <f t="shared" si="14"/>
        <v>0</v>
      </c>
      <c r="W82" s="122">
        <f t="shared" si="14"/>
        <v>0</v>
      </c>
      <c r="X82" s="122">
        <f t="shared" si="14"/>
        <v>0</v>
      </c>
      <c r="Y82" s="122">
        <f t="shared" si="14"/>
        <v>0</v>
      </c>
      <c r="Z82" s="122">
        <f t="shared" si="14"/>
        <v>0</v>
      </c>
      <c r="AC82"/>
    </row>
    <row r="83" spans="2:29" ht="13.8" x14ac:dyDescent="0.3">
      <c r="B83" s="137" t="s">
        <v>257</v>
      </c>
      <c r="C83" s="133"/>
      <c r="D83" s="132">
        <v>8.0399999999999991</v>
      </c>
      <c r="E83" s="131" t="s">
        <v>221</v>
      </c>
      <c r="F83" s="122" t="str">
        <f t="shared" si="12"/>
        <v>AZ1</v>
      </c>
      <c r="G83" s="122" t="str">
        <f t="shared" si="13"/>
        <v/>
      </c>
      <c r="M83" s="122">
        <f t="shared" si="11"/>
        <v>0</v>
      </c>
      <c r="N83" s="122">
        <f t="shared" si="14"/>
        <v>0</v>
      </c>
      <c r="O83" s="122">
        <f t="shared" si="14"/>
        <v>0</v>
      </c>
      <c r="P83" s="122">
        <f t="shared" si="14"/>
        <v>0</v>
      </c>
      <c r="Q83" s="122">
        <f t="shared" si="14"/>
        <v>0</v>
      </c>
      <c r="R83" s="122">
        <f t="shared" si="14"/>
        <v>0</v>
      </c>
      <c r="S83" s="122">
        <f t="shared" si="14"/>
        <v>0</v>
      </c>
      <c r="T83" s="122">
        <f t="shared" si="14"/>
        <v>0</v>
      </c>
      <c r="U83" s="122">
        <f t="shared" si="14"/>
        <v>0</v>
      </c>
      <c r="V83" s="122">
        <f t="shared" si="14"/>
        <v>0</v>
      </c>
      <c r="W83" s="122">
        <f t="shared" si="14"/>
        <v>0</v>
      </c>
      <c r="X83" s="122">
        <f t="shared" si="14"/>
        <v>0</v>
      </c>
      <c r="Y83" s="122">
        <f t="shared" si="14"/>
        <v>0</v>
      </c>
      <c r="Z83" s="122">
        <f t="shared" si="14"/>
        <v>0</v>
      </c>
      <c r="AC83"/>
    </row>
    <row r="84" spans="2:29" ht="13.8" x14ac:dyDescent="0.3">
      <c r="B84" s="134" t="s">
        <v>256</v>
      </c>
      <c r="C84" s="133"/>
      <c r="D84" s="132"/>
      <c r="E84" s="131"/>
      <c r="F84" s="122" t="str">
        <f t="shared" si="12"/>
        <v>AZ</v>
      </c>
      <c r="G84" s="122" t="str">
        <f t="shared" si="13"/>
        <v/>
      </c>
      <c r="M84" s="122">
        <f t="shared" si="11"/>
        <v>0</v>
      </c>
      <c r="N84" s="122">
        <f t="shared" si="14"/>
        <v>0</v>
      </c>
      <c r="O84" s="122">
        <f t="shared" si="14"/>
        <v>0</v>
      </c>
      <c r="P84" s="122">
        <f t="shared" si="14"/>
        <v>0</v>
      </c>
      <c r="Q84" s="122">
        <f t="shared" si="14"/>
        <v>0</v>
      </c>
      <c r="R84" s="122">
        <f t="shared" si="14"/>
        <v>0</v>
      </c>
      <c r="S84" s="122">
        <f t="shared" si="14"/>
        <v>0</v>
      </c>
      <c r="T84" s="122">
        <f t="shared" si="14"/>
        <v>0</v>
      </c>
      <c r="U84" s="122">
        <f t="shared" si="14"/>
        <v>0</v>
      </c>
      <c r="V84" s="122">
        <f t="shared" si="14"/>
        <v>0</v>
      </c>
      <c r="W84" s="122">
        <f t="shared" si="14"/>
        <v>0</v>
      </c>
      <c r="X84" s="122">
        <f t="shared" si="14"/>
        <v>0</v>
      </c>
      <c r="Y84" s="122">
        <f t="shared" si="14"/>
        <v>0</v>
      </c>
      <c r="Z84" s="122">
        <f t="shared" si="14"/>
        <v>0</v>
      </c>
      <c r="AC84"/>
    </row>
    <row r="85" spans="2:29" ht="13.8" x14ac:dyDescent="0.3">
      <c r="B85" s="134" t="s">
        <v>621</v>
      </c>
      <c r="C85" s="133"/>
      <c r="D85" s="132">
        <v>8</v>
      </c>
      <c r="E85" s="131" t="s">
        <v>221</v>
      </c>
      <c r="F85" s="122" t="str">
        <f t="shared" si="12"/>
        <v>AZ1</v>
      </c>
      <c r="G85" s="122" t="str">
        <f t="shared" si="13"/>
        <v>Power plants Wind WPP 2015 AZ 1</v>
      </c>
      <c r="H85" s="122">
        <v>2015</v>
      </c>
      <c r="I85" s="122">
        <v>25</v>
      </c>
      <c r="J85" s="122" t="s">
        <v>596</v>
      </c>
      <c r="M85" s="122">
        <f t="shared" si="11"/>
        <v>0</v>
      </c>
      <c r="N85" s="122">
        <f t="shared" si="14"/>
        <v>8</v>
      </c>
      <c r="O85" s="122">
        <f t="shared" si="14"/>
        <v>8</v>
      </c>
      <c r="P85" s="122">
        <f t="shared" si="14"/>
        <v>8</v>
      </c>
      <c r="Q85" s="122">
        <f t="shared" si="14"/>
        <v>8</v>
      </c>
      <c r="R85" s="122">
        <f t="shared" si="14"/>
        <v>8</v>
      </c>
      <c r="S85" s="122">
        <f t="shared" si="14"/>
        <v>0</v>
      </c>
      <c r="T85" s="122">
        <f t="shared" si="14"/>
        <v>0</v>
      </c>
      <c r="U85" s="122">
        <f t="shared" si="14"/>
        <v>0</v>
      </c>
      <c r="V85" s="122">
        <f t="shared" si="14"/>
        <v>0</v>
      </c>
      <c r="W85" s="122">
        <f t="shared" si="14"/>
        <v>0</v>
      </c>
      <c r="X85" s="122">
        <f t="shared" si="14"/>
        <v>0</v>
      </c>
      <c r="Y85" s="122">
        <f t="shared" si="14"/>
        <v>0</v>
      </c>
      <c r="Z85" s="122">
        <f t="shared" si="14"/>
        <v>0</v>
      </c>
      <c r="AC85"/>
    </row>
    <row r="86" spans="2:29" ht="13.8" x14ac:dyDescent="0.3">
      <c r="B86" s="134" t="s">
        <v>622</v>
      </c>
      <c r="C86" s="133"/>
      <c r="D86" s="132">
        <v>8.0399999999999991</v>
      </c>
      <c r="E86" s="131" t="s">
        <v>221</v>
      </c>
      <c r="F86" s="122" t="str">
        <f t="shared" si="12"/>
        <v>AZ1</v>
      </c>
      <c r="G86" s="122" t="str">
        <f t="shared" si="13"/>
        <v>Power plants Wind WPP 2015 AZ 1</v>
      </c>
      <c r="H86" s="122">
        <v>2015</v>
      </c>
      <c r="I86" s="122">
        <v>25</v>
      </c>
      <c r="J86" s="122" t="s">
        <v>596</v>
      </c>
      <c r="M86" s="122">
        <f t="shared" si="11"/>
        <v>0</v>
      </c>
      <c r="N86" s="122">
        <f t="shared" si="14"/>
        <v>8.0399999999999991</v>
      </c>
      <c r="O86" s="122">
        <f t="shared" si="14"/>
        <v>8.0399999999999991</v>
      </c>
      <c r="P86" s="122">
        <f t="shared" si="14"/>
        <v>8.0399999999999991</v>
      </c>
      <c r="Q86" s="122">
        <f t="shared" si="14"/>
        <v>8.0399999999999991</v>
      </c>
      <c r="R86" s="122">
        <f t="shared" si="14"/>
        <v>8.0399999999999991</v>
      </c>
      <c r="S86" s="122">
        <f t="shared" si="14"/>
        <v>0</v>
      </c>
      <c r="T86" s="122">
        <f t="shared" si="14"/>
        <v>0</v>
      </c>
      <c r="U86" s="122">
        <f t="shared" si="14"/>
        <v>0</v>
      </c>
      <c r="V86" s="122">
        <f t="shared" si="14"/>
        <v>0</v>
      </c>
      <c r="W86" s="122">
        <f t="shared" si="14"/>
        <v>0</v>
      </c>
      <c r="X86" s="122">
        <f t="shared" si="14"/>
        <v>0</v>
      </c>
      <c r="Y86" s="122">
        <f t="shared" si="14"/>
        <v>0</v>
      </c>
      <c r="Z86" s="122">
        <f t="shared" si="14"/>
        <v>0</v>
      </c>
      <c r="AC86"/>
    </row>
    <row r="87" spans="2:29" ht="13.8" x14ac:dyDescent="0.3">
      <c r="B87" s="134" t="s">
        <v>255</v>
      </c>
      <c r="C87" s="150" t="s">
        <v>253</v>
      </c>
      <c r="D87" s="132">
        <v>240</v>
      </c>
      <c r="E87" s="131" t="s">
        <v>221</v>
      </c>
      <c r="F87" s="122" t="str">
        <f t="shared" si="12"/>
        <v>AZ1</v>
      </c>
      <c r="G87" s="122" t="str">
        <f t="shared" si="13"/>
        <v>Power plants Wind WPP 2023 AZ 1</v>
      </c>
      <c r="H87" s="122">
        <v>2023</v>
      </c>
      <c r="I87" s="122">
        <v>25</v>
      </c>
      <c r="J87" s="122" t="s">
        <v>596</v>
      </c>
      <c r="K87" s="122" t="s">
        <v>334</v>
      </c>
      <c r="M87" s="122">
        <f t="shared" si="11"/>
        <v>0</v>
      </c>
      <c r="N87" s="122">
        <f t="shared" si="14"/>
        <v>0</v>
      </c>
      <c r="O87" s="122">
        <f t="shared" si="14"/>
        <v>0</v>
      </c>
      <c r="P87" s="122">
        <f t="shared" si="14"/>
        <v>240</v>
      </c>
      <c r="Q87" s="122">
        <f t="shared" si="14"/>
        <v>240</v>
      </c>
      <c r="R87" s="122">
        <f t="shared" si="14"/>
        <v>240</v>
      </c>
      <c r="S87" s="122">
        <f t="shared" si="14"/>
        <v>240</v>
      </c>
      <c r="T87" s="122">
        <f t="shared" si="14"/>
        <v>240</v>
      </c>
      <c r="U87" s="122">
        <f t="shared" si="14"/>
        <v>0</v>
      </c>
      <c r="V87" s="122">
        <f t="shared" si="14"/>
        <v>0</v>
      </c>
      <c r="W87" s="122">
        <f t="shared" si="14"/>
        <v>0</v>
      </c>
      <c r="X87" s="122">
        <f t="shared" si="14"/>
        <v>0</v>
      </c>
      <c r="Y87" s="122">
        <f t="shared" si="14"/>
        <v>0</v>
      </c>
      <c r="Z87" s="122">
        <f t="shared" si="14"/>
        <v>0</v>
      </c>
      <c r="AC87"/>
    </row>
    <row r="88" spans="2:29" ht="13.8" x14ac:dyDescent="0.3">
      <c r="B88" s="134"/>
      <c r="C88" s="133"/>
      <c r="D88" s="132"/>
      <c r="E88" s="131"/>
      <c r="F88" s="122" t="str">
        <f t="shared" si="12"/>
        <v>AZ</v>
      </c>
      <c r="G88" s="122" t="str">
        <f t="shared" si="13"/>
        <v/>
      </c>
      <c r="M88" s="122">
        <f t="shared" si="11"/>
        <v>0</v>
      </c>
      <c r="N88" s="122">
        <f t="shared" si="14"/>
        <v>0</v>
      </c>
      <c r="O88" s="122">
        <f t="shared" si="14"/>
        <v>0</v>
      </c>
      <c r="P88" s="122">
        <f t="shared" si="14"/>
        <v>0</v>
      </c>
      <c r="Q88" s="122">
        <f t="shared" si="14"/>
        <v>0</v>
      </c>
      <c r="R88" s="122">
        <f t="shared" si="14"/>
        <v>0</v>
      </c>
      <c r="S88" s="122">
        <f t="shared" si="14"/>
        <v>0</v>
      </c>
      <c r="T88" s="122">
        <f t="shared" si="14"/>
        <v>0</v>
      </c>
      <c r="U88" s="122">
        <f t="shared" si="14"/>
        <v>0</v>
      </c>
      <c r="V88" s="122">
        <f t="shared" si="14"/>
        <v>0</v>
      </c>
      <c r="W88" s="122">
        <f t="shared" si="14"/>
        <v>0</v>
      </c>
      <c r="X88" s="122">
        <f t="shared" si="14"/>
        <v>0</v>
      </c>
      <c r="Y88" s="122">
        <f t="shared" si="14"/>
        <v>0</v>
      </c>
      <c r="Z88" s="122">
        <f t="shared" si="14"/>
        <v>0</v>
      </c>
      <c r="AC88"/>
    </row>
    <row r="89" spans="2:29" ht="13.8" x14ac:dyDescent="0.3">
      <c r="B89" s="138" t="s">
        <v>254</v>
      </c>
      <c r="C89" s="133"/>
      <c r="D89" s="132"/>
      <c r="E89" s="131"/>
      <c r="F89" s="122" t="str">
        <f t="shared" si="12"/>
        <v>AZ</v>
      </c>
      <c r="G89" s="122" t="str">
        <f t="shared" si="13"/>
        <v/>
      </c>
      <c r="M89" s="122">
        <f t="shared" si="11"/>
        <v>0</v>
      </c>
      <c r="N89" s="122">
        <f t="shared" si="14"/>
        <v>0</v>
      </c>
      <c r="O89" s="122">
        <f t="shared" si="14"/>
        <v>0</v>
      </c>
      <c r="P89" s="122">
        <f t="shared" si="14"/>
        <v>0</v>
      </c>
      <c r="Q89" s="122">
        <f t="shared" si="14"/>
        <v>0</v>
      </c>
      <c r="R89" s="122">
        <f t="shared" si="14"/>
        <v>0</v>
      </c>
      <c r="S89" s="122">
        <f t="shared" si="14"/>
        <v>0</v>
      </c>
      <c r="T89" s="122">
        <f t="shared" si="14"/>
        <v>0</v>
      </c>
      <c r="U89" s="122">
        <f t="shared" si="14"/>
        <v>0</v>
      </c>
      <c r="V89" s="122">
        <f t="shared" si="14"/>
        <v>0</v>
      </c>
      <c r="W89" s="122">
        <f t="shared" si="14"/>
        <v>0</v>
      </c>
      <c r="X89" s="122">
        <f t="shared" si="14"/>
        <v>0</v>
      </c>
      <c r="Y89" s="122">
        <f t="shared" si="14"/>
        <v>0</v>
      </c>
      <c r="Z89" s="122">
        <f t="shared" si="14"/>
        <v>0</v>
      </c>
      <c r="AC89"/>
    </row>
    <row r="90" spans="2:29" ht="13.8" x14ac:dyDescent="0.3">
      <c r="B90" s="134" t="s">
        <v>623</v>
      </c>
      <c r="C90" s="150" t="s">
        <v>253</v>
      </c>
      <c r="D90" s="132">
        <v>230</v>
      </c>
      <c r="E90" s="131" t="s">
        <v>221</v>
      </c>
      <c r="F90" s="122" t="str">
        <f t="shared" si="12"/>
        <v>AZ1</v>
      </c>
      <c r="G90" s="122" t="str">
        <f t="shared" si="13"/>
        <v>Power plants Solar SPP 2023 AZ 1</v>
      </c>
      <c r="H90" s="122">
        <v>2023</v>
      </c>
      <c r="I90" s="122">
        <v>30</v>
      </c>
      <c r="J90" s="122" t="s">
        <v>597</v>
      </c>
      <c r="K90" s="122" t="s">
        <v>334</v>
      </c>
      <c r="M90" s="122">
        <f t="shared" si="11"/>
        <v>0</v>
      </c>
      <c r="N90" s="122">
        <f t="shared" si="14"/>
        <v>0</v>
      </c>
      <c r="O90" s="122">
        <f t="shared" si="14"/>
        <v>0</v>
      </c>
      <c r="P90" s="122">
        <f t="shared" si="14"/>
        <v>230</v>
      </c>
      <c r="Q90" s="122">
        <f t="shared" si="14"/>
        <v>230</v>
      </c>
      <c r="R90" s="122">
        <f t="shared" si="14"/>
        <v>230</v>
      </c>
      <c r="S90" s="122">
        <f t="shared" si="14"/>
        <v>230</v>
      </c>
      <c r="T90" s="122">
        <f t="shared" si="14"/>
        <v>230</v>
      </c>
      <c r="U90" s="122">
        <f t="shared" si="14"/>
        <v>230</v>
      </c>
      <c r="V90" s="122">
        <f t="shared" si="14"/>
        <v>0</v>
      </c>
      <c r="W90" s="122">
        <f t="shared" si="14"/>
        <v>0</v>
      </c>
      <c r="X90" s="122">
        <f t="shared" si="14"/>
        <v>0</v>
      </c>
      <c r="Y90" s="122">
        <f t="shared" si="14"/>
        <v>0</v>
      </c>
      <c r="Z90" s="122">
        <f t="shared" si="14"/>
        <v>0</v>
      </c>
      <c r="AC90"/>
    </row>
    <row r="91" spans="2:29" ht="53.4" thickBot="1" x14ac:dyDescent="0.35">
      <c r="B91" s="134" t="s">
        <v>252</v>
      </c>
      <c r="C91" s="150" t="s">
        <v>251</v>
      </c>
      <c r="D91" s="132">
        <v>240</v>
      </c>
      <c r="E91" s="149" t="s">
        <v>250</v>
      </c>
      <c r="F91" s="122" t="str">
        <f t="shared" si="12"/>
        <v>AZ2</v>
      </c>
      <c r="G91" s="122" t="str">
        <f t="shared" si="13"/>
        <v>Power plants Solar SPP 2023 AZ 2</v>
      </c>
      <c r="H91" s="122">
        <v>2023</v>
      </c>
      <c r="I91" s="122">
        <v>30</v>
      </c>
      <c r="J91" s="122" t="s">
        <v>597</v>
      </c>
      <c r="K91" s="122" t="s">
        <v>334</v>
      </c>
      <c r="M91" s="122">
        <f t="shared" si="11"/>
        <v>0</v>
      </c>
      <c r="N91" s="122">
        <f t="shared" si="14"/>
        <v>0</v>
      </c>
      <c r="O91" s="122">
        <f t="shared" si="14"/>
        <v>0</v>
      </c>
      <c r="P91" s="122">
        <f t="shared" si="14"/>
        <v>240</v>
      </c>
      <c r="Q91" s="122">
        <f t="shared" si="14"/>
        <v>240</v>
      </c>
      <c r="R91" s="122">
        <f t="shared" si="14"/>
        <v>240</v>
      </c>
      <c r="S91" s="122">
        <f t="shared" si="14"/>
        <v>240</v>
      </c>
      <c r="T91" s="122">
        <f t="shared" si="14"/>
        <v>240</v>
      </c>
      <c r="U91" s="122">
        <f t="shared" si="14"/>
        <v>240</v>
      </c>
      <c r="V91" s="122">
        <f t="shared" si="14"/>
        <v>0</v>
      </c>
      <c r="W91" s="122">
        <f t="shared" si="14"/>
        <v>0</v>
      </c>
      <c r="X91" s="122">
        <f t="shared" si="14"/>
        <v>0</v>
      </c>
      <c r="Y91" s="122">
        <f t="shared" si="14"/>
        <v>0</v>
      </c>
      <c r="Z91" s="122">
        <f t="shared" si="14"/>
        <v>0</v>
      </c>
      <c r="AC91"/>
    </row>
    <row r="92" spans="2:29" ht="13.8" x14ac:dyDescent="0.3">
      <c r="B92" s="134" t="s">
        <v>622</v>
      </c>
      <c r="C92" s="133"/>
      <c r="D92" s="148">
        <v>0.02</v>
      </c>
      <c r="E92" s="131" t="s">
        <v>221</v>
      </c>
      <c r="F92" s="122" t="str">
        <f t="shared" si="12"/>
        <v>AZ1</v>
      </c>
      <c r="G92" s="122" t="str">
        <f t="shared" si="13"/>
        <v>Power plants Solar SPP 2015 AZ 1</v>
      </c>
      <c r="H92" s="122">
        <v>2015</v>
      </c>
      <c r="I92" s="122">
        <v>30</v>
      </c>
      <c r="J92" s="122" t="s">
        <v>597</v>
      </c>
      <c r="M92" s="122">
        <f t="shared" si="11"/>
        <v>0</v>
      </c>
      <c r="N92" s="122">
        <f t="shared" si="14"/>
        <v>0.02</v>
      </c>
      <c r="O92" s="122">
        <f t="shared" si="14"/>
        <v>0.02</v>
      </c>
      <c r="P92" s="122">
        <f t="shared" si="14"/>
        <v>0.02</v>
      </c>
      <c r="Q92" s="122">
        <f t="shared" si="14"/>
        <v>0.02</v>
      </c>
      <c r="R92" s="122">
        <f t="shared" si="14"/>
        <v>0.02</v>
      </c>
      <c r="S92" s="122">
        <f t="shared" si="14"/>
        <v>0.02</v>
      </c>
      <c r="T92" s="122">
        <f t="shared" si="14"/>
        <v>0</v>
      </c>
      <c r="U92" s="122">
        <f t="shared" si="14"/>
        <v>0</v>
      </c>
      <c r="V92" s="122">
        <f t="shared" si="14"/>
        <v>0</v>
      </c>
      <c r="W92" s="122">
        <f t="shared" si="14"/>
        <v>0</v>
      </c>
      <c r="X92" s="122">
        <f t="shared" si="14"/>
        <v>0</v>
      </c>
      <c r="Y92" s="122">
        <f t="shared" si="14"/>
        <v>0</v>
      </c>
      <c r="Z92" s="122">
        <f t="shared" si="14"/>
        <v>0</v>
      </c>
      <c r="AC92"/>
    </row>
    <row r="93" spans="2:29" ht="13.8" x14ac:dyDescent="0.3">
      <c r="B93" s="134"/>
      <c r="C93" s="133"/>
      <c r="D93" s="132"/>
      <c r="E93" s="131"/>
      <c r="F93" s="122" t="str">
        <f t="shared" si="12"/>
        <v>AZ</v>
      </c>
      <c r="G93" s="122" t="str">
        <f t="shared" si="13"/>
        <v/>
      </c>
      <c r="M93" s="122">
        <f t="shared" si="11"/>
        <v>0</v>
      </c>
      <c r="N93" s="122">
        <f t="shared" si="14"/>
        <v>0</v>
      </c>
      <c r="O93" s="122">
        <f t="shared" si="14"/>
        <v>0</v>
      </c>
      <c r="P93" s="122">
        <f t="shared" si="14"/>
        <v>0</v>
      </c>
      <c r="Q93" s="122">
        <f t="shared" si="14"/>
        <v>0</v>
      </c>
      <c r="R93" s="122">
        <f t="shared" si="14"/>
        <v>0</v>
      </c>
      <c r="S93" s="122">
        <f t="shared" si="14"/>
        <v>0</v>
      </c>
      <c r="T93" s="122">
        <f t="shared" si="14"/>
        <v>0</v>
      </c>
      <c r="U93" s="122">
        <f t="shared" si="14"/>
        <v>0</v>
      </c>
      <c r="V93" s="122">
        <f t="shared" si="14"/>
        <v>0</v>
      </c>
      <c r="W93" s="122">
        <f t="shared" si="14"/>
        <v>0</v>
      </c>
      <c r="X93" s="122">
        <f t="shared" si="14"/>
        <v>0</v>
      </c>
      <c r="Y93" s="122">
        <f t="shared" si="14"/>
        <v>0</v>
      </c>
      <c r="Z93" s="122">
        <f t="shared" si="14"/>
        <v>0</v>
      </c>
      <c r="AC93"/>
    </row>
    <row r="94" spans="2:29" ht="13.8" x14ac:dyDescent="0.3">
      <c r="B94" s="136" t="s">
        <v>249</v>
      </c>
      <c r="C94" s="133"/>
      <c r="D94" s="132"/>
      <c r="E94" s="131"/>
      <c r="F94" s="122" t="str">
        <f t="shared" si="12"/>
        <v>AZ</v>
      </c>
      <c r="G94" s="122" t="str">
        <f t="shared" si="13"/>
        <v/>
      </c>
      <c r="M94" s="122">
        <f t="shared" si="11"/>
        <v>0</v>
      </c>
      <c r="N94" s="122">
        <f t="shared" si="14"/>
        <v>0</v>
      </c>
      <c r="O94" s="122">
        <f t="shared" si="14"/>
        <v>0</v>
      </c>
      <c r="P94" s="122">
        <f t="shared" si="14"/>
        <v>0</v>
      </c>
      <c r="Q94" s="122">
        <f t="shared" si="14"/>
        <v>0</v>
      </c>
      <c r="R94" s="122">
        <f t="shared" si="14"/>
        <v>0</v>
      </c>
      <c r="S94" s="122">
        <f t="shared" si="14"/>
        <v>0</v>
      </c>
      <c r="T94" s="122">
        <f t="shared" si="14"/>
        <v>0</v>
      </c>
      <c r="U94" s="122">
        <f t="shared" si="14"/>
        <v>0</v>
      </c>
      <c r="V94" s="122">
        <f t="shared" si="14"/>
        <v>0</v>
      </c>
      <c r="W94" s="122">
        <f t="shared" si="14"/>
        <v>0</v>
      </c>
      <c r="X94" s="122">
        <f t="shared" si="14"/>
        <v>0</v>
      </c>
      <c r="Y94" s="122">
        <f t="shared" si="14"/>
        <v>0</v>
      </c>
      <c r="Z94" s="122">
        <f t="shared" si="14"/>
        <v>0</v>
      </c>
      <c r="AC94"/>
    </row>
    <row r="95" spans="2:29" ht="32.25" customHeight="1" x14ac:dyDescent="0.3">
      <c r="B95" s="134" t="s">
        <v>624</v>
      </c>
      <c r="C95" s="133"/>
      <c r="D95" s="132">
        <v>37</v>
      </c>
      <c r="E95" s="131" t="s">
        <v>221</v>
      </c>
      <c r="F95" s="122" t="str">
        <f t="shared" si="12"/>
        <v>AZ1</v>
      </c>
      <c r="G95" s="122" t="str">
        <f t="shared" si="13"/>
        <v>Power plants Balakhani Power Plant (Minicipal waste incineration) TPP 2015 AZ 1</v>
      </c>
      <c r="H95" s="122">
        <v>2015</v>
      </c>
      <c r="I95" s="122">
        <v>25</v>
      </c>
      <c r="J95" s="122" t="str">
        <f>B95&amp;" TPP"</f>
        <v>Balakhani Power Plant (Minicipal waste incineration) TPP</v>
      </c>
      <c r="M95" s="122">
        <f t="shared" si="11"/>
        <v>0</v>
      </c>
      <c r="N95" s="122">
        <f t="shared" si="14"/>
        <v>37</v>
      </c>
      <c r="O95" s="122">
        <f t="shared" si="14"/>
        <v>37</v>
      </c>
      <c r="P95" s="122">
        <f t="shared" si="14"/>
        <v>37</v>
      </c>
      <c r="Q95" s="122">
        <f t="shared" si="14"/>
        <v>37</v>
      </c>
      <c r="R95" s="122">
        <f t="shared" si="14"/>
        <v>37</v>
      </c>
      <c r="S95" s="122">
        <f t="shared" si="14"/>
        <v>0</v>
      </c>
      <c r="T95" s="122">
        <f t="shared" si="14"/>
        <v>0</v>
      </c>
      <c r="U95" s="122">
        <f t="shared" si="14"/>
        <v>0</v>
      </c>
      <c r="V95" s="122">
        <f t="shared" si="14"/>
        <v>0</v>
      </c>
      <c r="W95" s="122">
        <f t="shared" si="14"/>
        <v>0</v>
      </c>
      <c r="X95" s="122">
        <f t="shared" si="14"/>
        <v>0</v>
      </c>
      <c r="Y95" s="122">
        <f t="shared" si="14"/>
        <v>0</v>
      </c>
      <c r="Z95" s="122">
        <f t="shared" si="14"/>
        <v>0</v>
      </c>
      <c r="AC95"/>
    </row>
    <row r="96" spans="2:29" ht="13.8" x14ac:dyDescent="0.3">
      <c r="B96" s="134"/>
      <c r="C96" s="133"/>
      <c r="D96" s="132"/>
      <c r="E96" s="131"/>
      <c r="F96" s="122" t="str">
        <f t="shared" si="12"/>
        <v>AZ</v>
      </c>
      <c r="G96" s="122" t="str">
        <f t="shared" si="13"/>
        <v/>
      </c>
      <c r="M96" s="122">
        <f t="shared" si="11"/>
        <v>0</v>
      </c>
      <c r="N96" s="122">
        <f t="shared" si="14"/>
        <v>0</v>
      </c>
      <c r="O96" s="122">
        <f t="shared" si="14"/>
        <v>0</v>
      </c>
      <c r="P96" s="122">
        <f t="shared" si="14"/>
        <v>0</v>
      </c>
      <c r="Q96" s="122">
        <f t="shared" si="14"/>
        <v>0</v>
      </c>
      <c r="R96" s="122">
        <f t="shared" si="14"/>
        <v>0</v>
      </c>
      <c r="S96" s="122">
        <f t="shared" si="14"/>
        <v>0</v>
      </c>
      <c r="T96" s="122">
        <f t="shared" si="14"/>
        <v>0</v>
      </c>
      <c r="U96" s="122">
        <f t="shared" si="14"/>
        <v>0</v>
      </c>
      <c r="V96" s="122">
        <f t="shared" si="14"/>
        <v>0</v>
      </c>
      <c r="W96" s="122">
        <f t="shared" si="14"/>
        <v>0</v>
      </c>
      <c r="X96" s="122">
        <f t="shared" si="14"/>
        <v>0</v>
      </c>
      <c r="Y96" s="122">
        <f t="shared" si="14"/>
        <v>0</v>
      </c>
      <c r="Z96" s="122">
        <f t="shared" si="14"/>
        <v>0</v>
      </c>
      <c r="AC96"/>
    </row>
    <row r="97" spans="2:29" ht="13.8" x14ac:dyDescent="0.3">
      <c r="B97" s="135" t="s">
        <v>247</v>
      </c>
      <c r="C97" s="133"/>
      <c r="D97" s="132">
        <v>9.1999999999999993</v>
      </c>
      <c r="E97" s="131"/>
      <c r="F97" s="122" t="str">
        <f t="shared" si="12"/>
        <v>AZ</v>
      </c>
      <c r="G97" s="122" t="str">
        <f t="shared" si="13"/>
        <v/>
      </c>
      <c r="M97" s="122">
        <f t="shared" si="11"/>
        <v>0</v>
      </c>
      <c r="N97" s="122">
        <f t="shared" si="14"/>
        <v>0</v>
      </c>
      <c r="O97" s="122">
        <f t="shared" si="14"/>
        <v>0</v>
      </c>
      <c r="P97" s="122">
        <f t="shared" si="14"/>
        <v>0</v>
      </c>
      <c r="Q97" s="122">
        <f t="shared" si="14"/>
        <v>0</v>
      </c>
      <c r="R97" s="122">
        <f t="shared" si="14"/>
        <v>0</v>
      </c>
      <c r="S97" s="122">
        <f t="shared" si="14"/>
        <v>0</v>
      </c>
      <c r="T97" s="122">
        <f t="shared" si="14"/>
        <v>0</v>
      </c>
      <c r="U97" s="122">
        <f t="shared" si="14"/>
        <v>0</v>
      </c>
      <c r="V97" s="122">
        <f t="shared" si="14"/>
        <v>0</v>
      </c>
      <c r="W97" s="122">
        <f t="shared" si="14"/>
        <v>0</v>
      </c>
      <c r="X97" s="122">
        <f t="shared" si="14"/>
        <v>0</v>
      </c>
      <c r="Y97" s="122">
        <f t="shared" si="14"/>
        <v>0</v>
      </c>
      <c r="Z97" s="122">
        <f t="shared" si="14"/>
        <v>0</v>
      </c>
      <c r="AC97"/>
    </row>
    <row r="98" spans="2:29" ht="13.8" x14ac:dyDescent="0.3">
      <c r="B98" s="134" t="s">
        <v>246</v>
      </c>
      <c r="C98" s="133"/>
      <c r="D98" s="132">
        <v>9.1999999999999993</v>
      </c>
      <c r="E98" s="131"/>
      <c r="F98" s="122" t="str">
        <f t="shared" si="12"/>
        <v>AZ</v>
      </c>
      <c r="G98" s="122" t="str">
        <f t="shared" si="13"/>
        <v/>
      </c>
      <c r="M98" s="122">
        <f t="shared" si="11"/>
        <v>0</v>
      </c>
      <c r="N98" s="122">
        <f t="shared" si="14"/>
        <v>0</v>
      </c>
      <c r="O98" s="122">
        <f t="shared" si="14"/>
        <v>0</v>
      </c>
      <c r="P98" s="122">
        <f t="shared" si="14"/>
        <v>0</v>
      </c>
      <c r="Q98" s="122">
        <f t="shared" si="14"/>
        <v>0</v>
      </c>
      <c r="R98" s="122">
        <f t="shared" si="14"/>
        <v>0</v>
      </c>
      <c r="S98" s="122">
        <f t="shared" si="14"/>
        <v>0</v>
      </c>
      <c r="T98" s="122">
        <f t="shared" si="14"/>
        <v>0</v>
      </c>
      <c r="U98" s="122">
        <f t="shared" si="14"/>
        <v>0</v>
      </c>
      <c r="V98" s="122">
        <f t="shared" si="14"/>
        <v>0</v>
      </c>
      <c r="W98" s="122">
        <f t="shared" si="14"/>
        <v>0</v>
      </c>
      <c r="X98" s="122">
        <f t="shared" si="14"/>
        <v>0</v>
      </c>
      <c r="Y98" s="122">
        <f t="shared" si="14"/>
        <v>0</v>
      </c>
      <c r="Z98" s="122">
        <f t="shared" si="14"/>
        <v>0</v>
      </c>
      <c r="AC98"/>
    </row>
    <row r="99" spans="2:29" ht="13.8" x14ac:dyDescent="0.3">
      <c r="B99" s="134" t="s">
        <v>245</v>
      </c>
      <c r="C99" s="133"/>
      <c r="D99" s="132">
        <v>4.0999999999999996</v>
      </c>
      <c r="E99" s="131" t="s">
        <v>221</v>
      </c>
      <c r="F99" s="122" t="str">
        <f t="shared" si="12"/>
        <v>AZ1</v>
      </c>
      <c r="G99" s="122" t="str">
        <f t="shared" si="13"/>
        <v>Power plants Other HPP 2010 AZ 1</v>
      </c>
      <c r="H99" s="122">
        <v>2010</v>
      </c>
      <c r="I99" s="122">
        <v>100</v>
      </c>
      <c r="J99" s="122" t="s">
        <v>329</v>
      </c>
      <c r="M99" s="122">
        <f t="shared" si="11"/>
        <v>4.0999999999999996</v>
      </c>
      <c r="N99" s="122">
        <f t="shared" si="14"/>
        <v>4.0999999999999996</v>
      </c>
      <c r="O99" s="122">
        <f t="shared" si="14"/>
        <v>4.0999999999999996</v>
      </c>
      <c r="P99" s="122">
        <f t="shared" si="14"/>
        <v>4.0999999999999996</v>
      </c>
      <c r="Q99" s="122">
        <f t="shared" si="14"/>
        <v>4.0999999999999996</v>
      </c>
      <c r="R99" s="122">
        <f t="shared" si="14"/>
        <v>4.0999999999999996</v>
      </c>
      <c r="S99" s="122">
        <f t="shared" si="14"/>
        <v>4.0999999999999996</v>
      </c>
      <c r="T99" s="122">
        <f t="shared" si="14"/>
        <v>4.0999999999999996</v>
      </c>
      <c r="U99" s="122">
        <f t="shared" si="14"/>
        <v>4.0999999999999996</v>
      </c>
      <c r="V99" s="122">
        <f t="shared" si="14"/>
        <v>4.0999999999999996</v>
      </c>
      <c r="W99" s="122">
        <f t="shared" si="14"/>
        <v>4.0999999999999996</v>
      </c>
      <c r="X99" s="122">
        <f t="shared" si="14"/>
        <v>4.0999999999999996</v>
      </c>
      <c r="Y99" s="122">
        <f t="shared" si="14"/>
        <v>4.0999999999999996</v>
      </c>
      <c r="Z99" s="122">
        <f t="shared" si="14"/>
        <v>4.0999999999999996</v>
      </c>
      <c r="AC99"/>
    </row>
    <row r="100" spans="2:29" ht="13.8" x14ac:dyDescent="0.3">
      <c r="B100" s="134" t="s">
        <v>244</v>
      </c>
      <c r="C100" s="133"/>
      <c r="D100" s="132" t="s">
        <v>243</v>
      </c>
      <c r="E100" s="131" t="s">
        <v>221</v>
      </c>
      <c r="F100" s="122" t="str">
        <f t="shared" si="12"/>
        <v>AZ1</v>
      </c>
      <c r="G100" s="122" t="str">
        <f t="shared" si="13"/>
        <v>Power plants Other HPP 2010 AZ 1</v>
      </c>
      <c r="H100" s="122">
        <v>2010</v>
      </c>
      <c r="I100" s="122">
        <v>100</v>
      </c>
      <c r="J100" s="122" t="s">
        <v>329</v>
      </c>
      <c r="M100" s="122" t="str">
        <f t="shared" si="11"/>
        <v>3.0</v>
      </c>
      <c r="N100" s="122" t="str">
        <f t="shared" si="14"/>
        <v>3.0</v>
      </c>
      <c r="O100" s="122" t="str">
        <f t="shared" si="14"/>
        <v>3.0</v>
      </c>
      <c r="P100" s="122" t="str">
        <f t="shared" si="14"/>
        <v>3.0</v>
      </c>
      <c r="Q100" s="122" t="str">
        <f t="shared" si="14"/>
        <v>3.0</v>
      </c>
      <c r="R100" s="122" t="str">
        <f t="shared" si="14"/>
        <v>3.0</v>
      </c>
      <c r="S100" s="122" t="str">
        <f t="shared" ref="N100:Z119" si="15">IF(($H100+$I100)&gt;S$8,IF($H100&lt;=S$8,$D100,0),0)</f>
        <v>3.0</v>
      </c>
      <c r="T100" s="122" t="str">
        <f t="shared" si="15"/>
        <v>3.0</v>
      </c>
      <c r="U100" s="122" t="str">
        <f t="shared" si="15"/>
        <v>3.0</v>
      </c>
      <c r="V100" s="122" t="str">
        <f t="shared" si="15"/>
        <v>3.0</v>
      </c>
      <c r="W100" s="122" t="str">
        <f t="shared" si="15"/>
        <v>3.0</v>
      </c>
      <c r="X100" s="122" t="str">
        <f t="shared" si="15"/>
        <v>3.0</v>
      </c>
      <c r="Y100" s="122" t="str">
        <f t="shared" si="15"/>
        <v>3.0</v>
      </c>
      <c r="Z100" s="122" t="str">
        <f t="shared" si="15"/>
        <v>3.0</v>
      </c>
      <c r="AC100"/>
    </row>
    <row r="101" spans="2:29" ht="13.8" x14ac:dyDescent="0.3">
      <c r="B101" s="134" t="s">
        <v>222</v>
      </c>
      <c r="C101" s="133"/>
      <c r="D101" s="132">
        <v>1.3</v>
      </c>
      <c r="E101" s="131" t="s">
        <v>221</v>
      </c>
      <c r="F101" s="122" t="str">
        <f t="shared" si="12"/>
        <v>AZ1</v>
      </c>
      <c r="G101" s="122" t="str">
        <f t="shared" si="13"/>
        <v>Power plants Other HPP 2010 AZ 1</v>
      </c>
      <c r="H101" s="122">
        <v>2010</v>
      </c>
      <c r="I101" s="122">
        <v>100</v>
      </c>
      <c r="J101" s="122" t="s">
        <v>329</v>
      </c>
      <c r="M101" s="122">
        <f t="shared" si="11"/>
        <v>1.3</v>
      </c>
      <c r="N101" s="122">
        <f t="shared" si="15"/>
        <v>1.3</v>
      </c>
      <c r="O101" s="122">
        <f t="shared" si="15"/>
        <v>1.3</v>
      </c>
      <c r="P101" s="122">
        <f t="shared" si="15"/>
        <v>1.3</v>
      </c>
      <c r="Q101" s="122">
        <f t="shared" si="15"/>
        <v>1.3</v>
      </c>
      <c r="R101" s="122">
        <f t="shared" si="15"/>
        <v>1.3</v>
      </c>
      <c r="S101" s="122">
        <f t="shared" si="15"/>
        <v>1.3</v>
      </c>
      <c r="T101" s="122">
        <f t="shared" si="15"/>
        <v>1.3</v>
      </c>
      <c r="U101" s="122">
        <f t="shared" si="15"/>
        <v>1.3</v>
      </c>
      <c r="V101" s="122">
        <f t="shared" si="15"/>
        <v>1.3</v>
      </c>
      <c r="W101" s="122">
        <f t="shared" si="15"/>
        <v>1.3</v>
      </c>
      <c r="X101" s="122">
        <f t="shared" si="15"/>
        <v>1.3</v>
      </c>
      <c r="Y101" s="122">
        <f t="shared" si="15"/>
        <v>1.3</v>
      </c>
      <c r="Z101" s="122">
        <f t="shared" si="15"/>
        <v>1.3</v>
      </c>
      <c r="AC101"/>
    </row>
    <row r="102" spans="2:29" ht="14.4" thickBot="1" x14ac:dyDescent="0.35">
      <c r="B102" s="130" t="s">
        <v>242</v>
      </c>
      <c r="C102" s="129"/>
      <c r="D102" s="128">
        <v>0.8</v>
      </c>
      <c r="E102" s="127" t="s">
        <v>221</v>
      </c>
      <c r="F102" s="122" t="str">
        <f t="shared" si="12"/>
        <v>AZ1</v>
      </c>
      <c r="G102" s="122" t="str">
        <f t="shared" si="13"/>
        <v>Power plants Other HPP 2010 AZ 1</v>
      </c>
      <c r="H102" s="122">
        <v>2010</v>
      </c>
      <c r="I102" s="122">
        <v>100</v>
      </c>
      <c r="J102" s="122" t="s">
        <v>329</v>
      </c>
      <c r="M102" s="122">
        <f t="shared" si="11"/>
        <v>0.8</v>
      </c>
      <c r="N102" s="122">
        <f t="shared" si="15"/>
        <v>0.8</v>
      </c>
      <c r="O102" s="122">
        <f t="shared" si="15"/>
        <v>0.8</v>
      </c>
      <c r="P102" s="122">
        <f t="shared" si="15"/>
        <v>0.8</v>
      </c>
      <c r="Q102" s="122">
        <f t="shared" si="15"/>
        <v>0.8</v>
      </c>
      <c r="R102" s="122">
        <f t="shared" si="15"/>
        <v>0.8</v>
      </c>
      <c r="S102" s="122">
        <f t="shared" si="15"/>
        <v>0.8</v>
      </c>
      <c r="T102" s="122">
        <f t="shared" si="15"/>
        <v>0.8</v>
      </c>
      <c r="U102" s="122">
        <f t="shared" si="15"/>
        <v>0.8</v>
      </c>
      <c r="V102" s="122">
        <f t="shared" si="15"/>
        <v>0.8</v>
      </c>
      <c r="W102" s="122">
        <f t="shared" si="15"/>
        <v>0.8</v>
      </c>
      <c r="X102" s="122">
        <f t="shared" si="15"/>
        <v>0.8</v>
      </c>
      <c r="Y102" s="122">
        <f t="shared" si="15"/>
        <v>0.8</v>
      </c>
      <c r="Z102" s="122">
        <f t="shared" si="15"/>
        <v>0.8</v>
      </c>
      <c r="AC102"/>
    </row>
    <row r="103" spans="2:29" ht="13.8" x14ac:dyDescent="0.3">
      <c r="F103" s="122" t="str">
        <f t="shared" si="12"/>
        <v>AZ</v>
      </c>
      <c r="G103" s="122" t="str">
        <f t="shared" si="13"/>
        <v/>
      </c>
      <c r="M103" s="122">
        <f t="shared" si="11"/>
        <v>0</v>
      </c>
      <c r="N103" s="122">
        <f t="shared" si="15"/>
        <v>0</v>
      </c>
      <c r="O103" s="122">
        <f t="shared" si="15"/>
        <v>0</v>
      </c>
      <c r="P103" s="122">
        <f t="shared" si="15"/>
        <v>0</v>
      </c>
      <c r="Q103" s="122">
        <f t="shared" si="15"/>
        <v>0</v>
      </c>
      <c r="R103" s="122">
        <f t="shared" si="15"/>
        <v>0</v>
      </c>
      <c r="S103" s="122">
        <f t="shared" si="15"/>
        <v>0</v>
      </c>
      <c r="T103" s="122">
        <f t="shared" si="15"/>
        <v>0</v>
      </c>
      <c r="U103" s="122">
        <f t="shared" si="15"/>
        <v>0</v>
      </c>
      <c r="V103" s="122">
        <f t="shared" si="15"/>
        <v>0</v>
      </c>
      <c r="W103" s="122">
        <f t="shared" si="15"/>
        <v>0</v>
      </c>
      <c r="X103" s="122">
        <f t="shared" si="15"/>
        <v>0</v>
      </c>
      <c r="Y103" s="122">
        <f t="shared" si="15"/>
        <v>0</v>
      </c>
      <c r="Z103" s="122">
        <f t="shared" si="15"/>
        <v>0</v>
      </c>
      <c r="AC103"/>
    </row>
    <row r="104" spans="2:29" ht="14.4" thickBot="1" x14ac:dyDescent="0.35">
      <c r="F104" s="122" t="str">
        <f t="shared" si="12"/>
        <v>AZ</v>
      </c>
      <c r="G104" s="122" t="str">
        <f t="shared" si="13"/>
        <v/>
      </c>
      <c r="M104" s="122">
        <f t="shared" si="11"/>
        <v>0</v>
      </c>
      <c r="N104" s="122">
        <f t="shared" si="15"/>
        <v>0</v>
      </c>
      <c r="O104" s="122">
        <f t="shared" si="15"/>
        <v>0</v>
      </c>
      <c r="P104" s="122">
        <f t="shared" si="15"/>
        <v>0</v>
      </c>
      <c r="Q104" s="122">
        <f t="shared" si="15"/>
        <v>0</v>
      </c>
      <c r="R104" s="122">
        <f t="shared" si="15"/>
        <v>0</v>
      </c>
      <c r="S104" s="122">
        <f t="shared" si="15"/>
        <v>0</v>
      </c>
      <c r="T104" s="122">
        <f t="shared" si="15"/>
        <v>0</v>
      </c>
      <c r="U104" s="122">
        <f t="shared" si="15"/>
        <v>0</v>
      </c>
      <c r="V104" s="122">
        <f t="shared" si="15"/>
        <v>0</v>
      </c>
      <c r="W104" s="122">
        <f t="shared" si="15"/>
        <v>0</v>
      </c>
      <c r="X104" s="122">
        <f t="shared" si="15"/>
        <v>0</v>
      </c>
      <c r="Y104" s="122">
        <f t="shared" si="15"/>
        <v>0</v>
      </c>
      <c r="Z104" s="122">
        <f t="shared" si="15"/>
        <v>0</v>
      </c>
      <c r="AC104"/>
    </row>
    <row r="105" spans="2:29" ht="16.2" thickBot="1" x14ac:dyDescent="0.35">
      <c r="B105" s="147" t="s">
        <v>237</v>
      </c>
      <c r="F105" s="122" t="str">
        <f t="shared" si="12"/>
        <v>AZ</v>
      </c>
      <c r="G105" s="122" t="str">
        <f t="shared" si="13"/>
        <v/>
      </c>
      <c r="M105" s="122">
        <f t="shared" si="11"/>
        <v>0</v>
      </c>
      <c r="N105" s="122">
        <f t="shared" si="15"/>
        <v>0</v>
      </c>
      <c r="O105" s="122">
        <f t="shared" si="15"/>
        <v>0</v>
      </c>
      <c r="P105" s="122">
        <f t="shared" si="15"/>
        <v>0</v>
      </c>
      <c r="Q105" s="122">
        <f t="shared" si="15"/>
        <v>0</v>
      </c>
      <c r="R105" s="122">
        <f t="shared" si="15"/>
        <v>0</v>
      </c>
      <c r="S105" s="122">
        <f t="shared" si="15"/>
        <v>0</v>
      </c>
      <c r="T105" s="122">
        <f t="shared" si="15"/>
        <v>0</v>
      </c>
      <c r="U105" s="122">
        <f t="shared" si="15"/>
        <v>0</v>
      </c>
      <c r="V105" s="122">
        <f t="shared" si="15"/>
        <v>0</v>
      </c>
      <c r="W105" s="122">
        <f t="shared" si="15"/>
        <v>0</v>
      </c>
      <c r="X105" s="122">
        <f t="shared" si="15"/>
        <v>0</v>
      </c>
      <c r="Y105" s="122">
        <f t="shared" si="15"/>
        <v>0</v>
      </c>
      <c r="Z105" s="122">
        <f t="shared" si="15"/>
        <v>0</v>
      </c>
      <c r="AC105"/>
    </row>
    <row r="106" spans="2:29" ht="27" thickBot="1" x14ac:dyDescent="0.35">
      <c r="B106" s="146" t="s">
        <v>241</v>
      </c>
      <c r="C106" s="145" t="s">
        <v>240</v>
      </c>
      <c r="D106" s="144" t="s">
        <v>239</v>
      </c>
      <c r="E106" s="143" t="s">
        <v>238</v>
      </c>
      <c r="F106" s="122" t="str">
        <f t="shared" si="12"/>
        <v xml:space="preserve">AZ </v>
      </c>
      <c r="G106" s="122" t="str">
        <f t="shared" si="13"/>
        <v/>
      </c>
      <c r="M106" s="122">
        <f t="shared" si="11"/>
        <v>0</v>
      </c>
      <c r="N106" s="122">
        <f t="shared" si="15"/>
        <v>0</v>
      </c>
      <c r="O106" s="122">
        <f t="shared" si="15"/>
        <v>0</v>
      </c>
      <c r="P106" s="122">
        <f t="shared" si="15"/>
        <v>0</v>
      </c>
      <c r="Q106" s="122">
        <f t="shared" si="15"/>
        <v>0</v>
      </c>
      <c r="R106" s="122">
        <f t="shared" si="15"/>
        <v>0</v>
      </c>
      <c r="S106" s="122">
        <f t="shared" si="15"/>
        <v>0</v>
      </c>
      <c r="T106" s="122">
        <f t="shared" si="15"/>
        <v>0</v>
      </c>
      <c r="U106" s="122">
        <f t="shared" si="15"/>
        <v>0</v>
      </c>
      <c r="V106" s="122">
        <f t="shared" si="15"/>
        <v>0</v>
      </c>
      <c r="W106" s="122">
        <f t="shared" si="15"/>
        <v>0</v>
      </c>
      <c r="X106" s="122">
        <f t="shared" si="15"/>
        <v>0</v>
      </c>
      <c r="Y106" s="122">
        <f t="shared" si="15"/>
        <v>0</v>
      </c>
      <c r="Z106" s="122">
        <f t="shared" si="15"/>
        <v>0</v>
      </c>
      <c r="AC106"/>
    </row>
    <row r="107" spans="2:29" ht="13.8" x14ac:dyDescent="0.3">
      <c r="B107" s="142" t="s">
        <v>237</v>
      </c>
      <c r="C107" s="141"/>
      <c r="D107" s="140">
        <v>16.899999999999999</v>
      </c>
      <c r="E107" s="139"/>
      <c r="F107" s="122" t="str">
        <f t="shared" si="12"/>
        <v>AZ</v>
      </c>
      <c r="G107" s="122" t="str">
        <f t="shared" si="13"/>
        <v/>
      </c>
      <c r="M107" s="122">
        <f t="shared" si="11"/>
        <v>0</v>
      </c>
      <c r="N107" s="122">
        <f t="shared" si="15"/>
        <v>0</v>
      </c>
      <c r="O107" s="122">
        <f t="shared" si="15"/>
        <v>0</v>
      </c>
      <c r="P107" s="122">
        <f t="shared" si="15"/>
        <v>0</v>
      </c>
      <c r="Q107" s="122">
        <f t="shared" si="15"/>
        <v>0</v>
      </c>
      <c r="R107" s="122">
        <f t="shared" si="15"/>
        <v>0</v>
      </c>
      <c r="S107" s="122">
        <f t="shared" si="15"/>
        <v>0</v>
      </c>
      <c r="T107" s="122">
        <f t="shared" si="15"/>
        <v>0</v>
      </c>
      <c r="U107" s="122">
        <f t="shared" si="15"/>
        <v>0</v>
      </c>
      <c r="V107" s="122">
        <f t="shared" si="15"/>
        <v>0</v>
      </c>
      <c r="W107" s="122">
        <f t="shared" si="15"/>
        <v>0</v>
      </c>
      <c r="X107" s="122">
        <f t="shared" si="15"/>
        <v>0</v>
      </c>
      <c r="Y107" s="122">
        <f t="shared" si="15"/>
        <v>0</v>
      </c>
      <c r="Z107" s="122">
        <f t="shared" si="15"/>
        <v>0</v>
      </c>
      <c r="AC107"/>
    </row>
    <row r="108" spans="2:29" ht="13.8" x14ac:dyDescent="0.3">
      <c r="B108" s="134" t="s">
        <v>236</v>
      </c>
      <c r="C108" s="133"/>
      <c r="D108" s="132"/>
      <c r="E108" s="131"/>
      <c r="F108" s="122" t="str">
        <f t="shared" si="12"/>
        <v>AZ</v>
      </c>
      <c r="G108" s="122" t="str">
        <f t="shared" si="13"/>
        <v/>
      </c>
      <c r="M108" s="122">
        <f t="shared" si="11"/>
        <v>0</v>
      </c>
      <c r="N108" s="122">
        <f t="shared" si="15"/>
        <v>0</v>
      </c>
      <c r="O108" s="122">
        <f t="shared" si="15"/>
        <v>0</v>
      </c>
      <c r="P108" s="122">
        <f t="shared" si="15"/>
        <v>0</v>
      </c>
      <c r="Q108" s="122">
        <f t="shared" si="15"/>
        <v>0</v>
      </c>
      <c r="R108" s="122">
        <f t="shared" si="15"/>
        <v>0</v>
      </c>
      <c r="S108" s="122">
        <f t="shared" si="15"/>
        <v>0</v>
      </c>
      <c r="T108" s="122">
        <f t="shared" si="15"/>
        <v>0</v>
      </c>
      <c r="U108" s="122">
        <f t="shared" si="15"/>
        <v>0</v>
      </c>
      <c r="V108" s="122">
        <f t="shared" si="15"/>
        <v>0</v>
      </c>
      <c r="W108" s="122">
        <f t="shared" si="15"/>
        <v>0</v>
      </c>
      <c r="X108" s="122">
        <f t="shared" si="15"/>
        <v>0</v>
      </c>
      <c r="Y108" s="122">
        <f t="shared" si="15"/>
        <v>0</v>
      </c>
      <c r="Z108" s="122">
        <f t="shared" si="15"/>
        <v>0</v>
      </c>
      <c r="AC108"/>
    </row>
    <row r="109" spans="2:29" ht="13.8" x14ac:dyDescent="0.3">
      <c r="B109" s="138" t="s">
        <v>235</v>
      </c>
      <c r="C109" s="133"/>
      <c r="D109" s="132">
        <v>13</v>
      </c>
      <c r="E109" s="131"/>
      <c r="F109" s="122" t="str">
        <f t="shared" si="12"/>
        <v>AZ</v>
      </c>
      <c r="G109" s="122" t="str">
        <f t="shared" si="13"/>
        <v/>
      </c>
      <c r="M109" s="122">
        <f t="shared" si="11"/>
        <v>0</v>
      </c>
      <c r="N109" s="122">
        <f t="shared" si="15"/>
        <v>0</v>
      </c>
      <c r="O109" s="122">
        <f t="shared" si="15"/>
        <v>0</v>
      </c>
      <c r="P109" s="122">
        <f t="shared" si="15"/>
        <v>0</v>
      </c>
      <c r="Q109" s="122">
        <f t="shared" si="15"/>
        <v>0</v>
      </c>
      <c r="R109" s="122">
        <f t="shared" si="15"/>
        <v>0</v>
      </c>
      <c r="S109" s="122">
        <f t="shared" si="15"/>
        <v>0</v>
      </c>
      <c r="T109" s="122">
        <f t="shared" si="15"/>
        <v>0</v>
      </c>
      <c r="U109" s="122">
        <f t="shared" si="15"/>
        <v>0</v>
      </c>
      <c r="V109" s="122">
        <f t="shared" si="15"/>
        <v>0</v>
      </c>
      <c r="W109" s="122">
        <f t="shared" si="15"/>
        <v>0</v>
      </c>
      <c r="X109" s="122">
        <f t="shared" si="15"/>
        <v>0</v>
      </c>
      <c r="Y109" s="122">
        <f t="shared" si="15"/>
        <v>0</v>
      </c>
      <c r="Z109" s="122">
        <f t="shared" si="15"/>
        <v>0</v>
      </c>
      <c r="AC109"/>
    </row>
    <row r="110" spans="2:29" ht="13.8" x14ac:dyDescent="0.3">
      <c r="B110" s="134" t="s">
        <v>223</v>
      </c>
      <c r="C110" s="133"/>
      <c r="D110" s="132"/>
      <c r="E110" s="131"/>
      <c r="F110" s="122" t="str">
        <f t="shared" si="12"/>
        <v>AZ</v>
      </c>
      <c r="G110" s="122" t="str">
        <f t="shared" si="13"/>
        <v/>
      </c>
      <c r="M110" s="122">
        <f t="shared" si="11"/>
        <v>0</v>
      </c>
      <c r="N110" s="122">
        <f t="shared" si="15"/>
        <v>0</v>
      </c>
      <c r="O110" s="122">
        <f t="shared" si="15"/>
        <v>0</v>
      </c>
      <c r="P110" s="122">
        <f t="shared" si="15"/>
        <v>0</v>
      </c>
      <c r="Q110" s="122">
        <f t="shared" si="15"/>
        <v>0</v>
      </c>
      <c r="R110" s="122">
        <f t="shared" si="15"/>
        <v>0</v>
      </c>
      <c r="S110" s="122">
        <f t="shared" si="15"/>
        <v>0</v>
      </c>
      <c r="T110" s="122">
        <f t="shared" si="15"/>
        <v>0</v>
      </c>
      <c r="U110" s="122">
        <f t="shared" si="15"/>
        <v>0</v>
      </c>
      <c r="V110" s="122">
        <f t="shared" si="15"/>
        <v>0</v>
      </c>
      <c r="W110" s="122">
        <f t="shared" si="15"/>
        <v>0</v>
      </c>
      <c r="X110" s="122">
        <f t="shared" si="15"/>
        <v>0</v>
      </c>
      <c r="Y110" s="122">
        <f t="shared" si="15"/>
        <v>0</v>
      </c>
      <c r="Z110" s="122">
        <f t="shared" si="15"/>
        <v>0</v>
      </c>
      <c r="AC110"/>
    </row>
    <row r="111" spans="2:29" ht="13.8" x14ac:dyDescent="0.3">
      <c r="B111" s="134" t="s">
        <v>234</v>
      </c>
      <c r="C111" s="133"/>
      <c r="D111" s="132">
        <v>2.9</v>
      </c>
      <c r="E111" s="131" t="s">
        <v>221</v>
      </c>
      <c r="F111" s="122" t="str">
        <f t="shared" si="12"/>
        <v>AZ1</v>
      </c>
      <c r="G111" s="122" t="str">
        <f t="shared" si="13"/>
        <v>Power plants Solar SPP 2015 AZ 1</v>
      </c>
      <c r="H111" s="122">
        <v>2015</v>
      </c>
      <c r="I111" s="122">
        <v>30</v>
      </c>
      <c r="J111" s="122" t="s">
        <v>597</v>
      </c>
      <c r="M111" s="122">
        <f t="shared" si="11"/>
        <v>0</v>
      </c>
      <c r="N111" s="122">
        <f t="shared" si="15"/>
        <v>2.9</v>
      </c>
      <c r="O111" s="122">
        <f t="shared" si="15"/>
        <v>2.9</v>
      </c>
      <c r="P111" s="122">
        <f t="shared" si="15"/>
        <v>2.9</v>
      </c>
      <c r="Q111" s="122">
        <f t="shared" si="15"/>
        <v>2.9</v>
      </c>
      <c r="R111" s="122">
        <f t="shared" si="15"/>
        <v>2.9</v>
      </c>
      <c r="S111" s="122">
        <f t="shared" si="15"/>
        <v>2.9</v>
      </c>
      <c r="T111" s="122">
        <f t="shared" si="15"/>
        <v>0</v>
      </c>
      <c r="U111" s="122">
        <f t="shared" si="15"/>
        <v>0</v>
      </c>
      <c r="V111" s="122">
        <f t="shared" si="15"/>
        <v>0</v>
      </c>
      <c r="W111" s="122">
        <f t="shared" si="15"/>
        <v>0</v>
      </c>
      <c r="X111" s="122">
        <f t="shared" si="15"/>
        <v>0</v>
      </c>
      <c r="Y111" s="122">
        <f t="shared" si="15"/>
        <v>0</v>
      </c>
      <c r="Z111" s="122">
        <f t="shared" si="15"/>
        <v>0</v>
      </c>
      <c r="AC111"/>
    </row>
    <row r="112" spans="2:29" ht="13.8" x14ac:dyDescent="0.3">
      <c r="B112" s="134" t="s">
        <v>233</v>
      </c>
      <c r="C112" s="133"/>
      <c r="D112" s="132">
        <v>2.8</v>
      </c>
      <c r="E112" s="131" t="s">
        <v>221</v>
      </c>
      <c r="F112" s="122" t="str">
        <f t="shared" si="12"/>
        <v>AZ1</v>
      </c>
      <c r="G112" s="122" t="str">
        <f t="shared" si="13"/>
        <v>Power plants Solar SPP 2015 AZ 1</v>
      </c>
      <c r="H112" s="122">
        <v>2015</v>
      </c>
      <c r="I112" s="122">
        <v>30</v>
      </c>
      <c r="J112" s="122" t="s">
        <v>597</v>
      </c>
      <c r="M112" s="122">
        <f t="shared" si="11"/>
        <v>0</v>
      </c>
      <c r="N112" s="122">
        <f t="shared" si="15"/>
        <v>2.8</v>
      </c>
      <c r="O112" s="122">
        <f t="shared" si="15"/>
        <v>2.8</v>
      </c>
      <c r="P112" s="122">
        <f t="shared" si="15"/>
        <v>2.8</v>
      </c>
      <c r="Q112" s="122">
        <f t="shared" si="15"/>
        <v>2.8</v>
      </c>
      <c r="R112" s="122">
        <f t="shared" si="15"/>
        <v>2.8</v>
      </c>
      <c r="S112" s="122">
        <f t="shared" si="15"/>
        <v>2.8</v>
      </c>
      <c r="T112" s="122">
        <f t="shared" si="15"/>
        <v>0</v>
      </c>
      <c r="U112" s="122">
        <f t="shared" si="15"/>
        <v>0</v>
      </c>
      <c r="V112" s="122">
        <f t="shared" si="15"/>
        <v>0</v>
      </c>
      <c r="W112" s="122">
        <f t="shared" si="15"/>
        <v>0</v>
      </c>
      <c r="X112" s="122">
        <f t="shared" si="15"/>
        <v>0</v>
      </c>
      <c r="Y112" s="122">
        <f t="shared" si="15"/>
        <v>0</v>
      </c>
      <c r="Z112" s="122">
        <f t="shared" si="15"/>
        <v>0</v>
      </c>
      <c r="AC112"/>
    </row>
    <row r="113" spans="2:29" ht="13.8" x14ac:dyDescent="0.3">
      <c r="B113" s="134" t="s">
        <v>232</v>
      </c>
      <c r="C113" s="133"/>
      <c r="D113" s="132">
        <v>2.1</v>
      </c>
      <c r="E113" s="131" t="s">
        <v>221</v>
      </c>
      <c r="F113" s="122" t="str">
        <f t="shared" si="12"/>
        <v>AZ1</v>
      </c>
      <c r="G113" s="122" t="str">
        <f t="shared" si="13"/>
        <v>Power plants Solar SPP 2015 AZ 1</v>
      </c>
      <c r="H113" s="122">
        <v>2015</v>
      </c>
      <c r="I113" s="122">
        <v>30</v>
      </c>
      <c r="J113" s="122" t="s">
        <v>597</v>
      </c>
      <c r="M113" s="122">
        <f t="shared" si="11"/>
        <v>0</v>
      </c>
      <c r="N113" s="122">
        <f t="shared" si="15"/>
        <v>2.1</v>
      </c>
      <c r="O113" s="122">
        <f t="shared" si="15"/>
        <v>2.1</v>
      </c>
      <c r="P113" s="122">
        <f t="shared" si="15"/>
        <v>2.1</v>
      </c>
      <c r="Q113" s="122">
        <f t="shared" si="15"/>
        <v>2.1</v>
      </c>
      <c r="R113" s="122">
        <f t="shared" si="15"/>
        <v>2.1</v>
      </c>
      <c r="S113" s="122">
        <f t="shared" si="15"/>
        <v>2.1</v>
      </c>
      <c r="T113" s="122">
        <f t="shared" si="15"/>
        <v>0</v>
      </c>
      <c r="U113" s="122">
        <f t="shared" si="15"/>
        <v>0</v>
      </c>
      <c r="V113" s="122">
        <f t="shared" si="15"/>
        <v>0</v>
      </c>
      <c r="W113" s="122">
        <f t="shared" si="15"/>
        <v>0</v>
      </c>
      <c r="X113" s="122">
        <f t="shared" si="15"/>
        <v>0</v>
      </c>
      <c r="Y113" s="122">
        <f t="shared" si="15"/>
        <v>0</v>
      </c>
      <c r="Z113" s="122">
        <f t="shared" si="15"/>
        <v>0</v>
      </c>
      <c r="AC113"/>
    </row>
    <row r="114" spans="2:29" ht="13.8" x14ac:dyDescent="0.3">
      <c r="B114" s="134" t="s">
        <v>231</v>
      </c>
      <c r="C114" s="133"/>
      <c r="D114" s="132">
        <v>1.9</v>
      </c>
      <c r="E114" s="131" t="s">
        <v>221</v>
      </c>
      <c r="F114" s="122" t="str">
        <f t="shared" si="12"/>
        <v>AZ1</v>
      </c>
      <c r="G114" s="122" t="str">
        <f t="shared" si="13"/>
        <v>Power plants Solar SPP 2015 AZ 1</v>
      </c>
      <c r="H114" s="122">
        <v>2015</v>
      </c>
      <c r="I114" s="122">
        <v>30</v>
      </c>
      <c r="J114" s="122" t="s">
        <v>597</v>
      </c>
      <c r="M114" s="122">
        <f t="shared" si="11"/>
        <v>0</v>
      </c>
      <c r="N114" s="122">
        <f t="shared" si="15"/>
        <v>1.9</v>
      </c>
      <c r="O114" s="122">
        <f t="shared" si="15"/>
        <v>1.9</v>
      </c>
      <c r="P114" s="122">
        <f t="shared" si="15"/>
        <v>1.9</v>
      </c>
      <c r="Q114" s="122">
        <f t="shared" si="15"/>
        <v>1.9</v>
      </c>
      <c r="R114" s="122">
        <f t="shared" si="15"/>
        <v>1.9</v>
      </c>
      <c r="S114" s="122">
        <f t="shared" si="15"/>
        <v>1.9</v>
      </c>
      <c r="T114" s="122">
        <f t="shared" si="15"/>
        <v>0</v>
      </c>
      <c r="U114" s="122">
        <f t="shared" si="15"/>
        <v>0</v>
      </c>
      <c r="V114" s="122">
        <f t="shared" si="15"/>
        <v>0</v>
      </c>
      <c r="W114" s="122">
        <f t="shared" si="15"/>
        <v>0</v>
      </c>
      <c r="X114" s="122">
        <f t="shared" si="15"/>
        <v>0</v>
      </c>
      <c r="Y114" s="122">
        <f t="shared" si="15"/>
        <v>0</v>
      </c>
      <c r="Z114" s="122">
        <f t="shared" si="15"/>
        <v>0</v>
      </c>
      <c r="AC114"/>
    </row>
    <row r="115" spans="2:29" ht="13.8" x14ac:dyDescent="0.3">
      <c r="B115" s="134" t="s">
        <v>230</v>
      </c>
      <c r="C115" s="133"/>
      <c r="D115" s="132">
        <v>1.6</v>
      </c>
      <c r="E115" s="131" t="s">
        <v>221</v>
      </c>
      <c r="F115" s="122" t="str">
        <f t="shared" si="12"/>
        <v>AZ1</v>
      </c>
      <c r="G115" s="122" t="str">
        <f t="shared" si="13"/>
        <v>Power plants Solar SPP 2015 AZ 1</v>
      </c>
      <c r="H115" s="122">
        <v>2015</v>
      </c>
      <c r="I115" s="122">
        <v>30</v>
      </c>
      <c r="J115" s="122" t="s">
        <v>597</v>
      </c>
      <c r="M115" s="122">
        <f t="shared" si="11"/>
        <v>0</v>
      </c>
      <c r="N115" s="122">
        <f t="shared" si="15"/>
        <v>1.6</v>
      </c>
      <c r="O115" s="122">
        <f t="shared" si="15"/>
        <v>1.6</v>
      </c>
      <c r="P115" s="122">
        <f t="shared" si="15"/>
        <v>1.6</v>
      </c>
      <c r="Q115" s="122">
        <f t="shared" si="15"/>
        <v>1.6</v>
      </c>
      <c r="R115" s="122">
        <f t="shared" si="15"/>
        <v>1.6</v>
      </c>
      <c r="S115" s="122">
        <f t="shared" si="15"/>
        <v>1.6</v>
      </c>
      <c r="T115" s="122">
        <f t="shared" si="15"/>
        <v>0</v>
      </c>
      <c r="U115" s="122">
        <f t="shared" si="15"/>
        <v>0</v>
      </c>
      <c r="V115" s="122">
        <f t="shared" si="15"/>
        <v>0</v>
      </c>
      <c r="W115" s="122">
        <f t="shared" si="15"/>
        <v>0</v>
      </c>
      <c r="X115" s="122">
        <f t="shared" si="15"/>
        <v>0</v>
      </c>
      <c r="Y115" s="122">
        <f t="shared" si="15"/>
        <v>0</v>
      </c>
      <c r="Z115" s="122">
        <f t="shared" si="15"/>
        <v>0</v>
      </c>
      <c r="AC115"/>
    </row>
    <row r="116" spans="2:29" ht="13.8" x14ac:dyDescent="0.3">
      <c r="B116" s="134" t="s">
        <v>229</v>
      </c>
      <c r="C116" s="133"/>
      <c r="D116" s="132">
        <v>1.1000000000000001</v>
      </c>
      <c r="E116" s="131" t="s">
        <v>221</v>
      </c>
      <c r="F116" s="122" t="str">
        <f t="shared" si="12"/>
        <v>AZ1</v>
      </c>
      <c r="G116" s="122" t="str">
        <f t="shared" si="13"/>
        <v>Power plants Solar SPP 2015 AZ 1</v>
      </c>
      <c r="H116" s="122">
        <v>2015</v>
      </c>
      <c r="I116" s="122">
        <v>30</v>
      </c>
      <c r="J116" s="122" t="s">
        <v>597</v>
      </c>
      <c r="M116" s="122">
        <f t="shared" si="11"/>
        <v>0</v>
      </c>
      <c r="N116" s="122">
        <f t="shared" si="15"/>
        <v>1.1000000000000001</v>
      </c>
      <c r="O116" s="122">
        <f t="shared" si="15"/>
        <v>1.1000000000000001</v>
      </c>
      <c r="P116" s="122">
        <f t="shared" si="15"/>
        <v>1.1000000000000001</v>
      </c>
      <c r="Q116" s="122">
        <f t="shared" si="15"/>
        <v>1.1000000000000001</v>
      </c>
      <c r="R116" s="122">
        <f t="shared" si="15"/>
        <v>1.1000000000000001</v>
      </c>
      <c r="S116" s="122">
        <f t="shared" si="15"/>
        <v>1.1000000000000001</v>
      </c>
      <c r="T116" s="122">
        <f t="shared" si="15"/>
        <v>0</v>
      </c>
      <c r="U116" s="122">
        <f t="shared" si="15"/>
        <v>0</v>
      </c>
      <c r="V116" s="122">
        <f t="shared" si="15"/>
        <v>0</v>
      </c>
      <c r="W116" s="122">
        <f t="shared" si="15"/>
        <v>0</v>
      </c>
      <c r="X116" s="122">
        <f t="shared" si="15"/>
        <v>0</v>
      </c>
      <c r="Y116" s="122">
        <f t="shared" si="15"/>
        <v>0</v>
      </c>
      <c r="Z116" s="122">
        <f t="shared" si="15"/>
        <v>0</v>
      </c>
      <c r="AC116"/>
    </row>
    <row r="117" spans="2:29" ht="13.8" x14ac:dyDescent="0.3">
      <c r="B117" s="134" t="s">
        <v>625</v>
      </c>
      <c r="C117" s="133"/>
      <c r="D117" s="132">
        <v>0.6</v>
      </c>
      <c r="E117" s="131" t="s">
        <v>221</v>
      </c>
      <c r="F117" s="122" t="str">
        <f t="shared" si="12"/>
        <v>AZ1</v>
      </c>
      <c r="G117" s="122" t="str">
        <f t="shared" si="13"/>
        <v>Power plants Solar SPP 2015 AZ 1</v>
      </c>
      <c r="H117" s="122">
        <v>2015</v>
      </c>
      <c r="I117" s="122">
        <v>30</v>
      </c>
      <c r="J117" s="122" t="s">
        <v>597</v>
      </c>
      <c r="M117" s="122">
        <f t="shared" si="11"/>
        <v>0</v>
      </c>
      <c r="N117" s="122">
        <f t="shared" si="15"/>
        <v>0.6</v>
      </c>
      <c r="O117" s="122">
        <f t="shared" si="15"/>
        <v>0.6</v>
      </c>
      <c r="P117" s="122">
        <f t="shared" si="15"/>
        <v>0.6</v>
      </c>
      <c r="Q117" s="122">
        <f t="shared" si="15"/>
        <v>0.6</v>
      </c>
      <c r="R117" s="122">
        <f t="shared" si="15"/>
        <v>0.6</v>
      </c>
      <c r="S117" s="122">
        <f t="shared" si="15"/>
        <v>0.6</v>
      </c>
      <c r="T117" s="122">
        <f t="shared" si="15"/>
        <v>0</v>
      </c>
      <c r="U117" s="122">
        <f t="shared" si="15"/>
        <v>0</v>
      </c>
      <c r="V117" s="122">
        <f t="shared" si="15"/>
        <v>0</v>
      </c>
      <c r="W117" s="122">
        <f t="shared" si="15"/>
        <v>0</v>
      </c>
      <c r="X117" s="122">
        <f t="shared" si="15"/>
        <v>0</v>
      </c>
      <c r="Y117" s="122">
        <f t="shared" si="15"/>
        <v>0</v>
      </c>
      <c r="Z117" s="122">
        <f t="shared" si="15"/>
        <v>0</v>
      </c>
      <c r="AC117"/>
    </row>
    <row r="118" spans="2:29" ht="13.8" x14ac:dyDescent="0.3">
      <c r="B118" s="134"/>
      <c r="C118" s="133"/>
      <c r="D118" s="132"/>
      <c r="E118" s="131"/>
      <c r="F118" s="122" t="str">
        <f t="shared" si="12"/>
        <v>AZ</v>
      </c>
      <c r="G118" s="122" t="str">
        <f t="shared" si="13"/>
        <v/>
      </c>
      <c r="M118" s="122">
        <f t="shared" si="11"/>
        <v>0</v>
      </c>
      <c r="N118" s="122">
        <f t="shared" si="15"/>
        <v>0</v>
      </c>
      <c r="O118" s="122">
        <f t="shared" si="15"/>
        <v>0</v>
      </c>
      <c r="P118" s="122">
        <f t="shared" si="15"/>
        <v>0</v>
      </c>
      <c r="Q118" s="122">
        <f t="shared" si="15"/>
        <v>0</v>
      </c>
      <c r="R118" s="122">
        <f t="shared" si="15"/>
        <v>0</v>
      </c>
      <c r="S118" s="122">
        <f t="shared" si="15"/>
        <v>0</v>
      </c>
      <c r="T118" s="122">
        <f t="shared" si="15"/>
        <v>0</v>
      </c>
      <c r="U118" s="122">
        <f t="shared" si="15"/>
        <v>0</v>
      </c>
      <c r="V118" s="122">
        <f t="shared" si="15"/>
        <v>0</v>
      </c>
      <c r="W118" s="122">
        <f t="shared" si="15"/>
        <v>0</v>
      </c>
      <c r="X118" s="122">
        <f t="shared" si="15"/>
        <v>0</v>
      </c>
      <c r="Y118" s="122">
        <f t="shared" si="15"/>
        <v>0</v>
      </c>
      <c r="Z118" s="122">
        <f t="shared" si="15"/>
        <v>0</v>
      </c>
      <c r="AC118"/>
    </row>
    <row r="119" spans="2:29" ht="13.8" x14ac:dyDescent="0.3">
      <c r="B119" s="137" t="s">
        <v>228</v>
      </c>
      <c r="C119" s="133"/>
      <c r="D119" s="132">
        <v>8</v>
      </c>
      <c r="E119" s="131"/>
      <c r="F119" s="122" t="str">
        <f t="shared" si="12"/>
        <v>AZ</v>
      </c>
      <c r="G119" s="122" t="str">
        <f t="shared" si="13"/>
        <v/>
      </c>
      <c r="M119" s="122">
        <f t="shared" si="11"/>
        <v>0</v>
      </c>
      <c r="N119" s="122">
        <f t="shared" si="15"/>
        <v>0</v>
      </c>
      <c r="O119" s="122">
        <f t="shared" si="15"/>
        <v>0</v>
      </c>
      <c r="P119" s="122">
        <f t="shared" si="15"/>
        <v>0</v>
      </c>
      <c r="Q119" s="122">
        <f t="shared" si="15"/>
        <v>0</v>
      </c>
      <c r="R119" s="122">
        <f t="shared" si="15"/>
        <v>0</v>
      </c>
      <c r="S119" s="122">
        <f t="shared" si="15"/>
        <v>0</v>
      </c>
      <c r="T119" s="122">
        <f t="shared" si="15"/>
        <v>0</v>
      </c>
      <c r="U119" s="122">
        <f t="shared" si="15"/>
        <v>0</v>
      </c>
      <c r="V119" s="122">
        <f t="shared" si="15"/>
        <v>0</v>
      </c>
      <c r="W119" s="122">
        <f t="shared" si="15"/>
        <v>0</v>
      </c>
      <c r="X119" s="122">
        <f t="shared" si="15"/>
        <v>0</v>
      </c>
      <c r="Y119" s="122">
        <f t="shared" si="15"/>
        <v>0</v>
      </c>
      <c r="Z119" s="122">
        <f t="shared" si="15"/>
        <v>0</v>
      </c>
      <c r="AC119"/>
    </row>
    <row r="120" spans="2:29" ht="13.8" x14ac:dyDescent="0.3">
      <c r="B120" s="134" t="s">
        <v>223</v>
      </c>
      <c r="C120" s="133"/>
      <c r="D120" s="132"/>
      <c r="E120" s="131"/>
      <c r="F120" s="122" t="str">
        <f t="shared" si="12"/>
        <v>AZ</v>
      </c>
      <c r="G120" s="122" t="str">
        <f t="shared" si="13"/>
        <v/>
      </c>
      <c r="M120" s="122">
        <f t="shared" si="11"/>
        <v>0</v>
      </c>
      <c r="N120" s="122">
        <f t="shared" si="11"/>
        <v>0</v>
      </c>
      <c r="O120" s="122">
        <f t="shared" si="11"/>
        <v>0</v>
      </c>
      <c r="P120" s="122">
        <f t="shared" si="11"/>
        <v>0</v>
      </c>
      <c r="Q120" s="122">
        <f t="shared" si="11"/>
        <v>0</v>
      </c>
      <c r="R120" s="122">
        <f t="shared" si="11"/>
        <v>0</v>
      </c>
      <c r="S120" s="122">
        <f t="shared" si="11"/>
        <v>0</v>
      </c>
      <c r="T120" s="122">
        <f t="shared" si="11"/>
        <v>0</v>
      </c>
      <c r="U120" s="122">
        <f t="shared" si="11"/>
        <v>0</v>
      </c>
      <c r="V120" s="122">
        <f t="shared" si="11"/>
        <v>0</v>
      </c>
      <c r="W120" s="122">
        <f t="shared" si="11"/>
        <v>0</v>
      </c>
      <c r="X120" s="122">
        <f t="shared" si="11"/>
        <v>0</v>
      </c>
      <c r="Y120" s="122">
        <f t="shared" si="11"/>
        <v>0</v>
      </c>
      <c r="Z120" s="122">
        <f t="shared" si="11"/>
        <v>0</v>
      </c>
      <c r="AC120"/>
    </row>
    <row r="121" spans="2:29" ht="13.8" x14ac:dyDescent="0.3">
      <c r="B121" s="134" t="s">
        <v>227</v>
      </c>
      <c r="C121" s="133"/>
      <c r="D121" s="132">
        <v>8</v>
      </c>
      <c r="E121" s="131" t="s">
        <v>221</v>
      </c>
      <c r="F121" s="122" t="str">
        <f t="shared" si="12"/>
        <v>AZ1</v>
      </c>
      <c r="G121" s="122" t="str">
        <f t="shared" si="13"/>
        <v>Power plants Wind WPP 2015 AZ 1</v>
      </c>
      <c r="H121" s="122">
        <v>2015</v>
      </c>
      <c r="I121" s="122">
        <v>25</v>
      </c>
      <c r="J121" s="122" t="s">
        <v>596</v>
      </c>
      <c r="M121" s="122">
        <f t="shared" ref="M121:Z129" si="16">IF(($H121+$I121)&gt;M$8,IF($H121&lt;=M$8,$D121,0),0)</f>
        <v>0</v>
      </c>
      <c r="N121" s="122">
        <f t="shared" si="16"/>
        <v>8</v>
      </c>
      <c r="O121" s="122">
        <f t="shared" si="16"/>
        <v>8</v>
      </c>
      <c r="P121" s="122">
        <f t="shared" si="16"/>
        <v>8</v>
      </c>
      <c r="Q121" s="122">
        <f t="shared" si="16"/>
        <v>8</v>
      </c>
      <c r="R121" s="122">
        <f t="shared" si="16"/>
        <v>8</v>
      </c>
      <c r="S121" s="122">
        <f t="shared" si="16"/>
        <v>0</v>
      </c>
      <c r="T121" s="122">
        <f t="shared" si="16"/>
        <v>0</v>
      </c>
      <c r="U121" s="122">
        <f t="shared" si="16"/>
        <v>0</v>
      </c>
      <c r="V121" s="122">
        <f t="shared" si="16"/>
        <v>0</v>
      </c>
      <c r="W121" s="122">
        <f t="shared" si="16"/>
        <v>0</v>
      </c>
      <c r="X121" s="122">
        <f t="shared" si="16"/>
        <v>0</v>
      </c>
      <c r="Y121" s="122">
        <f t="shared" si="16"/>
        <v>0</v>
      </c>
      <c r="Z121" s="122">
        <f t="shared" si="16"/>
        <v>0</v>
      </c>
      <c r="AC121"/>
    </row>
    <row r="122" spans="2:29" ht="13.8" x14ac:dyDescent="0.3">
      <c r="B122" s="134"/>
      <c r="C122" s="133"/>
      <c r="D122" s="132"/>
      <c r="E122" s="131"/>
      <c r="F122" s="122" t="str">
        <f t="shared" si="12"/>
        <v>AZ</v>
      </c>
      <c r="G122" s="122" t="str">
        <f t="shared" si="13"/>
        <v/>
      </c>
      <c r="M122" s="122">
        <f t="shared" si="16"/>
        <v>0</v>
      </c>
      <c r="N122" s="122">
        <f t="shared" si="16"/>
        <v>0</v>
      </c>
      <c r="O122" s="122">
        <f t="shared" si="16"/>
        <v>0</v>
      </c>
      <c r="P122" s="122">
        <f t="shared" si="16"/>
        <v>0</v>
      </c>
      <c r="Q122" s="122">
        <f t="shared" si="16"/>
        <v>0</v>
      </c>
      <c r="R122" s="122">
        <f t="shared" si="16"/>
        <v>0</v>
      </c>
      <c r="S122" s="122">
        <f t="shared" si="16"/>
        <v>0</v>
      </c>
      <c r="T122" s="122">
        <f t="shared" si="16"/>
        <v>0</v>
      </c>
      <c r="U122" s="122">
        <f t="shared" si="16"/>
        <v>0</v>
      </c>
      <c r="V122" s="122">
        <f t="shared" si="16"/>
        <v>0</v>
      </c>
      <c r="W122" s="122">
        <f t="shared" si="16"/>
        <v>0</v>
      </c>
      <c r="X122" s="122">
        <f t="shared" si="16"/>
        <v>0</v>
      </c>
      <c r="Y122" s="122">
        <f t="shared" si="16"/>
        <v>0</v>
      </c>
      <c r="Z122" s="122">
        <f t="shared" si="16"/>
        <v>0</v>
      </c>
      <c r="AC122"/>
    </row>
    <row r="123" spans="2:29" x14ac:dyDescent="0.25">
      <c r="B123" s="136" t="s">
        <v>226</v>
      </c>
      <c r="C123" s="133"/>
      <c r="D123" s="132">
        <v>0.7</v>
      </c>
      <c r="E123" s="131"/>
      <c r="F123" s="122" t="str">
        <f t="shared" si="12"/>
        <v>AZ</v>
      </c>
      <c r="G123" s="122" t="str">
        <f t="shared" si="13"/>
        <v/>
      </c>
      <c r="M123" s="122">
        <f t="shared" si="16"/>
        <v>0</v>
      </c>
      <c r="N123" s="122">
        <f t="shared" si="16"/>
        <v>0</v>
      </c>
      <c r="O123" s="122">
        <f t="shared" si="16"/>
        <v>0</v>
      </c>
      <c r="P123" s="122">
        <f t="shared" si="16"/>
        <v>0</v>
      </c>
      <c r="Q123" s="122">
        <f t="shared" si="16"/>
        <v>0</v>
      </c>
      <c r="R123" s="122">
        <f t="shared" si="16"/>
        <v>0</v>
      </c>
      <c r="S123" s="122">
        <f t="shared" si="16"/>
        <v>0</v>
      </c>
      <c r="T123" s="122">
        <f t="shared" si="16"/>
        <v>0</v>
      </c>
      <c r="U123" s="122">
        <f t="shared" si="16"/>
        <v>0</v>
      </c>
      <c r="V123" s="122">
        <f t="shared" si="16"/>
        <v>0</v>
      </c>
      <c r="W123" s="122">
        <f t="shared" si="16"/>
        <v>0</v>
      </c>
      <c r="X123" s="122">
        <f t="shared" si="16"/>
        <v>0</v>
      </c>
      <c r="Y123" s="122">
        <f t="shared" si="16"/>
        <v>0</v>
      </c>
      <c r="Z123" s="122">
        <f t="shared" si="16"/>
        <v>0</v>
      </c>
    </row>
    <row r="124" spans="2:29" x14ac:dyDescent="0.25">
      <c r="B124" s="134" t="s">
        <v>225</v>
      </c>
      <c r="C124" s="133"/>
      <c r="D124" s="132"/>
      <c r="E124" s="131"/>
      <c r="F124" s="122" t="str">
        <f t="shared" si="12"/>
        <v>AZ</v>
      </c>
      <c r="G124" s="122" t="str">
        <f t="shared" si="13"/>
        <v/>
      </c>
      <c r="M124" s="122">
        <f t="shared" si="16"/>
        <v>0</v>
      </c>
      <c r="N124" s="122">
        <f t="shared" si="16"/>
        <v>0</v>
      </c>
      <c r="O124" s="122">
        <f t="shared" si="16"/>
        <v>0</v>
      </c>
      <c r="P124" s="122">
        <f t="shared" si="16"/>
        <v>0</v>
      </c>
      <c r="Q124" s="122">
        <f t="shared" si="16"/>
        <v>0</v>
      </c>
      <c r="R124" s="122">
        <f t="shared" si="16"/>
        <v>0</v>
      </c>
      <c r="S124" s="122">
        <f t="shared" si="16"/>
        <v>0</v>
      </c>
      <c r="T124" s="122">
        <f t="shared" si="16"/>
        <v>0</v>
      </c>
      <c r="U124" s="122">
        <f t="shared" si="16"/>
        <v>0</v>
      </c>
      <c r="V124" s="122">
        <f t="shared" si="16"/>
        <v>0</v>
      </c>
      <c r="W124" s="122">
        <f t="shared" si="16"/>
        <v>0</v>
      </c>
      <c r="X124" s="122">
        <f t="shared" si="16"/>
        <v>0</v>
      </c>
      <c r="Y124" s="122">
        <f t="shared" si="16"/>
        <v>0</v>
      </c>
      <c r="Z124" s="122">
        <f t="shared" si="16"/>
        <v>0</v>
      </c>
    </row>
    <row r="125" spans="2:29" x14ac:dyDescent="0.25">
      <c r="B125" s="134" t="s">
        <v>626</v>
      </c>
      <c r="C125" s="133"/>
      <c r="D125" s="132">
        <v>0.7</v>
      </c>
      <c r="E125" s="131" t="s">
        <v>221</v>
      </c>
      <c r="F125" s="122" t="str">
        <f t="shared" si="12"/>
        <v>AZ1</v>
      </c>
      <c r="G125" s="122" t="str">
        <f t="shared" si="13"/>
        <v>Power plants Biogas TPP 2015 AZ 1</v>
      </c>
      <c r="H125" s="122">
        <v>2015</v>
      </c>
      <c r="I125" s="122">
        <v>25</v>
      </c>
      <c r="J125" s="122" t="s">
        <v>601</v>
      </c>
      <c r="M125" s="122">
        <f t="shared" si="16"/>
        <v>0</v>
      </c>
      <c r="N125" s="122">
        <f t="shared" si="16"/>
        <v>0.7</v>
      </c>
      <c r="O125" s="122">
        <f t="shared" si="16"/>
        <v>0.7</v>
      </c>
      <c r="P125" s="122">
        <f t="shared" si="16"/>
        <v>0.7</v>
      </c>
      <c r="Q125" s="122">
        <f t="shared" si="16"/>
        <v>0.7</v>
      </c>
      <c r="R125" s="122">
        <f t="shared" si="16"/>
        <v>0.7</v>
      </c>
      <c r="S125" s="122">
        <f t="shared" si="16"/>
        <v>0</v>
      </c>
      <c r="T125" s="122">
        <f t="shared" si="16"/>
        <v>0</v>
      </c>
      <c r="U125" s="122">
        <f t="shared" si="16"/>
        <v>0</v>
      </c>
      <c r="V125" s="122">
        <f t="shared" si="16"/>
        <v>0</v>
      </c>
      <c r="W125" s="122">
        <f t="shared" si="16"/>
        <v>0</v>
      </c>
      <c r="X125" s="122">
        <f t="shared" si="16"/>
        <v>0</v>
      </c>
      <c r="Y125" s="122">
        <f t="shared" si="16"/>
        <v>0</v>
      </c>
      <c r="Z125" s="122">
        <f t="shared" si="16"/>
        <v>0</v>
      </c>
    </row>
    <row r="126" spans="2:29" x14ac:dyDescent="0.25">
      <c r="B126" s="134"/>
      <c r="C126" s="133"/>
      <c r="D126" s="132"/>
      <c r="E126" s="131"/>
      <c r="F126" s="122" t="str">
        <f t="shared" si="12"/>
        <v>AZ</v>
      </c>
      <c r="G126" s="122" t="str">
        <f t="shared" si="13"/>
        <v/>
      </c>
      <c r="M126" s="122">
        <f t="shared" si="16"/>
        <v>0</v>
      </c>
      <c r="N126" s="122">
        <f t="shared" si="16"/>
        <v>0</v>
      </c>
      <c r="O126" s="122">
        <f t="shared" si="16"/>
        <v>0</v>
      </c>
      <c r="P126" s="122">
        <f t="shared" si="16"/>
        <v>0</v>
      </c>
      <c r="Q126" s="122">
        <f t="shared" si="16"/>
        <v>0</v>
      </c>
      <c r="R126" s="122">
        <f t="shared" si="16"/>
        <v>0</v>
      </c>
      <c r="S126" s="122">
        <f t="shared" si="16"/>
        <v>0</v>
      </c>
      <c r="T126" s="122">
        <f t="shared" si="16"/>
        <v>0</v>
      </c>
      <c r="U126" s="122">
        <f t="shared" si="16"/>
        <v>0</v>
      </c>
      <c r="V126" s="122">
        <f t="shared" si="16"/>
        <v>0</v>
      </c>
      <c r="W126" s="122">
        <f t="shared" si="16"/>
        <v>0</v>
      </c>
      <c r="X126" s="122">
        <f t="shared" si="16"/>
        <v>0</v>
      </c>
      <c r="Y126" s="122">
        <f t="shared" si="16"/>
        <v>0</v>
      </c>
      <c r="Z126" s="122">
        <f t="shared" si="16"/>
        <v>0</v>
      </c>
    </row>
    <row r="127" spans="2:29" x14ac:dyDescent="0.25">
      <c r="B127" s="135" t="s">
        <v>224</v>
      </c>
      <c r="C127" s="133"/>
      <c r="D127" s="132">
        <v>0.5</v>
      </c>
      <c r="E127" s="131"/>
      <c r="F127" s="122" t="str">
        <f t="shared" si="12"/>
        <v>AZ</v>
      </c>
      <c r="G127" s="122" t="str">
        <f t="shared" si="13"/>
        <v/>
      </c>
      <c r="M127" s="122">
        <f t="shared" si="16"/>
        <v>0</v>
      </c>
      <c r="N127" s="122">
        <f t="shared" si="16"/>
        <v>0</v>
      </c>
      <c r="O127" s="122">
        <f t="shared" si="16"/>
        <v>0</v>
      </c>
      <c r="P127" s="122">
        <f t="shared" si="16"/>
        <v>0</v>
      </c>
      <c r="Q127" s="122">
        <f t="shared" si="16"/>
        <v>0</v>
      </c>
      <c r="R127" s="122">
        <f t="shared" si="16"/>
        <v>0</v>
      </c>
      <c r="S127" s="122">
        <f t="shared" si="16"/>
        <v>0</v>
      </c>
      <c r="T127" s="122">
        <f t="shared" si="16"/>
        <v>0</v>
      </c>
      <c r="U127" s="122">
        <f t="shared" si="16"/>
        <v>0</v>
      </c>
      <c r="V127" s="122">
        <f t="shared" si="16"/>
        <v>0</v>
      </c>
      <c r="W127" s="122">
        <f t="shared" si="16"/>
        <v>0</v>
      </c>
      <c r="X127" s="122">
        <f t="shared" si="16"/>
        <v>0</v>
      </c>
      <c r="Y127" s="122">
        <f t="shared" si="16"/>
        <v>0</v>
      </c>
      <c r="Z127" s="122">
        <f t="shared" si="16"/>
        <v>0</v>
      </c>
    </row>
    <row r="128" spans="2:29" x14ac:dyDescent="0.25">
      <c r="B128" s="134" t="s">
        <v>223</v>
      </c>
      <c r="C128" s="133"/>
      <c r="D128" s="132"/>
      <c r="E128" s="131"/>
      <c r="F128" s="122" t="str">
        <f t="shared" si="12"/>
        <v>AZ</v>
      </c>
      <c r="G128" s="122" t="str">
        <f t="shared" si="13"/>
        <v/>
      </c>
      <c r="M128" s="122">
        <f t="shared" si="16"/>
        <v>0</v>
      </c>
      <c r="N128" s="122">
        <f t="shared" si="16"/>
        <v>0</v>
      </c>
      <c r="O128" s="122">
        <f t="shared" si="16"/>
        <v>0</v>
      </c>
      <c r="P128" s="122">
        <f t="shared" si="16"/>
        <v>0</v>
      </c>
      <c r="Q128" s="122">
        <f t="shared" si="16"/>
        <v>0</v>
      </c>
      <c r="R128" s="122">
        <f t="shared" si="16"/>
        <v>0</v>
      </c>
      <c r="S128" s="122">
        <f t="shared" si="16"/>
        <v>0</v>
      </c>
      <c r="T128" s="122">
        <f t="shared" si="16"/>
        <v>0</v>
      </c>
      <c r="U128" s="122">
        <f t="shared" si="16"/>
        <v>0</v>
      </c>
      <c r="V128" s="122">
        <f t="shared" si="16"/>
        <v>0</v>
      </c>
      <c r="W128" s="122">
        <f t="shared" si="16"/>
        <v>0</v>
      </c>
      <c r="X128" s="122">
        <f t="shared" si="16"/>
        <v>0</v>
      </c>
      <c r="Y128" s="122">
        <f t="shared" si="16"/>
        <v>0</v>
      </c>
      <c r="Z128" s="122">
        <f t="shared" si="16"/>
        <v>0</v>
      </c>
    </row>
    <row r="129" spans="2:26" ht="13.8" thickBot="1" x14ac:dyDescent="0.3">
      <c r="B129" s="130" t="s">
        <v>222</v>
      </c>
      <c r="C129" s="129"/>
      <c r="D129" s="128">
        <v>0.5</v>
      </c>
      <c r="E129" s="127" t="s">
        <v>221</v>
      </c>
      <c r="F129" s="122" t="str">
        <f t="shared" si="12"/>
        <v>AZ1</v>
      </c>
      <c r="G129" s="122" t="str">
        <f t="shared" si="13"/>
        <v>Power plants Other HPP 2010 AZ 1</v>
      </c>
      <c r="H129" s="122">
        <v>2010</v>
      </c>
      <c r="I129" s="122">
        <v>100</v>
      </c>
      <c r="J129" s="122" t="s">
        <v>329</v>
      </c>
      <c r="M129" s="122">
        <f t="shared" si="16"/>
        <v>0.5</v>
      </c>
      <c r="N129" s="122">
        <f t="shared" si="16"/>
        <v>0.5</v>
      </c>
      <c r="O129" s="122">
        <f t="shared" si="16"/>
        <v>0.5</v>
      </c>
      <c r="P129" s="122">
        <f t="shared" si="16"/>
        <v>0.5</v>
      </c>
      <c r="Q129" s="122">
        <f t="shared" si="16"/>
        <v>0.5</v>
      </c>
      <c r="R129" s="122">
        <f t="shared" si="16"/>
        <v>0.5</v>
      </c>
      <c r="S129" s="122">
        <f t="shared" si="16"/>
        <v>0.5</v>
      </c>
      <c r="T129" s="122">
        <f t="shared" si="16"/>
        <v>0.5</v>
      </c>
      <c r="U129" s="122">
        <f t="shared" si="16"/>
        <v>0.5</v>
      </c>
      <c r="V129" s="122">
        <f t="shared" si="16"/>
        <v>0.5</v>
      </c>
      <c r="W129" s="122">
        <f t="shared" si="16"/>
        <v>0.5</v>
      </c>
      <c r="X129" s="122">
        <f t="shared" si="16"/>
        <v>0.5</v>
      </c>
      <c r="Y129" s="122">
        <f t="shared" si="16"/>
        <v>0.5</v>
      </c>
      <c r="Z129" s="122">
        <f t="shared" si="16"/>
        <v>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73B14-BD24-44D2-8F18-B38ED8B4C836}">
  <dimension ref="B2:I89"/>
  <sheetViews>
    <sheetView showGridLines="0" topLeftCell="A6" workbookViewId="0">
      <selection activeCell="E14" sqref="E14:E15"/>
    </sheetView>
  </sheetViews>
  <sheetFormatPr defaultColWidth="9.109375" defaultRowHeight="13.8" x14ac:dyDescent="0.25"/>
  <cols>
    <col min="1" max="1" width="7.6640625" style="200" customWidth="1"/>
    <col min="2" max="9" width="15.6640625" style="200" customWidth="1"/>
    <col min="10" max="16384" width="9.109375" style="200"/>
  </cols>
  <sheetData>
    <row r="2" spans="2:9" x14ac:dyDescent="0.25">
      <c r="B2" s="302" t="s">
        <v>317</v>
      </c>
      <c r="C2" s="302"/>
      <c r="D2" s="302"/>
      <c r="E2" s="302"/>
      <c r="F2" s="302"/>
      <c r="G2" s="302"/>
      <c r="H2" s="302"/>
      <c r="I2" s="302"/>
    </row>
    <row r="3" spans="2:9" ht="14.4" thickBot="1" x14ac:dyDescent="0.3">
      <c r="B3" s="223"/>
      <c r="C3" s="223"/>
      <c r="D3" s="223"/>
      <c r="E3" s="223"/>
    </row>
    <row r="4" spans="2:9" ht="20.100000000000001" customHeight="1" x14ac:dyDescent="0.25">
      <c r="B4" s="297" t="s">
        <v>40</v>
      </c>
      <c r="C4" s="299" t="s">
        <v>316</v>
      </c>
      <c r="D4" s="299" t="s">
        <v>315</v>
      </c>
      <c r="E4" s="299"/>
      <c r="F4" s="299"/>
      <c r="G4" s="299"/>
      <c r="H4" s="299"/>
      <c r="I4" s="301"/>
    </row>
    <row r="5" spans="2:9" ht="63.6" customHeight="1" thickBot="1" x14ac:dyDescent="0.3">
      <c r="B5" s="298"/>
      <c r="C5" s="300"/>
      <c r="D5" s="222" t="s">
        <v>314</v>
      </c>
      <c r="E5" s="221" t="s">
        <v>313</v>
      </c>
      <c r="F5" s="220" t="s">
        <v>312</v>
      </c>
      <c r="G5" s="220" t="s">
        <v>311</v>
      </c>
      <c r="H5" s="220" t="s">
        <v>310</v>
      </c>
      <c r="I5" s="219" t="s">
        <v>309</v>
      </c>
    </row>
    <row r="6" spans="2:9" x14ac:dyDescent="0.25">
      <c r="B6" s="218">
        <v>1913</v>
      </c>
      <c r="C6" s="217">
        <v>39.799999999999997</v>
      </c>
      <c r="D6" s="217">
        <v>39.799999999999997</v>
      </c>
      <c r="E6" s="217" t="s">
        <v>308</v>
      </c>
      <c r="F6" s="217" t="s">
        <v>308</v>
      </c>
      <c r="G6" s="217" t="s">
        <v>308</v>
      </c>
      <c r="H6" s="217" t="s">
        <v>308</v>
      </c>
      <c r="I6" s="216" t="s">
        <v>308</v>
      </c>
    </row>
    <row r="7" spans="2:9" x14ac:dyDescent="0.25">
      <c r="B7" s="209">
        <v>1920</v>
      </c>
      <c r="C7" s="211">
        <v>56.4</v>
      </c>
      <c r="D7" s="211">
        <v>56.4</v>
      </c>
      <c r="E7" s="211" t="s">
        <v>308</v>
      </c>
      <c r="F7" s="211" t="s">
        <v>308</v>
      </c>
      <c r="G7" s="211" t="s">
        <v>308</v>
      </c>
      <c r="H7" s="211" t="s">
        <v>308</v>
      </c>
      <c r="I7" s="210" t="s">
        <v>308</v>
      </c>
    </row>
    <row r="8" spans="2:9" x14ac:dyDescent="0.25">
      <c r="B8" s="209">
        <v>1930</v>
      </c>
      <c r="C8" s="211">
        <v>113.4</v>
      </c>
      <c r="D8" s="211">
        <v>113.4</v>
      </c>
      <c r="E8" s="211" t="s">
        <v>308</v>
      </c>
      <c r="F8" s="211" t="s">
        <v>308</v>
      </c>
      <c r="G8" s="211" t="s">
        <v>308</v>
      </c>
      <c r="H8" s="211" t="s">
        <v>308</v>
      </c>
      <c r="I8" s="210" t="s">
        <v>308</v>
      </c>
    </row>
    <row r="9" spans="2:9" x14ac:dyDescent="0.25">
      <c r="B9" s="209">
        <v>1940</v>
      </c>
      <c r="C9" s="211">
        <v>254.4</v>
      </c>
      <c r="D9" s="211">
        <v>254.4</v>
      </c>
      <c r="E9" s="211" t="s">
        <v>308</v>
      </c>
      <c r="F9" s="211" t="s">
        <v>308</v>
      </c>
      <c r="G9" s="211" t="s">
        <v>308</v>
      </c>
      <c r="H9" s="211" t="s">
        <v>308</v>
      </c>
      <c r="I9" s="210" t="s">
        <v>308</v>
      </c>
    </row>
    <row r="10" spans="2:9" x14ac:dyDescent="0.25">
      <c r="B10" s="209">
        <v>1950</v>
      </c>
      <c r="C10" s="211">
        <v>401.6</v>
      </c>
      <c r="D10" s="211">
        <v>401.6</v>
      </c>
      <c r="E10" s="211" t="s">
        <v>308</v>
      </c>
      <c r="F10" s="211" t="s">
        <v>308</v>
      </c>
      <c r="G10" s="211" t="s">
        <v>308</v>
      </c>
      <c r="H10" s="211" t="s">
        <v>308</v>
      </c>
      <c r="I10" s="210" t="s">
        <v>308</v>
      </c>
    </row>
    <row r="11" spans="2:9" x14ac:dyDescent="0.25">
      <c r="B11" s="209">
        <v>1960</v>
      </c>
      <c r="C11" s="212">
        <v>1261</v>
      </c>
      <c r="D11" s="211">
        <v>885.9</v>
      </c>
      <c r="E11" s="215">
        <v>375</v>
      </c>
      <c r="F11" s="211" t="s">
        <v>308</v>
      </c>
      <c r="G11" s="211" t="s">
        <v>308</v>
      </c>
      <c r="H11" s="211" t="s">
        <v>308</v>
      </c>
      <c r="I11" s="210" t="s">
        <v>308</v>
      </c>
    </row>
    <row r="12" spans="2:9" x14ac:dyDescent="0.25">
      <c r="B12" s="209">
        <v>1970</v>
      </c>
      <c r="C12" s="212">
        <v>2623</v>
      </c>
      <c r="D12" s="212">
        <v>2247</v>
      </c>
      <c r="E12" s="215">
        <v>375.5</v>
      </c>
      <c r="F12" s="211" t="s">
        <v>308</v>
      </c>
      <c r="G12" s="211" t="s">
        <v>308</v>
      </c>
      <c r="H12" s="211" t="s">
        <v>308</v>
      </c>
      <c r="I12" s="210" t="s">
        <v>308</v>
      </c>
    </row>
    <row r="13" spans="2:9" x14ac:dyDescent="0.25">
      <c r="B13" s="209">
        <v>1980</v>
      </c>
      <c r="C13" s="212">
        <v>2882</v>
      </c>
      <c r="D13" s="212">
        <v>2415</v>
      </c>
      <c r="E13" s="215">
        <v>467</v>
      </c>
      <c r="F13" s="211" t="s">
        <v>308</v>
      </c>
      <c r="G13" s="211" t="s">
        <v>308</v>
      </c>
      <c r="H13" s="211" t="s">
        <v>308</v>
      </c>
      <c r="I13" s="210" t="s">
        <v>308</v>
      </c>
    </row>
    <row r="14" spans="2:9" x14ac:dyDescent="0.25">
      <c r="B14" s="209">
        <v>1990</v>
      </c>
      <c r="C14" s="212">
        <v>5051</v>
      </c>
      <c r="D14" s="212">
        <v>4263</v>
      </c>
      <c r="E14" s="215">
        <v>787.7</v>
      </c>
      <c r="F14" s="211" t="s">
        <v>308</v>
      </c>
      <c r="G14" s="211" t="s">
        <v>308</v>
      </c>
      <c r="H14" s="211" t="s">
        <v>308</v>
      </c>
      <c r="I14" s="210" t="s">
        <v>308</v>
      </c>
    </row>
    <row r="15" spans="2:9" x14ac:dyDescent="0.25">
      <c r="B15" s="209">
        <v>1995</v>
      </c>
      <c r="C15" s="212">
        <v>5044</v>
      </c>
      <c r="D15" s="212">
        <v>4256</v>
      </c>
      <c r="E15" s="215">
        <v>787.7</v>
      </c>
      <c r="F15" s="211" t="s">
        <v>308</v>
      </c>
      <c r="G15" s="211" t="s">
        <v>308</v>
      </c>
      <c r="H15" s="211" t="s">
        <v>308</v>
      </c>
      <c r="I15" s="210" t="s">
        <v>308</v>
      </c>
    </row>
    <row r="16" spans="2:9" x14ac:dyDescent="0.25">
      <c r="B16" s="209">
        <v>2000</v>
      </c>
      <c r="C16" s="212">
        <v>4912</v>
      </c>
      <c r="D16" s="212">
        <v>3990</v>
      </c>
      <c r="E16" s="215">
        <v>921.9</v>
      </c>
      <c r="F16" s="211" t="s">
        <v>308</v>
      </c>
      <c r="G16" s="211" t="s">
        <v>308</v>
      </c>
      <c r="H16" s="211" t="s">
        <v>308</v>
      </c>
      <c r="I16" s="210" t="s">
        <v>308</v>
      </c>
    </row>
    <row r="17" spans="2:9" x14ac:dyDescent="0.25">
      <c r="B17" s="209">
        <v>2001</v>
      </c>
      <c r="C17" s="212">
        <v>5161</v>
      </c>
      <c r="D17" s="212">
        <v>4228</v>
      </c>
      <c r="E17" s="215">
        <v>933</v>
      </c>
      <c r="F17" s="211" t="s">
        <v>308</v>
      </c>
      <c r="G17" s="211" t="s">
        <v>308</v>
      </c>
      <c r="H17" s="211" t="s">
        <v>308</v>
      </c>
      <c r="I17" s="210" t="s">
        <v>308</v>
      </c>
    </row>
    <row r="18" spans="2:9" x14ac:dyDescent="0.25">
      <c r="B18" s="209">
        <v>2002</v>
      </c>
      <c r="C18" s="212">
        <v>5283</v>
      </c>
      <c r="D18" s="212">
        <v>4349</v>
      </c>
      <c r="E18" s="215">
        <v>934</v>
      </c>
      <c r="F18" s="211" t="s">
        <v>308</v>
      </c>
      <c r="G18" s="211" t="s">
        <v>308</v>
      </c>
      <c r="H18" s="211" t="s">
        <v>308</v>
      </c>
      <c r="I18" s="210" t="s">
        <v>308</v>
      </c>
    </row>
    <row r="19" spans="2:9" x14ac:dyDescent="0.25">
      <c r="B19" s="209">
        <v>2003</v>
      </c>
      <c r="C19" s="212">
        <v>5673</v>
      </c>
      <c r="D19" s="212">
        <v>4703</v>
      </c>
      <c r="E19" s="211">
        <v>970.1</v>
      </c>
      <c r="F19" s="211" t="s">
        <v>308</v>
      </c>
      <c r="G19" s="211" t="s">
        <v>308</v>
      </c>
      <c r="H19" s="211" t="s">
        <v>308</v>
      </c>
      <c r="I19" s="210" t="s">
        <v>308</v>
      </c>
    </row>
    <row r="20" spans="2:9" x14ac:dyDescent="0.25">
      <c r="B20" s="209">
        <v>2004</v>
      </c>
      <c r="C20" s="212">
        <v>5665</v>
      </c>
      <c r="D20" s="212">
        <v>4695</v>
      </c>
      <c r="E20" s="211">
        <v>970.1</v>
      </c>
      <c r="F20" s="211" t="s">
        <v>308</v>
      </c>
      <c r="G20" s="211" t="s">
        <v>308</v>
      </c>
      <c r="H20" s="211" t="s">
        <v>308</v>
      </c>
      <c r="I20" s="210" t="s">
        <v>308</v>
      </c>
    </row>
    <row r="21" spans="2:9" x14ac:dyDescent="0.25">
      <c r="B21" s="209">
        <v>2005</v>
      </c>
      <c r="C21" s="212">
        <v>5157</v>
      </c>
      <c r="D21" s="212">
        <v>4187</v>
      </c>
      <c r="E21" s="211">
        <v>970.1</v>
      </c>
      <c r="F21" s="211" t="s">
        <v>308</v>
      </c>
      <c r="G21" s="211" t="s">
        <v>308</v>
      </c>
      <c r="H21" s="211" t="s">
        <v>308</v>
      </c>
      <c r="I21" s="210" t="s">
        <v>308</v>
      </c>
    </row>
    <row r="22" spans="2:9" x14ac:dyDescent="0.25">
      <c r="B22" s="209">
        <v>2006</v>
      </c>
      <c r="C22" s="212">
        <v>5624</v>
      </c>
      <c r="D22" s="212">
        <v>4599</v>
      </c>
      <c r="E22" s="212">
        <v>1025</v>
      </c>
      <c r="F22" s="211" t="s">
        <v>308</v>
      </c>
      <c r="G22" s="211" t="s">
        <v>308</v>
      </c>
      <c r="H22" s="211" t="s">
        <v>308</v>
      </c>
      <c r="I22" s="210" t="s">
        <v>308</v>
      </c>
    </row>
    <row r="23" spans="2:9" x14ac:dyDescent="0.25">
      <c r="B23" s="209">
        <v>2007</v>
      </c>
      <c r="C23" s="212">
        <v>5728</v>
      </c>
      <c r="D23" s="212">
        <v>4703</v>
      </c>
      <c r="E23" s="212">
        <v>1025</v>
      </c>
      <c r="F23" s="211" t="s">
        <v>308</v>
      </c>
      <c r="G23" s="211" t="s">
        <v>308</v>
      </c>
      <c r="H23" s="211" t="s">
        <v>308</v>
      </c>
      <c r="I23" s="210" t="s">
        <v>308</v>
      </c>
    </row>
    <row r="24" spans="2:9" x14ac:dyDescent="0.25">
      <c r="B24" s="209">
        <v>2008</v>
      </c>
      <c r="C24" s="212">
        <v>5798</v>
      </c>
      <c r="D24" s="212">
        <v>4773</v>
      </c>
      <c r="E24" s="212">
        <v>1025</v>
      </c>
      <c r="F24" s="211" t="s">
        <v>308</v>
      </c>
      <c r="G24" s="211" t="s">
        <v>308</v>
      </c>
      <c r="H24" s="211" t="s">
        <v>308</v>
      </c>
      <c r="I24" s="210" t="s">
        <v>308</v>
      </c>
    </row>
    <row r="25" spans="2:9" x14ac:dyDescent="0.25">
      <c r="B25" s="209">
        <v>2009</v>
      </c>
      <c r="C25" s="212">
        <v>6390</v>
      </c>
      <c r="D25" s="212">
        <v>5401</v>
      </c>
      <c r="E25" s="213">
        <v>987</v>
      </c>
      <c r="F25" s="214">
        <v>1.7</v>
      </c>
      <c r="G25" s="211" t="s">
        <v>308</v>
      </c>
      <c r="H25" s="211" t="s">
        <v>308</v>
      </c>
      <c r="I25" s="210" t="s">
        <v>308</v>
      </c>
    </row>
    <row r="26" spans="2:9" x14ac:dyDescent="0.25">
      <c r="B26" s="209">
        <v>2010</v>
      </c>
      <c r="C26" s="212">
        <v>6398</v>
      </c>
      <c r="D26" s="212">
        <v>5401</v>
      </c>
      <c r="E26" s="213">
        <v>995</v>
      </c>
      <c r="F26" s="214">
        <v>1.7</v>
      </c>
      <c r="G26" s="211" t="s">
        <v>308</v>
      </c>
      <c r="H26" s="211" t="s">
        <v>308</v>
      </c>
      <c r="I26" s="210" t="s">
        <v>308</v>
      </c>
    </row>
    <row r="27" spans="2:9" x14ac:dyDescent="0.25">
      <c r="B27" s="209">
        <v>2011</v>
      </c>
      <c r="C27" s="212">
        <v>6350</v>
      </c>
      <c r="D27" s="212">
        <v>5352</v>
      </c>
      <c r="E27" s="213">
        <v>998</v>
      </c>
      <c r="F27" s="211" t="s">
        <v>308</v>
      </c>
      <c r="G27" s="211" t="s">
        <v>308</v>
      </c>
      <c r="H27" s="211" t="s">
        <v>308</v>
      </c>
      <c r="I27" s="210" t="s">
        <v>308</v>
      </c>
    </row>
    <row r="28" spans="2:9" x14ac:dyDescent="0.25">
      <c r="B28" s="209">
        <v>2012</v>
      </c>
      <c r="C28" s="212">
        <v>6420</v>
      </c>
      <c r="D28" s="212">
        <v>5397</v>
      </c>
      <c r="E28" s="212">
        <v>1023</v>
      </c>
      <c r="F28" s="211" t="s">
        <v>308</v>
      </c>
      <c r="G28" s="211" t="s">
        <v>308</v>
      </c>
      <c r="H28" s="211" t="s">
        <v>308</v>
      </c>
      <c r="I28" s="210" t="s">
        <v>308</v>
      </c>
    </row>
    <row r="29" spans="2:9" x14ac:dyDescent="0.25">
      <c r="B29" s="209">
        <v>2013</v>
      </c>
      <c r="C29" s="208">
        <v>7353.3</v>
      </c>
      <c r="D29" s="208">
        <v>6230.1</v>
      </c>
      <c r="E29" s="208">
        <v>1082.5</v>
      </c>
      <c r="F29" s="207">
        <v>2.7</v>
      </c>
      <c r="G29" s="207">
        <v>1</v>
      </c>
      <c r="H29" s="207">
        <v>37</v>
      </c>
      <c r="I29" s="210" t="s">
        <v>308</v>
      </c>
    </row>
    <row r="30" spans="2:9" x14ac:dyDescent="0.25">
      <c r="B30" s="209">
        <v>2014</v>
      </c>
      <c r="C30" s="208">
        <v>7353.4</v>
      </c>
      <c r="D30" s="208">
        <v>6233.4</v>
      </c>
      <c r="E30" s="208">
        <v>1077.9000000000001</v>
      </c>
      <c r="F30" s="207">
        <v>2.7</v>
      </c>
      <c r="G30" s="207">
        <v>2.4</v>
      </c>
      <c r="H30" s="207">
        <v>37</v>
      </c>
      <c r="I30" s="210" t="s">
        <v>308</v>
      </c>
    </row>
    <row r="31" spans="2:9" x14ac:dyDescent="0.25">
      <c r="B31" s="209">
        <v>2015</v>
      </c>
      <c r="C31" s="208">
        <v>7806.7</v>
      </c>
      <c r="D31" s="208">
        <v>6652.8</v>
      </c>
      <c r="E31" s="208">
        <v>1103.4000000000001</v>
      </c>
      <c r="F31" s="207">
        <v>7.7</v>
      </c>
      <c r="G31" s="207">
        <v>4.8</v>
      </c>
      <c r="H31" s="207">
        <v>37</v>
      </c>
      <c r="I31" s="206">
        <v>1</v>
      </c>
    </row>
    <row r="32" spans="2:9" x14ac:dyDescent="0.25">
      <c r="B32" s="209">
        <v>2016</v>
      </c>
      <c r="C32" s="208">
        <v>7910.4</v>
      </c>
      <c r="D32" s="208">
        <v>6726.8</v>
      </c>
      <c r="E32" s="208">
        <v>1105</v>
      </c>
      <c r="F32" s="207">
        <v>15.7</v>
      </c>
      <c r="G32" s="207">
        <v>24.9</v>
      </c>
      <c r="H32" s="207">
        <v>37</v>
      </c>
      <c r="I32" s="206">
        <v>1</v>
      </c>
    </row>
    <row r="33" spans="2:9" x14ac:dyDescent="0.25">
      <c r="B33" s="209">
        <v>2017</v>
      </c>
      <c r="C33" s="208">
        <v>7941.5</v>
      </c>
      <c r="D33" s="208">
        <v>6748</v>
      </c>
      <c r="E33" s="208">
        <v>1106.4000000000001</v>
      </c>
      <c r="F33" s="207">
        <v>15.7</v>
      </c>
      <c r="G33" s="207">
        <v>28.4</v>
      </c>
      <c r="H33" s="207">
        <v>42</v>
      </c>
      <c r="I33" s="206">
        <v>1</v>
      </c>
    </row>
    <row r="34" spans="2:9" ht="14.4" thickBot="1" x14ac:dyDescent="0.3">
      <c r="B34" s="205">
        <v>2018</v>
      </c>
      <c r="C34" s="204">
        <v>7828.9</v>
      </c>
      <c r="D34" s="204">
        <v>6552.2</v>
      </c>
      <c r="E34" s="204">
        <v>1130.8</v>
      </c>
      <c r="F34" s="203">
        <v>66</v>
      </c>
      <c r="G34" s="203">
        <v>34.9</v>
      </c>
      <c r="H34" s="203">
        <v>44</v>
      </c>
      <c r="I34" s="202">
        <v>1</v>
      </c>
    </row>
    <row r="35" spans="2:9" x14ac:dyDescent="0.25">
      <c r="B35" s="201"/>
      <c r="C35" s="201"/>
      <c r="D35" s="201"/>
      <c r="E35" s="201"/>
    </row>
    <row r="36" spans="2:9" x14ac:dyDescent="0.25">
      <c r="B36" s="201"/>
      <c r="C36" s="201"/>
      <c r="D36" s="201"/>
      <c r="E36" s="201"/>
    </row>
    <row r="37" spans="2:9" x14ac:dyDescent="0.25">
      <c r="B37" s="201"/>
      <c r="C37" s="201"/>
      <c r="D37" s="201"/>
      <c r="E37" s="201"/>
    </row>
    <row r="38" spans="2:9" x14ac:dyDescent="0.25">
      <c r="B38" s="201"/>
      <c r="C38" s="201"/>
      <c r="D38" s="201"/>
      <c r="E38" s="271"/>
    </row>
    <row r="39" spans="2:9" x14ac:dyDescent="0.25">
      <c r="B39" s="201"/>
      <c r="C39" s="201"/>
      <c r="D39" s="201"/>
      <c r="E39" s="201"/>
    </row>
    <row r="40" spans="2:9" x14ac:dyDescent="0.25">
      <c r="B40" s="201"/>
      <c r="C40" s="201"/>
      <c r="D40" s="201"/>
      <c r="E40" s="201"/>
    </row>
    <row r="41" spans="2:9" x14ac:dyDescent="0.25">
      <c r="B41" s="201"/>
      <c r="C41" s="201"/>
      <c r="D41" s="201"/>
      <c r="E41" s="201"/>
    </row>
    <row r="42" spans="2:9" x14ac:dyDescent="0.25">
      <c r="B42" s="201"/>
      <c r="C42" s="201"/>
      <c r="D42" s="201"/>
      <c r="E42" s="201"/>
    </row>
    <row r="43" spans="2:9" x14ac:dyDescent="0.25">
      <c r="B43" s="201"/>
      <c r="C43" s="201"/>
      <c r="D43" s="201"/>
      <c r="E43" s="201"/>
    </row>
    <row r="44" spans="2:9" x14ac:dyDescent="0.25">
      <c r="B44" s="201"/>
      <c r="C44" s="201"/>
      <c r="D44" s="201"/>
      <c r="E44" s="201"/>
    </row>
    <row r="45" spans="2:9" x14ac:dyDescent="0.25">
      <c r="B45" s="201"/>
      <c r="C45" s="201"/>
      <c r="D45" s="201"/>
      <c r="E45" s="201"/>
    </row>
    <row r="46" spans="2:9" x14ac:dyDescent="0.25">
      <c r="B46" s="201"/>
      <c r="C46" s="201"/>
      <c r="D46" s="201"/>
      <c r="E46" s="201"/>
    </row>
    <row r="47" spans="2:9" x14ac:dyDescent="0.25">
      <c r="B47" s="201"/>
      <c r="C47" s="201"/>
      <c r="D47" s="201"/>
      <c r="E47" s="201"/>
    </row>
    <row r="48" spans="2:9" x14ac:dyDescent="0.25">
      <c r="B48" s="201"/>
      <c r="C48" s="201"/>
      <c r="D48" s="201"/>
      <c r="E48" s="201"/>
    </row>
    <row r="49" spans="2:5" x14ac:dyDescent="0.25">
      <c r="B49" s="201"/>
      <c r="C49" s="201"/>
      <c r="D49" s="201"/>
      <c r="E49" s="201"/>
    </row>
    <row r="50" spans="2:5" x14ac:dyDescent="0.25">
      <c r="B50" s="201"/>
      <c r="C50" s="201"/>
      <c r="D50" s="201"/>
      <c r="E50" s="201"/>
    </row>
    <row r="51" spans="2:5" x14ac:dyDescent="0.25">
      <c r="B51" s="201"/>
      <c r="C51" s="201"/>
      <c r="D51" s="201"/>
      <c r="E51" s="201"/>
    </row>
    <row r="52" spans="2:5" x14ac:dyDescent="0.25">
      <c r="B52" s="201"/>
      <c r="C52" s="201"/>
      <c r="D52" s="201"/>
      <c r="E52" s="201"/>
    </row>
    <row r="53" spans="2:5" x14ac:dyDescent="0.25">
      <c r="B53" s="201"/>
      <c r="C53" s="201"/>
      <c r="D53" s="201"/>
      <c r="E53" s="201"/>
    </row>
    <row r="54" spans="2:5" x14ac:dyDescent="0.25">
      <c r="B54" s="201"/>
      <c r="C54" s="201"/>
      <c r="D54" s="201"/>
      <c r="E54" s="201"/>
    </row>
    <row r="55" spans="2:5" x14ac:dyDescent="0.25">
      <c r="B55" s="201"/>
      <c r="C55" s="201"/>
      <c r="D55" s="201"/>
      <c r="E55" s="201"/>
    </row>
    <row r="56" spans="2:5" x14ac:dyDescent="0.25">
      <c r="B56" s="201"/>
      <c r="C56" s="201"/>
      <c r="D56" s="201"/>
      <c r="E56" s="201"/>
    </row>
    <row r="57" spans="2:5" x14ac:dyDescent="0.25">
      <c r="B57" s="201"/>
      <c r="C57" s="201"/>
      <c r="D57" s="201"/>
      <c r="E57" s="201"/>
    </row>
    <row r="58" spans="2:5" x14ac:dyDescent="0.25">
      <c r="B58" s="201"/>
      <c r="C58" s="201"/>
      <c r="D58" s="201"/>
      <c r="E58" s="201"/>
    </row>
    <row r="59" spans="2:5" x14ac:dyDescent="0.25">
      <c r="B59" s="201"/>
      <c r="C59" s="201"/>
      <c r="D59" s="201"/>
      <c r="E59" s="201"/>
    </row>
    <row r="60" spans="2:5" x14ac:dyDescent="0.25">
      <c r="B60" s="201"/>
      <c r="C60" s="201"/>
      <c r="D60" s="201"/>
      <c r="E60" s="201"/>
    </row>
    <row r="61" spans="2:5" x14ac:dyDescent="0.25">
      <c r="B61" s="201"/>
      <c r="C61" s="201"/>
      <c r="D61" s="201"/>
      <c r="E61" s="201"/>
    </row>
    <row r="62" spans="2:5" x14ac:dyDescent="0.25">
      <c r="B62" s="201"/>
      <c r="C62" s="201"/>
      <c r="D62" s="201"/>
      <c r="E62" s="201"/>
    </row>
    <row r="63" spans="2:5" x14ac:dyDescent="0.25">
      <c r="B63" s="201"/>
      <c r="C63" s="201"/>
      <c r="D63" s="201"/>
      <c r="E63" s="201"/>
    </row>
    <row r="64" spans="2:5" x14ac:dyDescent="0.25">
      <c r="B64" s="201"/>
      <c r="C64" s="201"/>
      <c r="D64" s="201"/>
      <c r="E64" s="201"/>
    </row>
    <row r="65" spans="2:5" x14ac:dyDescent="0.25">
      <c r="B65" s="201"/>
      <c r="C65" s="201"/>
      <c r="D65" s="201"/>
      <c r="E65" s="201"/>
    </row>
    <row r="66" spans="2:5" x14ac:dyDescent="0.25">
      <c r="B66" s="201"/>
      <c r="C66" s="201"/>
      <c r="D66" s="201"/>
      <c r="E66" s="201"/>
    </row>
    <row r="67" spans="2:5" x14ac:dyDescent="0.25">
      <c r="B67" s="201"/>
      <c r="C67" s="201"/>
      <c r="D67" s="201"/>
      <c r="E67" s="201"/>
    </row>
    <row r="68" spans="2:5" x14ac:dyDescent="0.25">
      <c r="B68" s="201"/>
      <c r="C68" s="201"/>
      <c r="D68" s="201"/>
      <c r="E68" s="201"/>
    </row>
    <row r="69" spans="2:5" x14ac:dyDescent="0.25">
      <c r="B69" s="201"/>
      <c r="C69" s="201"/>
      <c r="D69" s="201"/>
      <c r="E69" s="201"/>
    </row>
    <row r="70" spans="2:5" x14ac:dyDescent="0.25">
      <c r="B70" s="201"/>
      <c r="C70" s="201"/>
      <c r="D70" s="201"/>
      <c r="E70" s="201"/>
    </row>
    <row r="71" spans="2:5" x14ac:dyDescent="0.25">
      <c r="B71" s="201"/>
      <c r="C71" s="201"/>
      <c r="D71" s="201"/>
      <c r="E71" s="201"/>
    </row>
    <row r="72" spans="2:5" x14ac:dyDescent="0.25">
      <c r="B72" s="201"/>
      <c r="C72" s="201"/>
      <c r="D72" s="201"/>
      <c r="E72" s="201"/>
    </row>
    <row r="73" spans="2:5" x14ac:dyDescent="0.25">
      <c r="B73" s="201"/>
      <c r="C73" s="201"/>
      <c r="D73" s="201"/>
      <c r="E73" s="201"/>
    </row>
    <row r="74" spans="2:5" x14ac:dyDescent="0.25">
      <c r="B74" s="201"/>
      <c r="C74" s="201"/>
      <c r="D74" s="201"/>
      <c r="E74" s="201"/>
    </row>
    <row r="75" spans="2:5" x14ac:dyDescent="0.25">
      <c r="B75" s="201"/>
      <c r="C75" s="201"/>
      <c r="D75" s="201"/>
      <c r="E75" s="201"/>
    </row>
    <row r="76" spans="2:5" x14ac:dyDescent="0.25">
      <c r="B76" s="201"/>
      <c r="C76" s="201"/>
      <c r="D76" s="201"/>
      <c r="E76" s="201"/>
    </row>
    <row r="77" spans="2:5" x14ac:dyDescent="0.25">
      <c r="B77" s="201"/>
      <c r="C77" s="201"/>
      <c r="D77" s="201"/>
      <c r="E77" s="201"/>
    </row>
    <row r="78" spans="2:5" x14ac:dyDescent="0.25">
      <c r="B78" s="201"/>
      <c r="C78" s="201"/>
      <c r="D78" s="201"/>
      <c r="E78" s="201"/>
    </row>
    <row r="79" spans="2:5" x14ac:dyDescent="0.25">
      <c r="B79" s="201"/>
      <c r="C79" s="201"/>
      <c r="D79" s="201"/>
      <c r="E79" s="201"/>
    </row>
    <row r="80" spans="2:5" x14ac:dyDescent="0.25">
      <c r="B80" s="201"/>
      <c r="C80" s="201"/>
      <c r="D80" s="201"/>
      <c r="E80" s="201"/>
    </row>
    <row r="81" spans="2:5" x14ac:dyDescent="0.25">
      <c r="B81" s="201"/>
      <c r="C81" s="201"/>
      <c r="D81" s="201"/>
      <c r="E81" s="201"/>
    </row>
    <row r="82" spans="2:5" x14ac:dyDescent="0.25">
      <c r="B82" s="201"/>
      <c r="C82" s="201"/>
      <c r="D82" s="201"/>
      <c r="E82" s="201"/>
    </row>
    <row r="83" spans="2:5" x14ac:dyDescent="0.25">
      <c r="B83" s="201"/>
      <c r="C83" s="201"/>
      <c r="D83" s="201"/>
      <c r="E83" s="201"/>
    </row>
    <row r="84" spans="2:5" x14ac:dyDescent="0.25">
      <c r="B84" s="201"/>
      <c r="C84" s="201"/>
      <c r="D84" s="201"/>
      <c r="E84" s="201"/>
    </row>
    <row r="85" spans="2:5" x14ac:dyDescent="0.25">
      <c r="B85" s="201"/>
      <c r="C85" s="201"/>
      <c r="D85" s="201"/>
      <c r="E85" s="201"/>
    </row>
    <row r="86" spans="2:5" x14ac:dyDescent="0.25">
      <c r="B86" s="201"/>
      <c r="C86" s="201"/>
      <c r="D86" s="201"/>
      <c r="E86" s="201"/>
    </row>
    <row r="87" spans="2:5" x14ac:dyDescent="0.25">
      <c r="B87" s="201"/>
      <c r="C87" s="201"/>
      <c r="D87" s="201"/>
      <c r="E87" s="201"/>
    </row>
    <row r="88" spans="2:5" x14ac:dyDescent="0.25">
      <c r="B88" s="201"/>
      <c r="C88" s="201"/>
      <c r="D88" s="201"/>
      <c r="E88" s="201"/>
    </row>
    <row r="89" spans="2:5" x14ac:dyDescent="0.25">
      <c r="B89" s="201"/>
      <c r="C89" s="201"/>
      <c r="D89" s="201"/>
      <c r="E89" s="201"/>
    </row>
  </sheetData>
  <mergeCells count="4">
    <mergeCell ref="B4:B5"/>
    <mergeCell ref="C4:C5"/>
    <mergeCell ref="D4:I4"/>
    <mergeCell ref="B2:I2"/>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1FC51-9DD7-4ECE-BCD5-28621C2C2871}">
  <dimension ref="B2:Q87"/>
  <sheetViews>
    <sheetView showGridLines="0" topLeftCell="A36" workbookViewId="0">
      <selection activeCell="D63" sqref="D63"/>
    </sheetView>
  </sheetViews>
  <sheetFormatPr defaultRowHeight="13.8" x14ac:dyDescent="0.25"/>
  <cols>
    <col min="1" max="1" width="7.6640625" style="273" customWidth="1"/>
    <col min="2" max="2" width="19.44140625" style="273" customWidth="1"/>
    <col min="3" max="3" width="16.88671875" style="273" customWidth="1"/>
    <col min="4" max="5" width="12.6640625" style="273" customWidth="1"/>
    <col min="6" max="6" width="13.88671875" style="273" customWidth="1"/>
    <col min="7" max="8" width="12.6640625" style="273" customWidth="1"/>
    <col min="9" max="9" width="15" style="273" customWidth="1"/>
    <col min="10" max="10" width="12.6640625" style="273" customWidth="1"/>
    <col min="11" max="11" width="16.6640625" style="273" customWidth="1"/>
    <col min="12" max="12" width="13.5546875" style="273" customWidth="1"/>
    <col min="13" max="14" width="12.6640625" style="273" customWidth="1"/>
    <col min="15" max="15" width="18.6640625" style="273" customWidth="1"/>
    <col min="16" max="17" width="12.6640625" style="273" customWidth="1"/>
    <col min="18" max="256" width="9.109375" style="273"/>
    <col min="257" max="257" width="7.6640625" style="273" customWidth="1"/>
    <col min="258" max="258" width="19.44140625" style="273" customWidth="1"/>
    <col min="259" max="259" width="16.88671875" style="273" customWidth="1"/>
    <col min="260" max="261" width="12.6640625" style="273" customWidth="1"/>
    <col min="262" max="262" width="13.88671875" style="273" customWidth="1"/>
    <col min="263" max="264" width="12.6640625" style="273" customWidth="1"/>
    <col min="265" max="265" width="15" style="273" customWidth="1"/>
    <col min="266" max="266" width="12.6640625" style="273" customWidth="1"/>
    <col min="267" max="267" width="16.6640625" style="273" customWidth="1"/>
    <col min="268" max="268" width="13.5546875" style="273" customWidth="1"/>
    <col min="269" max="270" width="12.6640625" style="273" customWidth="1"/>
    <col min="271" max="271" width="18.6640625" style="273" customWidth="1"/>
    <col min="272" max="273" width="12.6640625" style="273" customWidth="1"/>
    <col min="274" max="512" width="9.109375" style="273"/>
    <col min="513" max="513" width="7.6640625" style="273" customWidth="1"/>
    <col min="514" max="514" width="19.44140625" style="273" customWidth="1"/>
    <col min="515" max="515" width="16.88671875" style="273" customWidth="1"/>
    <col min="516" max="517" width="12.6640625" style="273" customWidth="1"/>
    <col min="518" max="518" width="13.88671875" style="273" customWidth="1"/>
    <col min="519" max="520" width="12.6640625" style="273" customWidth="1"/>
    <col min="521" max="521" width="15" style="273" customWidth="1"/>
    <col min="522" max="522" width="12.6640625" style="273" customWidth="1"/>
    <col min="523" max="523" width="16.6640625" style="273" customWidth="1"/>
    <col min="524" max="524" width="13.5546875" style="273" customWidth="1"/>
    <col min="525" max="526" width="12.6640625" style="273" customWidth="1"/>
    <col min="527" max="527" width="18.6640625" style="273" customWidth="1"/>
    <col min="528" max="529" width="12.6640625" style="273" customWidth="1"/>
    <col min="530" max="768" width="9.109375" style="273"/>
    <col min="769" max="769" width="7.6640625" style="273" customWidth="1"/>
    <col min="770" max="770" width="19.44140625" style="273" customWidth="1"/>
    <col min="771" max="771" width="16.88671875" style="273" customWidth="1"/>
    <col min="772" max="773" width="12.6640625" style="273" customWidth="1"/>
    <col min="774" max="774" width="13.88671875" style="273" customWidth="1"/>
    <col min="775" max="776" width="12.6640625" style="273" customWidth="1"/>
    <col min="777" max="777" width="15" style="273" customWidth="1"/>
    <col min="778" max="778" width="12.6640625" style="273" customWidth="1"/>
    <col min="779" max="779" width="16.6640625" style="273" customWidth="1"/>
    <col min="780" max="780" width="13.5546875" style="273" customWidth="1"/>
    <col min="781" max="782" width="12.6640625" style="273" customWidth="1"/>
    <col min="783" max="783" width="18.6640625" style="273" customWidth="1"/>
    <col min="784" max="785" width="12.6640625" style="273" customWidth="1"/>
    <col min="786" max="1024" width="9.109375" style="273"/>
    <col min="1025" max="1025" width="7.6640625" style="273" customWidth="1"/>
    <col min="1026" max="1026" width="19.44140625" style="273" customWidth="1"/>
    <col min="1027" max="1027" width="16.88671875" style="273" customWidth="1"/>
    <col min="1028" max="1029" width="12.6640625" style="273" customWidth="1"/>
    <col min="1030" max="1030" width="13.88671875" style="273" customWidth="1"/>
    <col min="1031" max="1032" width="12.6640625" style="273" customWidth="1"/>
    <col min="1033" max="1033" width="15" style="273" customWidth="1"/>
    <col min="1034" max="1034" width="12.6640625" style="273" customWidth="1"/>
    <col min="1035" max="1035" width="16.6640625" style="273" customWidth="1"/>
    <col min="1036" max="1036" width="13.5546875" style="273" customWidth="1"/>
    <col min="1037" max="1038" width="12.6640625" style="273" customWidth="1"/>
    <col min="1039" max="1039" width="18.6640625" style="273" customWidth="1"/>
    <col min="1040" max="1041" width="12.6640625" style="273" customWidth="1"/>
    <col min="1042" max="1280" width="9.109375" style="273"/>
    <col min="1281" max="1281" width="7.6640625" style="273" customWidth="1"/>
    <col min="1282" max="1282" width="19.44140625" style="273" customWidth="1"/>
    <col min="1283" max="1283" width="16.88671875" style="273" customWidth="1"/>
    <col min="1284" max="1285" width="12.6640625" style="273" customWidth="1"/>
    <col min="1286" max="1286" width="13.88671875" style="273" customWidth="1"/>
    <col min="1287" max="1288" width="12.6640625" style="273" customWidth="1"/>
    <col min="1289" max="1289" width="15" style="273" customWidth="1"/>
    <col min="1290" max="1290" width="12.6640625" style="273" customWidth="1"/>
    <col min="1291" max="1291" width="16.6640625" style="273" customWidth="1"/>
    <col min="1292" max="1292" width="13.5546875" style="273" customWidth="1"/>
    <col min="1293" max="1294" width="12.6640625" style="273" customWidth="1"/>
    <col min="1295" max="1295" width="18.6640625" style="273" customWidth="1"/>
    <col min="1296" max="1297" width="12.6640625" style="273" customWidth="1"/>
    <col min="1298" max="1536" width="9.109375" style="273"/>
    <col min="1537" max="1537" width="7.6640625" style="273" customWidth="1"/>
    <col min="1538" max="1538" width="19.44140625" style="273" customWidth="1"/>
    <col min="1539" max="1539" width="16.88671875" style="273" customWidth="1"/>
    <col min="1540" max="1541" width="12.6640625" style="273" customWidth="1"/>
    <col min="1542" max="1542" width="13.88671875" style="273" customWidth="1"/>
    <col min="1543" max="1544" width="12.6640625" style="273" customWidth="1"/>
    <col min="1545" max="1545" width="15" style="273" customWidth="1"/>
    <col min="1546" max="1546" width="12.6640625" style="273" customWidth="1"/>
    <col min="1547" max="1547" width="16.6640625" style="273" customWidth="1"/>
    <col min="1548" max="1548" width="13.5546875" style="273" customWidth="1"/>
    <col min="1549" max="1550" width="12.6640625" style="273" customWidth="1"/>
    <col min="1551" max="1551" width="18.6640625" style="273" customWidth="1"/>
    <col min="1552" max="1553" width="12.6640625" style="273" customWidth="1"/>
    <col min="1554" max="1792" width="9.109375" style="273"/>
    <col min="1793" max="1793" width="7.6640625" style="273" customWidth="1"/>
    <col min="1794" max="1794" width="19.44140625" style="273" customWidth="1"/>
    <col min="1795" max="1795" width="16.88671875" style="273" customWidth="1"/>
    <col min="1796" max="1797" width="12.6640625" style="273" customWidth="1"/>
    <col min="1798" max="1798" width="13.88671875" style="273" customWidth="1"/>
    <col min="1799" max="1800" width="12.6640625" style="273" customWidth="1"/>
    <col min="1801" max="1801" width="15" style="273" customWidth="1"/>
    <col min="1802" max="1802" width="12.6640625" style="273" customWidth="1"/>
    <col min="1803" max="1803" width="16.6640625" style="273" customWidth="1"/>
    <col min="1804" max="1804" width="13.5546875" style="273" customWidth="1"/>
    <col min="1805" max="1806" width="12.6640625" style="273" customWidth="1"/>
    <col min="1807" max="1807" width="18.6640625" style="273" customWidth="1"/>
    <col min="1808" max="1809" width="12.6640625" style="273" customWidth="1"/>
    <col min="1810" max="2048" width="9.109375" style="273"/>
    <col min="2049" max="2049" width="7.6640625" style="273" customWidth="1"/>
    <col min="2050" max="2050" width="19.44140625" style="273" customWidth="1"/>
    <col min="2051" max="2051" width="16.88671875" style="273" customWidth="1"/>
    <col min="2052" max="2053" width="12.6640625" style="273" customWidth="1"/>
    <col min="2054" max="2054" width="13.88671875" style="273" customWidth="1"/>
    <col min="2055" max="2056" width="12.6640625" style="273" customWidth="1"/>
    <col min="2057" max="2057" width="15" style="273" customWidth="1"/>
    <col min="2058" max="2058" width="12.6640625" style="273" customWidth="1"/>
    <col min="2059" max="2059" width="16.6640625" style="273" customWidth="1"/>
    <col min="2060" max="2060" width="13.5546875" style="273" customWidth="1"/>
    <col min="2061" max="2062" width="12.6640625" style="273" customWidth="1"/>
    <col min="2063" max="2063" width="18.6640625" style="273" customWidth="1"/>
    <col min="2064" max="2065" width="12.6640625" style="273" customWidth="1"/>
    <col min="2066" max="2304" width="9.109375" style="273"/>
    <col min="2305" max="2305" width="7.6640625" style="273" customWidth="1"/>
    <col min="2306" max="2306" width="19.44140625" style="273" customWidth="1"/>
    <col min="2307" max="2307" width="16.88671875" style="273" customWidth="1"/>
    <col min="2308" max="2309" width="12.6640625" style="273" customWidth="1"/>
    <col min="2310" max="2310" width="13.88671875" style="273" customWidth="1"/>
    <col min="2311" max="2312" width="12.6640625" style="273" customWidth="1"/>
    <col min="2313" max="2313" width="15" style="273" customWidth="1"/>
    <col min="2314" max="2314" width="12.6640625" style="273" customWidth="1"/>
    <col min="2315" max="2315" width="16.6640625" style="273" customWidth="1"/>
    <col min="2316" max="2316" width="13.5546875" style="273" customWidth="1"/>
    <col min="2317" max="2318" width="12.6640625" style="273" customWidth="1"/>
    <col min="2319" max="2319" width="18.6640625" style="273" customWidth="1"/>
    <col min="2320" max="2321" width="12.6640625" style="273" customWidth="1"/>
    <col min="2322" max="2560" width="9.109375" style="273"/>
    <col min="2561" max="2561" width="7.6640625" style="273" customWidth="1"/>
    <col min="2562" max="2562" width="19.44140625" style="273" customWidth="1"/>
    <col min="2563" max="2563" width="16.88671875" style="273" customWidth="1"/>
    <col min="2564" max="2565" width="12.6640625" style="273" customWidth="1"/>
    <col min="2566" max="2566" width="13.88671875" style="273" customWidth="1"/>
    <col min="2567" max="2568" width="12.6640625" style="273" customWidth="1"/>
    <col min="2569" max="2569" width="15" style="273" customWidth="1"/>
    <col min="2570" max="2570" width="12.6640625" style="273" customWidth="1"/>
    <col min="2571" max="2571" width="16.6640625" style="273" customWidth="1"/>
    <col min="2572" max="2572" width="13.5546875" style="273" customWidth="1"/>
    <col min="2573" max="2574" width="12.6640625" style="273" customWidth="1"/>
    <col min="2575" max="2575" width="18.6640625" style="273" customWidth="1"/>
    <col min="2576" max="2577" width="12.6640625" style="273" customWidth="1"/>
    <col min="2578" max="2816" width="9.109375" style="273"/>
    <col min="2817" max="2817" width="7.6640625" style="273" customWidth="1"/>
    <col min="2818" max="2818" width="19.44140625" style="273" customWidth="1"/>
    <col min="2819" max="2819" width="16.88671875" style="273" customWidth="1"/>
    <col min="2820" max="2821" width="12.6640625" style="273" customWidth="1"/>
    <col min="2822" max="2822" width="13.88671875" style="273" customWidth="1"/>
    <col min="2823" max="2824" width="12.6640625" style="273" customWidth="1"/>
    <col min="2825" max="2825" width="15" style="273" customWidth="1"/>
    <col min="2826" max="2826" width="12.6640625" style="273" customWidth="1"/>
    <col min="2827" max="2827" width="16.6640625" style="273" customWidth="1"/>
    <col min="2828" max="2828" width="13.5546875" style="273" customWidth="1"/>
    <col min="2829" max="2830" width="12.6640625" style="273" customWidth="1"/>
    <col min="2831" max="2831" width="18.6640625" style="273" customWidth="1"/>
    <col min="2832" max="2833" width="12.6640625" style="273" customWidth="1"/>
    <col min="2834" max="3072" width="9.109375" style="273"/>
    <col min="3073" max="3073" width="7.6640625" style="273" customWidth="1"/>
    <col min="3074" max="3074" width="19.44140625" style="273" customWidth="1"/>
    <col min="3075" max="3075" width="16.88671875" style="273" customWidth="1"/>
    <col min="3076" max="3077" width="12.6640625" style="273" customWidth="1"/>
    <col min="3078" max="3078" width="13.88671875" style="273" customWidth="1"/>
    <col min="3079" max="3080" width="12.6640625" style="273" customWidth="1"/>
    <col min="3081" max="3081" width="15" style="273" customWidth="1"/>
    <col min="3082" max="3082" width="12.6640625" style="273" customWidth="1"/>
    <col min="3083" max="3083" width="16.6640625" style="273" customWidth="1"/>
    <col min="3084" max="3084" width="13.5546875" style="273" customWidth="1"/>
    <col min="3085" max="3086" width="12.6640625" style="273" customWidth="1"/>
    <col min="3087" max="3087" width="18.6640625" style="273" customWidth="1"/>
    <col min="3088" max="3089" width="12.6640625" style="273" customWidth="1"/>
    <col min="3090" max="3328" width="9.109375" style="273"/>
    <col min="3329" max="3329" width="7.6640625" style="273" customWidth="1"/>
    <col min="3330" max="3330" width="19.44140625" style="273" customWidth="1"/>
    <col min="3331" max="3331" width="16.88671875" style="273" customWidth="1"/>
    <col min="3332" max="3333" width="12.6640625" style="273" customWidth="1"/>
    <col min="3334" max="3334" width="13.88671875" style="273" customWidth="1"/>
    <col min="3335" max="3336" width="12.6640625" style="273" customWidth="1"/>
    <col min="3337" max="3337" width="15" style="273" customWidth="1"/>
    <col min="3338" max="3338" width="12.6640625" style="273" customWidth="1"/>
    <col min="3339" max="3339" width="16.6640625" style="273" customWidth="1"/>
    <col min="3340" max="3340" width="13.5546875" style="273" customWidth="1"/>
    <col min="3341" max="3342" width="12.6640625" style="273" customWidth="1"/>
    <col min="3343" max="3343" width="18.6640625" style="273" customWidth="1"/>
    <col min="3344" max="3345" width="12.6640625" style="273" customWidth="1"/>
    <col min="3346" max="3584" width="9.109375" style="273"/>
    <col min="3585" max="3585" width="7.6640625" style="273" customWidth="1"/>
    <col min="3586" max="3586" width="19.44140625" style="273" customWidth="1"/>
    <col min="3587" max="3587" width="16.88671875" style="273" customWidth="1"/>
    <col min="3588" max="3589" width="12.6640625" style="273" customWidth="1"/>
    <col min="3590" max="3590" width="13.88671875" style="273" customWidth="1"/>
    <col min="3591" max="3592" width="12.6640625" style="273" customWidth="1"/>
    <col min="3593" max="3593" width="15" style="273" customWidth="1"/>
    <col min="3594" max="3594" width="12.6640625" style="273" customWidth="1"/>
    <col min="3595" max="3595" width="16.6640625" style="273" customWidth="1"/>
    <col min="3596" max="3596" width="13.5546875" style="273" customWidth="1"/>
    <col min="3597" max="3598" width="12.6640625" style="273" customWidth="1"/>
    <col min="3599" max="3599" width="18.6640625" style="273" customWidth="1"/>
    <col min="3600" max="3601" width="12.6640625" style="273" customWidth="1"/>
    <col min="3602" max="3840" width="9.109375" style="273"/>
    <col min="3841" max="3841" width="7.6640625" style="273" customWidth="1"/>
    <col min="3842" max="3842" width="19.44140625" style="273" customWidth="1"/>
    <col min="3843" max="3843" width="16.88671875" style="273" customWidth="1"/>
    <col min="3844" max="3845" width="12.6640625" style="273" customWidth="1"/>
    <col min="3846" max="3846" width="13.88671875" style="273" customWidth="1"/>
    <col min="3847" max="3848" width="12.6640625" style="273" customWidth="1"/>
    <col min="3849" max="3849" width="15" style="273" customWidth="1"/>
    <col min="3850" max="3850" width="12.6640625" style="273" customWidth="1"/>
    <col min="3851" max="3851" width="16.6640625" style="273" customWidth="1"/>
    <col min="3852" max="3852" width="13.5546875" style="273" customWidth="1"/>
    <col min="3853" max="3854" width="12.6640625" style="273" customWidth="1"/>
    <col min="3855" max="3855" width="18.6640625" style="273" customWidth="1"/>
    <col min="3856" max="3857" width="12.6640625" style="273" customWidth="1"/>
    <col min="3858" max="4096" width="9.109375" style="273"/>
    <col min="4097" max="4097" width="7.6640625" style="273" customWidth="1"/>
    <col min="4098" max="4098" width="19.44140625" style="273" customWidth="1"/>
    <col min="4099" max="4099" width="16.88671875" style="273" customWidth="1"/>
    <col min="4100" max="4101" width="12.6640625" style="273" customWidth="1"/>
    <col min="4102" max="4102" width="13.88671875" style="273" customWidth="1"/>
    <col min="4103" max="4104" width="12.6640625" style="273" customWidth="1"/>
    <col min="4105" max="4105" width="15" style="273" customWidth="1"/>
    <col min="4106" max="4106" width="12.6640625" style="273" customWidth="1"/>
    <col min="4107" max="4107" width="16.6640625" style="273" customWidth="1"/>
    <col min="4108" max="4108" width="13.5546875" style="273" customWidth="1"/>
    <col min="4109" max="4110" width="12.6640625" style="273" customWidth="1"/>
    <col min="4111" max="4111" width="18.6640625" style="273" customWidth="1"/>
    <col min="4112" max="4113" width="12.6640625" style="273" customWidth="1"/>
    <col min="4114" max="4352" width="9.109375" style="273"/>
    <col min="4353" max="4353" width="7.6640625" style="273" customWidth="1"/>
    <col min="4354" max="4354" width="19.44140625" style="273" customWidth="1"/>
    <col min="4355" max="4355" width="16.88671875" style="273" customWidth="1"/>
    <col min="4356" max="4357" width="12.6640625" style="273" customWidth="1"/>
    <col min="4358" max="4358" width="13.88671875" style="273" customWidth="1"/>
    <col min="4359" max="4360" width="12.6640625" style="273" customWidth="1"/>
    <col min="4361" max="4361" width="15" style="273" customWidth="1"/>
    <col min="4362" max="4362" width="12.6640625" style="273" customWidth="1"/>
    <col min="4363" max="4363" width="16.6640625" style="273" customWidth="1"/>
    <col min="4364" max="4364" width="13.5546875" style="273" customWidth="1"/>
    <col min="4365" max="4366" width="12.6640625" style="273" customWidth="1"/>
    <col min="4367" max="4367" width="18.6640625" style="273" customWidth="1"/>
    <col min="4368" max="4369" width="12.6640625" style="273" customWidth="1"/>
    <col min="4370" max="4608" width="9.109375" style="273"/>
    <col min="4609" max="4609" width="7.6640625" style="273" customWidth="1"/>
    <col min="4610" max="4610" width="19.44140625" style="273" customWidth="1"/>
    <col min="4611" max="4611" width="16.88671875" style="273" customWidth="1"/>
    <col min="4612" max="4613" width="12.6640625" style="273" customWidth="1"/>
    <col min="4614" max="4614" width="13.88671875" style="273" customWidth="1"/>
    <col min="4615" max="4616" width="12.6640625" style="273" customWidth="1"/>
    <col min="4617" max="4617" width="15" style="273" customWidth="1"/>
    <col min="4618" max="4618" width="12.6640625" style="273" customWidth="1"/>
    <col min="4619" max="4619" width="16.6640625" style="273" customWidth="1"/>
    <col min="4620" max="4620" width="13.5546875" style="273" customWidth="1"/>
    <col min="4621" max="4622" width="12.6640625" style="273" customWidth="1"/>
    <col min="4623" max="4623" width="18.6640625" style="273" customWidth="1"/>
    <col min="4624" max="4625" width="12.6640625" style="273" customWidth="1"/>
    <col min="4626" max="4864" width="9.109375" style="273"/>
    <col min="4865" max="4865" width="7.6640625" style="273" customWidth="1"/>
    <col min="4866" max="4866" width="19.44140625" style="273" customWidth="1"/>
    <col min="4867" max="4867" width="16.88671875" style="273" customWidth="1"/>
    <col min="4868" max="4869" width="12.6640625" style="273" customWidth="1"/>
    <col min="4870" max="4870" width="13.88671875" style="273" customWidth="1"/>
    <col min="4871" max="4872" width="12.6640625" style="273" customWidth="1"/>
    <col min="4873" max="4873" width="15" style="273" customWidth="1"/>
    <col min="4874" max="4874" width="12.6640625" style="273" customWidth="1"/>
    <col min="4875" max="4875" width="16.6640625" style="273" customWidth="1"/>
    <col min="4876" max="4876" width="13.5546875" style="273" customWidth="1"/>
    <col min="4877" max="4878" width="12.6640625" style="273" customWidth="1"/>
    <col min="4879" max="4879" width="18.6640625" style="273" customWidth="1"/>
    <col min="4880" max="4881" width="12.6640625" style="273" customWidth="1"/>
    <col min="4882" max="5120" width="9.109375" style="273"/>
    <col min="5121" max="5121" width="7.6640625" style="273" customWidth="1"/>
    <col min="5122" max="5122" width="19.44140625" style="273" customWidth="1"/>
    <col min="5123" max="5123" width="16.88671875" style="273" customWidth="1"/>
    <col min="5124" max="5125" width="12.6640625" style="273" customWidth="1"/>
    <col min="5126" max="5126" width="13.88671875" style="273" customWidth="1"/>
    <col min="5127" max="5128" width="12.6640625" style="273" customWidth="1"/>
    <col min="5129" max="5129" width="15" style="273" customWidth="1"/>
    <col min="5130" max="5130" width="12.6640625" style="273" customWidth="1"/>
    <col min="5131" max="5131" width="16.6640625" style="273" customWidth="1"/>
    <col min="5132" max="5132" width="13.5546875" style="273" customWidth="1"/>
    <col min="5133" max="5134" width="12.6640625" style="273" customWidth="1"/>
    <col min="5135" max="5135" width="18.6640625" style="273" customWidth="1"/>
    <col min="5136" max="5137" width="12.6640625" style="273" customWidth="1"/>
    <col min="5138" max="5376" width="9.109375" style="273"/>
    <col min="5377" max="5377" width="7.6640625" style="273" customWidth="1"/>
    <col min="5378" max="5378" width="19.44140625" style="273" customWidth="1"/>
    <col min="5379" max="5379" width="16.88671875" style="273" customWidth="1"/>
    <col min="5380" max="5381" width="12.6640625" style="273" customWidth="1"/>
    <col min="5382" max="5382" width="13.88671875" style="273" customWidth="1"/>
    <col min="5383" max="5384" width="12.6640625" style="273" customWidth="1"/>
    <col min="5385" max="5385" width="15" style="273" customWidth="1"/>
    <col min="5386" max="5386" width="12.6640625" style="273" customWidth="1"/>
    <col min="5387" max="5387" width="16.6640625" style="273" customWidth="1"/>
    <col min="5388" max="5388" width="13.5546875" style="273" customWidth="1"/>
    <col min="5389" max="5390" width="12.6640625" style="273" customWidth="1"/>
    <col min="5391" max="5391" width="18.6640625" style="273" customWidth="1"/>
    <col min="5392" max="5393" width="12.6640625" style="273" customWidth="1"/>
    <col min="5394" max="5632" width="9.109375" style="273"/>
    <col min="5633" max="5633" width="7.6640625" style="273" customWidth="1"/>
    <col min="5634" max="5634" width="19.44140625" style="273" customWidth="1"/>
    <col min="5635" max="5635" width="16.88671875" style="273" customWidth="1"/>
    <col min="5636" max="5637" width="12.6640625" style="273" customWidth="1"/>
    <col min="5638" max="5638" width="13.88671875" style="273" customWidth="1"/>
    <col min="5639" max="5640" width="12.6640625" style="273" customWidth="1"/>
    <col min="5641" max="5641" width="15" style="273" customWidth="1"/>
    <col min="5642" max="5642" width="12.6640625" style="273" customWidth="1"/>
    <col min="5643" max="5643" width="16.6640625" style="273" customWidth="1"/>
    <col min="5644" max="5644" width="13.5546875" style="273" customWidth="1"/>
    <col min="5645" max="5646" width="12.6640625" style="273" customWidth="1"/>
    <col min="5647" max="5647" width="18.6640625" style="273" customWidth="1"/>
    <col min="5648" max="5649" width="12.6640625" style="273" customWidth="1"/>
    <col min="5650" max="5888" width="9.109375" style="273"/>
    <col min="5889" max="5889" width="7.6640625" style="273" customWidth="1"/>
    <col min="5890" max="5890" width="19.44140625" style="273" customWidth="1"/>
    <col min="5891" max="5891" width="16.88671875" style="273" customWidth="1"/>
    <col min="5892" max="5893" width="12.6640625" style="273" customWidth="1"/>
    <col min="5894" max="5894" width="13.88671875" style="273" customWidth="1"/>
    <col min="5895" max="5896" width="12.6640625" style="273" customWidth="1"/>
    <col min="5897" max="5897" width="15" style="273" customWidth="1"/>
    <col min="5898" max="5898" width="12.6640625" style="273" customWidth="1"/>
    <col min="5899" max="5899" width="16.6640625" style="273" customWidth="1"/>
    <col min="5900" max="5900" width="13.5546875" style="273" customWidth="1"/>
    <col min="5901" max="5902" width="12.6640625" style="273" customWidth="1"/>
    <col min="5903" max="5903" width="18.6640625" style="273" customWidth="1"/>
    <col min="5904" max="5905" width="12.6640625" style="273" customWidth="1"/>
    <col min="5906" max="6144" width="9.109375" style="273"/>
    <col min="6145" max="6145" width="7.6640625" style="273" customWidth="1"/>
    <col min="6146" max="6146" width="19.44140625" style="273" customWidth="1"/>
    <col min="6147" max="6147" width="16.88671875" style="273" customWidth="1"/>
    <col min="6148" max="6149" width="12.6640625" style="273" customWidth="1"/>
    <col min="6150" max="6150" width="13.88671875" style="273" customWidth="1"/>
    <col min="6151" max="6152" width="12.6640625" style="273" customWidth="1"/>
    <col min="6153" max="6153" width="15" style="273" customWidth="1"/>
    <col min="6154" max="6154" width="12.6640625" style="273" customWidth="1"/>
    <col min="6155" max="6155" width="16.6640625" style="273" customWidth="1"/>
    <col min="6156" max="6156" width="13.5546875" style="273" customWidth="1"/>
    <col min="6157" max="6158" width="12.6640625" style="273" customWidth="1"/>
    <col min="6159" max="6159" width="18.6640625" style="273" customWidth="1"/>
    <col min="6160" max="6161" width="12.6640625" style="273" customWidth="1"/>
    <col min="6162" max="6400" width="9.109375" style="273"/>
    <col min="6401" max="6401" width="7.6640625" style="273" customWidth="1"/>
    <col min="6402" max="6402" width="19.44140625" style="273" customWidth="1"/>
    <col min="6403" max="6403" width="16.88671875" style="273" customWidth="1"/>
    <col min="6404" max="6405" width="12.6640625" style="273" customWidth="1"/>
    <col min="6406" max="6406" width="13.88671875" style="273" customWidth="1"/>
    <col min="6407" max="6408" width="12.6640625" style="273" customWidth="1"/>
    <col min="6409" max="6409" width="15" style="273" customWidth="1"/>
    <col min="6410" max="6410" width="12.6640625" style="273" customWidth="1"/>
    <col min="6411" max="6411" width="16.6640625" style="273" customWidth="1"/>
    <col min="6412" max="6412" width="13.5546875" style="273" customWidth="1"/>
    <col min="6413" max="6414" width="12.6640625" style="273" customWidth="1"/>
    <col min="6415" max="6415" width="18.6640625" style="273" customWidth="1"/>
    <col min="6416" max="6417" width="12.6640625" style="273" customWidth="1"/>
    <col min="6418" max="6656" width="9.109375" style="273"/>
    <col min="6657" max="6657" width="7.6640625" style="273" customWidth="1"/>
    <col min="6658" max="6658" width="19.44140625" style="273" customWidth="1"/>
    <col min="6659" max="6659" width="16.88671875" style="273" customWidth="1"/>
    <col min="6660" max="6661" width="12.6640625" style="273" customWidth="1"/>
    <col min="6662" max="6662" width="13.88671875" style="273" customWidth="1"/>
    <col min="6663" max="6664" width="12.6640625" style="273" customWidth="1"/>
    <col min="6665" max="6665" width="15" style="273" customWidth="1"/>
    <col min="6666" max="6666" width="12.6640625" style="273" customWidth="1"/>
    <col min="6667" max="6667" width="16.6640625" style="273" customWidth="1"/>
    <col min="6668" max="6668" width="13.5546875" style="273" customWidth="1"/>
    <col min="6669" max="6670" width="12.6640625" style="273" customWidth="1"/>
    <col min="6671" max="6671" width="18.6640625" style="273" customWidth="1"/>
    <col min="6672" max="6673" width="12.6640625" style="273" customWidth="1"/>
    <col min="6674" max="6912" width="9.109375" style="273"/>
    <col min="6913" max="6913" width="7.6640625" style="273" customWidth="1"/>
    <col min="6914" max="6914" width="19.44140625" style="273" customWidth="1"/>
    <col min="6915" max="6915" width="16.88671875" style="273" customWidth="1"/>
    <col min="6916" max="6917" width="12.6640625" style="273" customWidth="1"/>
    <col min="6918" max="6918" width="13.88671875" style="273" customWidth="1"/>
    <col min="6919" max="6920" width="12.6640625" style="273" customWidth="1"/>
    <col min="6921" max="6921" width="15" style="273" customWidth="1"/>
    <col min="6922" max="6922" width="12.6640625" style="273" customWidth="1"/>
    <col min="6923" max="6923" width="16.6640625" style="273" customWidth="1"/>
    <col min="6924" max="6924" width="13.5546875" style="273" customWidth="1"/>
    <col min="6925" max="6926" width="12.6640625" style="273" customWidth="1"/>
    <col min="6927" max="6927" width="18.6640625" style="273" customWidth="1"/>
    <col min="6928" max="6929" width="12.6640625" style="273" customWidth="1"/>
    <col min="6930" max="7168" width="9.109375" style="273"/>
    <col min="7169" max="7169" width="7.6640625" style="273" customWidth="1"/>
    <col min="7170" max="7170" width="19.44140625" style="273" customWidth="1"/>
    <col min="7171" max="7171" width="16.88671875" style="273" customWidth="1"/>
    <col min="7172" max="7173" width="12.6640625" style="273" customWidth="1"/>
    <col min="7174" max="7174" width="13.88671875" style="273" customWidth="1"/>
    <col min="7175" max="7176" width="12.6640625" style="273" customWidth="1"/>
    <col min="7177" max="7177" width="15" style="273" customWidth="1"/>
    <col min="7178" max="7178" width="12.6640625" style="273" customWidth="1"/>
    <col min="7179" max="7179" width="16.6640625" style="273" customWidth="1"/>
    <col min="7180" max="7180" width="13.5546875" style="273" customWidth="1"/>
    <col min="7181" max="7182" width="12.6640625" style="273" customWidth="1"/>
    <col min="7183" max="7183" width="18.6640625" style="273" customWidth="1"/>
    <col min="7184" max="7185" width="12.6640625" style="273" customWidth="1"/>
    <col min="7186" max="7424" width="9.109375" style="273"/>
    <col min="7425" max="7425" width="7.6640625" style="273" customWidth="1"/>
    <col min="7426" max="7426" width="19.44140625" style="273" customWidth="1"/>
    <col min="7427" max="7427" width="16.88671875" style="273" customWidth="1"/>
    <col min="7428" max="7429" width="12.6640625" style="273" customWidth="1"/>
    <col min="7430" max="7430" width="13.88671875" style="273" customWidth="1"/>
    <col min="7431" max="7432" width="12.6640625" style="273" customWidth="1"/>
    <col min="7433" max="7433" width="15" style="273" customWidth="1"/>
    <col min="7434" max="7434" width="12.6640625" style="273" customWidth="1"/>
    <col min="7435" max="7435" width="16.6640625" style="273" customWidth="1"/>
    <col min="7436" max="7436" width="13.5546875" style="273" customWidth="1"/>
    <col min="7437" max="7438" width="12.6640625" style="273" customWidth="1"/>
    <col min="7439" max="7439" width="18.6640625" style="273" customWidth="1"/>
    <col min="7440" max="7441" width="12.6640625" style="273" customWidth="1"/>
    <col min="7442" max="7680" width="9.109375" style="273"/>
    <col min="7681" max="7681" width="7.6640625" style="273" customWidth="1"/>
    <col min="7682" max="7682" width="19.44140625" style="273" customWidth="1"/>
    <col min="7683" max="7683" width="16.88671875" style="273" customWidth="1"/>
    <col min="7684" max="7685" width="12.6640625" style="273" customWidth="1"/>
    <col min="7686" max="7686" width="13.88671875" style="273" customWidth="1"/>
    <col min="7687" max="7688" width="12.6640625" style="273" customWidth="1"/>
    <col min="7689" max="7689" width="15" style="273" customWidth="1"/>
    <col min="7690" max="7690" width="12.6640625" style="273" customWidth="1"/>
    <col min="7691" max="7691" width="16.6640625" style="273" customWidth="1"/>
    <col min="7692" max="7692" width="13.5546875" style="273" customWidth="1"/>
    <col min="7693" max="7694" width="12.6640625" style="273" customWidth="1"/>
    <col min="7695" max="7695" width="18.6640625" style="273" customWidth="1"/>
    <col min="7696" max="7697" width="12.6640625" style="273" customWidth="1"/>
    <col min="7698" max="7936" width="9.109375" style="273"/>
    <col min="7937" max="7937" width="7.6640625" style="273" customWidth="1"/>
    <col min="7938" max="7938" width="19.44140625" style="273" customWidth="1"/>
    <col min="7939" max="7939" width="16.88671875" style="273" customWidth="1"/>
    <col min="7940" max="7941" width="12.6640625" style="273" customWidth="1"/>
    <col min="7942" max="7942" width="13.88671875" style="273" customWidth="1"/>
    <col min="7943" max="7944" width="12.6640625" style="273" customWidth="1"/>
    <col min="7945" max="7945" width="15" style="273" customWidth="1"/>
    <col min="7946" max="7946" width="12.6640625" style="273" customWidth="1"/>
    <col min="7947" max="7947" width="16.6640625" style="273" customWidth="1"/>
    <col min="7948" max="7948" width="13.5546875" style="273" customWidth="1"/>
    <col min="7949" max="7950" width="12.6640625" style="273" customWidth="1"/>
    <col min="7951" max="7951" width="18.6640625" style="273" customWidth="1"/>
    <col min="7952" max="7953" width="12.6640625" style="273" customWidth="1"/>
    <col min="7954" max="8192" width="9.109375" style="273"/>
    <col min="8193" max="8193" width="7.6640625" style="273" customWidth="1"/>
    <col min="8194" max="8194" width="19.44140625" style="273" customWidth="1"/>
    <col min="8195" max="8195" width="16.88671875" style="273" customWidth="1"/>
    <col min="8196" max="8197" width="12.6640625" style="273" customWidth="1"/>
    <col min="8198" max="8198" width="13.88671875" style="273" customWidth="1"/>
    <col min="8199" max="8200" width="12.6640625" style="273" customWidth="1"/>
    <col min="8201" max="8201" width="15" style="273" customWidth="1"/>
    <col min="8202" max="8202" width="12.6640625" style="273" customWidth="1"/>
    <col min="8203" max="8203" width="16.6640625" style="273" customWidth="1"/>
    <col min="8204" max="8204" width="13.5546875" style="273" customWidth="1"/>
    <col min="8205" max="8206" width="12.6640625" style="273" customWidth="1"/>
    <col min="8207" max="8207" width="18.6640625" style="273" customWidth="1"/>
    <col min="8208" max="8209" width="12.6640625" style="273" customWidth="1"/>
    <col min="8210" max="8448" width="9.109375" style="273"/>
    <col min="8449" max="8449" width="7.6640625" style="273" customWidth="1"/>
    <col min="8450" max="8450" width="19.44140625" style="273" customWidth="1"/>
    <col min="8451" max="8451" width="16.88671875" style="273" customWidth="1"/>
    <col min="8452" max="8453" width="12.6640625" style="273" customWidth="1"/>
    <col min="8454" max="8454" width="13.88671875" style="273" customWidth="1"/>
    <col min="8455" max="8456" width="12.6640625" style="273" customWidth="1"/>
    <col min="8457" max="8457" width="15" style="273" customWidth="1"/>
    <col min="8458" max="8458" width="12.6640625" style="273" customWidth="1"/>
    <col min="8459" max="8459" width="16.6640625" style="273" customWidth="1"/>
    <col min="8460" max="8460" width="13.5546875" style="273" customWidth="1"/>
    <col min="8461" max="8462" width="12.6640625" style="273" customWidth="1"/>
    <col min="8463" max="8463" width="18.6640625" style="273" customWidth="1"/>
    <col min="8464" max="8465" width="12.6640625" style="273" customWidth="1"/>
    <col min="8466" max="8704" width="9.109375" style="273"/>
    <col min="8705" max="8705" width="7.6640625" style="273" customWidth="1"/>
    <col min="8706" max="8706" width="19.44140625" style="273" customWidth="1"/>
    <col min="8707" max="8707" width="16.88671875" style="273" customWidth="1"/>
    <col min="8708" max="8709" width="12.6640625" style="273" customWidth="1"/>
    <col min="8710" max="8710" width="13.88671875" style="273" customWidth="1"/>
    <col min="8711" max="8712" width="12.6640625" style="273" customWidth="1"/>
    <col min="8713" max="8713" width="15" style="273" customWidth="1"/>
    <col min="8714" max="8714" width="12.6640625" style="273" customWidth="1"/>
    <col min="8715" max="8715" width="16.6640625" style="273" customWidth="1"/>
    <col min="8716" max="8716" width="13.5546875" style="273" customWidth="1"/>
    <col min="8717" max="8718" width="12.6640625" style="273" customWidth="1"/>
    <col min="8719" max="8719" width="18.6640625" style="273" customWidth="1"/>
    <col min="8720" max="8721" width="12.6640625" style="273" customWidth="1"/>
    <col min="8722" max="8960" width="9.109375" style="273"/>
    <col min="8961" max="8961" width="7.6640625" style="273" customWidth="1"/>
    <col min="8962" max="8962" width="19.44140625" style="273" customWidth="1"/>
    <col min="8963" max="8963" width="16.88671875" style="273" customWidth="1"/>
    <col min="8964" max="8965" width="12.6640625" style="273" customWidth="1"/>
    <col min="8966" max="8966" width="13.88671875" style="273" customWidth="1"/>
    <col min="8967" max="8968" width="12.6640625" style="273" customWidth="1"/>
    <col min="8969" max="8969" width="15" style="273" customWidth="1"/>
    <col min="8970" max="8970" width="12.6640625" style="273" customWidth="1"/>
    <col min="8971" max="8971" width="16.6640625" style="273" customWidth="1"/>
    <col min="8972" max="8972" width="13.5546875" style="273" customWidth="1"/>
    <col min="8973" max="8974" width="12.6640625" style="273" customWidth="1"/>
    <col min="8975" max="8975" width="18.6640625" style="273" customWidth="1"/>
    <col min="8976" max="8977" width="12.6640625" style="273" customWidth="1"/>
    <col min="8978" max="9216" width="9.109375" style="273"/>
    <col min="9217" max="9217" width="7.6640625" style="273" customWidth="1"/>
    <col min="9218" max="9218" width="19.44140625" style="273" customWidth="1"/>
    <col min="9219" max="9219" width="16.88671875" style="273" customWidth="1"/>
    <col min="9220" max="9221" width="12.6640625" style="273" customWidth="1"/>
    <col min="9222" max="9222" width="13.88671875" style="273" customWidth="1"/>
    <col min="9223" max="9224" width="12.6640625" style="273" customWidth="1"/>
    <col min="9225" max="9225" width="15" style="273" customWidth="1"/>
    <col min="9226" max="9226" width="12.6640625" style="273" customWidth="1"/>
    <col min="9227" max="9227" width="16.6640625" style="273" customWidth="1"/>
    <col min="9228" max="9228" width="13.5546875" style="273" customWidth="1"/>
    <col min="9229" max="9230" width="12.6640625" style="273" customWidth="1"/>
    <col min="9231" max="9231" width="18.6640625" style="273" customWidth="1"/>
    <col min="9232" max="9233" width="12.6640625" style="273" customWidth="1"/>
    <col min="9234" max="9472" width="9.109375" style="273"/>
    <col min="9473" max="9473" width="7.6640625" style="273" customWidth="1"/>
    <col min="9474" max="9474" width="19.44140625" style="273" customWidth="1"/>
    <col min="9475" max="9475" width="16.88671875" style="273" customWidth="1"/>
    <col min="9476" max="9477" width="12.6640625" style="273" customWidth="1"/>
    <col min="9478" max="9478" width="13.88671875" style="273" customWidth="1"/>
    <col min="9479" max="9480" width="12.6640625" style="273" customWidth="1"/>
    <col min="9481" max="9481" width="15" style="273" customWidth="1"/>
    <col min="9482" max="9482" width="12.6640625" style="273" customWidth="1"/>
    <col min="9483" max="9483" width="16.6640625" style="273" customWidth="1"/>
    <col min="9484" max="9484" width="13.5546875" style="273" customWidth="1"/>
    <col min="9485" max="9486" width="12.6640625" style="273" customWidth="1"/>
    <col min="9487" max="9487" width="18.6640625" style="273" customWidth="1"/>
    <col min="9488" max="9489" width="12.6640625" style="273" customWidth="1"/>
    <col min="9490" max="9728" width="9.109375" style="273"/>
    <col min="9729" max="9729" width="7.6640625" style="273" customWidth="1"/>
    <col min="9730" max="9730" width="19.44140625" style="273" customWidth="1"/>
    <col min="9731" max="9731" width="16.88671875" style="273" customWidth="1"/>
    <col min="9732" max="9733" width="12.6640625" style="273" customWidth="1"/>
    <col min="9734" max="9734" width="13.88671875" style="273" customWidth="1"/>
    <col min="9735" max="9736" width="12.6640625" style="273" customWidth="1"/>
    <col min="9737" max="9737" width="15" style="273" customWidth="1"/>
    <col min="9738" max="9738" width="12.6640625" style="273" customWidth="1"/>
    <col min="9739" max="9739" width="16.6640625" style="273" customWidth="1"/>
    <col min="9740" max="9740" width="13.5546875" style="273" customWidth="1"/>
    <col min="9741" max="9742" width="12.6640625" style="273" customWidth="1"/>
    <col min="9743" max="9743" width="18.6640625" style="273" customWidth="1"/>
    <col min="9744" max="9745" width="12.6640625" style="273" customWidth="1"/>
    <col min="9746" max="9984" width="9.109375" style="273"/>
    <col min="9985" max="9985" width="7.6640625" style="273" customWidth="1"/>
    <col min="9986" max="9986" width="19.44140625" style="273" customWidth="1"/>
    <col min="9987" max="9987" width="16.88671875" style="273" customWidth="1"/>
    <col min="9988" max="9989" width="12.6640625" style="273" customWidth="1"/>
    <col min="9990" max="9990" width="13.88671875" style="273" customWidth="1"/>
    <col min="9991" max="9992" width="12.6640625" style="273" customWidth="1"/>
    <col min="9993" max="9993" width="15" style="273" customWidth="1"/>
    <col min="9994" max="9994" width="12.6640625" style="273" customWidth="1"/>
    <col min="9995" max="9995" width="16.6640625" style="273" customWidth="1"/>
    <col min="9996" max="9996" width="13.5546875" style="273" customWidth="1"/>
    <col min="9997" max="9998" width="12.6640625" style="273" customWidth="1"/>
    <col min="9999" max="9999" width="18.6640625" style="273" customWidth="1"/>
    <col min="10000" max="10001" width="12.6640625" style="273" customWidth="1"/>
    <col min="10002" max="10240" width="9.109375" style="273"/>
    <col min="10241" max="10241" width="7.6640625" style="273" customWidth="1"/>
    <col min="10242" max="10242" width="19.44140625" style="273" customWidth="1"/>
    <col min="10243" max="10243" width="16.88671875" style="273" customWidth="1"/>
    <col min="10244" max="10245" width="12.6640625" style="273" customWidth="1"/>
    <col min="10246" max="10246" width="13.88671875" style="273" customWidth="1"/>
    <col min="10247" max="10248" width="12.6640625" style="273" customWidth="1"/>
    <col min="10249" max="10249" width="15" style="273" customWidth="1"/>
    <col min="10250" max="10250" width="12.6640625" style="273" customWidth="1"/>
    <col min="10251" max="10251" width="16.6640625" style="273" customWidth="1"/>
    <col min="10252" max="10252" width="13.5546875" style="273" customWidth="1"/>
    <col min="10253" max="10254" width="12.6640625" style="273" customWidth="1"/>
    <col min="10255" max="10255" width="18.6640625" style="273" customWidth="1"/>
    <col min="10256" max="10257" width="12.6640625" style="273" customWidth="1"/>
    <col min="10258" max="10496" width="9.109375" style="273"/>
    <col min="10497" max="10497" width="7.6640625" style="273" customWidth="1"/>
    <col min="10498" max="10498" width="19.44140625" style="273" customWidth="1"/>
    <col min="10499" max="10499" width="16.88671875" style="273" customWidth="1"/>
    <col min="10500" max="10501" width="12.6640625" style="273" customWidth="1"/>
    <col min="10502" max="10502" width="13.88671875" style="273" customWidth="1"/>
    <col min="10503" max="10504" width="12.6640625" style="273" customWidth="1"/>
    <col min="10505" max="10505" width="15" style="273" customWidth="1"/>
    <col min="10506" max="10506" width="12.6640625" style="273" customWidth="1"/>
    <col min="10507" max="10507" width="16.6640625" style="273" customWidth="1"/>
    <col min="10508" max="10508" width="13.5546875" style="273" customWidth="1"/>
    <col min="10509" max="10510" width="12.6640625" style="273" customWidth="1"/>
    <col min="10511" max="10511" width="18.6640625" style="273" customWidth="1"/>
    <col min="10512" max="10513" width="12.6640625" style="273" customWidth="1"/>
    <col min="10514" max="10752" width="9.109375" style="273"/>
    <col min="10753" max="10753" width="7.6640625" style="273" customWidth="1"/>
    <col min="10754" max="10754" width="19.44140625" style="273" customWidth="1"/>
    <col min="10755" max="10755" width="16.88671875" style="273" customWidth="1"/>
    <col min="10756" max="10757" width="12.6640625" style="273" customWidth="1"/>
    <col min="10758" max="10758" width="13.88671875" style="273" customWidth="1"/>
    <col min="10759" max="10760" width="12.6640625" style="273" customWidth="1"/>
    <col min="10761" max="10761" width="15" style="273" customWidth="1"/>
    <col min="10762" max="10762" width="12.6640625" style="273" customWidth="1"/>
    <col min="10763" max="10763" width="16.6640625" style="273" customWidth="1"/>
    <col min="10764" max="10764" width="13.5546875" style="273" customWidth="1"/>
    <col min="10765" max="10766" width="12.6640625" style="273" customWidth="1"/>
    <col min="10767" max="10767" width="18.6640625" style="273" customWidth="1"/>
    <col min="10768" max="10769" width="12.6640625" style="273" customWidth="1"/>
    <col min="10770" max="11008" width="9.109375" style="273"/>
    <col min="11009" max="11009" width="7.6640625" style="273" customWidth="1"/>
    <col min="11010" max="11010" width="19.44140625" style="273" customWidth="1"/>
    <col min="11011" max="11011" width="16.88671875" style="273" customWidth="1"/>
    <col min="11012" max="11013" width="12.6640625" style="273" customWidth="1"/>
    <col min="11014" max="11014" width="13.88671875" style="273" customWidth="1"/>
    <col min="11015" max="11016" width="12.6640625" style="273" customWidth="1"/>
    <col min="11017" max="11017" width="15" style="273" customWidth="1"/>
    <col min="11018" max="11018" width="12.6640625" style="273" customWidth="1"/>
    <col min="11019" max="11019" width="16.6640625" style="273" customWidth="1"/>
    <col min="11020" max="11020" width="13.5546875" style="273" customWidth="1"/>
    <col min="11021" max="11022" width="12.6640625" style="273" customWidth="1"/>
    <col min="11023" max="11023" width="18.6640625" style="273" customWidth="1"/>
    <col min="11024" max="11025" width="12.6640625" style="273" customWidth="1"/>
    <col min="11026" max="11264" width="9.109375" style="273"/>
    <col min="11265" max="11265" width="7.6640625" style="273" customWidth="1"/>
    <col min="11266" max="11266" width="19.44140625" style="273" customWidth="1"/>
    <col min="11267" max="11267" width="16.88671875" style="273" customWidth="1"/>
    <col min="11268" max="11269" width="12.6640625" style="273" customWidth="1"/>
    <col min="11270" max="11270" width="13.88671875" style="273" customWidth="1"/>
    <col min="11271" max="11272" width="12.6640625" style="273" customWidth="1"/>
    <col min="11273" max="11273" width="15" style="273" customWidth="1"/>
    <col min="11274" max="11274" width="12.6640625" style="273" customWidth="1"/>
    <col min="11275" max="11275" width="16.6640625" style="273" customWidth="1"/>
    <col min="11276" max="11276" width="13.5546875" style="273" customWidth="1"/>
    <col min="11277" max="11278" width="12.6640625" style="273" customWidth="1"/>
    <col min="11279" max="11279" width="18.6640625" style="273" customWidth="1"/>
    <col min="11280" max="11281" width="12.6640625" style="273" customWidth="1"/>
    <col min="11282" max="11520" width="9.109375" style="273"/>
    <col min="11521" max="11521" width="7.6640625" style="273" customWidth="1"/>
    <col min="11522" max="11522" width="19.44140625" style="273" customWidth="1"/>
    <col min="11523" max="11523" width="16.88671875" style="273" customWidth="1"/>
    <col min="11524" max="11525" width="12.6640625" style="273" customWidth="1"/>
    <col min="11526" max="11526" width="13.88671875" style="273" customWidth="1"/>
    <col min="11527" max="11528" width="12.6640625" style="273" customWidth="1"/>
    <col min="11529" max="11529" width="15" style="273" customWidth="1"/>
    <col min="11530" max="11530" width="12.6640625" style="273" customWidth="1"/>
    <col min="11531" max="11531" width="16.6640625" style="273" customWidth="1"/>
    <col min="11532" max="11532" width="13.5546875" style="273" customWidth="1"/>
    <col min="11533" max="11534" width="12.6640625" style="273" customWidth="1"/>
    <col min="11535" max="11535" width="18.6640625" style="273" customWidth="1"/>
    <col min="11536" max="11537" width="12.6640625" style="273" customWidth="1"/>
    <col min="11538" max="11776" width="9.109375" style="273"/>
    <col min="11777" max="11777" width="7.6640625" style="273" customWidth="1"/>
    <col min="11778" max="11778" width="19.44140625" style="273" customWidth="1"/>
    <col min="11779" max="11779" width="16.88671875" style="273" customWidth="1"/>
    <col min="11780" max="11781" width="12.6640625" style="273" customWidth="1"/>
    <col min="11782" max="11782" width="13.88671875" style="273" customWidth="1"/>
    <col min="11783" max="11784" width="12.6640625" style="273" customWidth="1"/>
    <col min="11785" max="11785" width="15" style="273" customWidth="1"/>
    <col min="11786" max="11786" width="12.6640625" style="273" customWidth="1"/>
    <col min="11787" max="11787" width="16.6640625" style="273" customWidth="1"/>
    <col min="11788" max="11788" width="13.5546875" style="273" customWidth="1"/>
    <col min="11789" max="11790" width="12.6640625" style="273" customWidth="1"/>
    <col min="11791" max="11791" width="18.6640625" style="273" customWidth="1"/>
    <col min="11792" max="11793" width="12.6640625" style="273" customWidth="1"/>
    <col min="11794" max="12032" width="9.109375" style="273"/>
    <col min="12033" max="12033" width="7.6640625" style="273" customWidth="1"/>
    <col min="12034" max="12034" width="19.44140625" style="273" customWidth="1"/>
    <col min="12035" max="12035" width="16.88671875" style="273" customWidth="1"/>
    <col min="12036" max="12037" width="12.6640625" style="273" customWidth="1"/>
    <col min="12038" max="12038" width="13.88671875" style="273" customWidth="1"/>
    <col min="12039" max="12040" width="12.6640625" style="273" customWidth="1"/>
    <col min="12041" max="12041" width="15" style="273" customWidth="1"/>
    <col min="12042" max="12042" width="12.6640625" style="273" customWidth="1"/>
    <col min="12043" max="12043" width="16.6640625" style="273" customWidth="1"/>
    <col min="12044" max="12044" width="13.5546875" style="273" customWidth="1"/>
    <col min="12045" max="12046" width="12.6640625" style="273" customWidth="1"/>
    <col min="12047" max="12047" width="18.6640625" style="273" customWidth="1"/>
    <col min="12048" max="12049" width="12.6640625" style="273" customWidth="1"/>
    <col min="12050" max="12288" width="9.109375" style="273"/>
    <col min="12289" max="12289" width="7.6640625" style="273" customWidth="1"/>
    <col min="12290" max="12290" width="19.44140625" style="273" customWidth="1"/>
    <col min="12291" max="12291" width="16.88671875" style="273" customWidth="1"/>
    <col min="12292" max="12293" width="12.6640625" style="273" customWidth="1"/>
    <col min="12294" max="12294" width="13.88671875" style="273" customWidth="1"/>
    <col min="12295" max="12296" width="12.6640625" style="273" customWidth="1"/>
    <col min="12297" max="12297" width="15" style="273" customWidth="1"/>
    <col min="12298" max="12298" width="12.6640625" style="273" customWidth="1"/>
    <col min="12299" max="12299" width="16.6640625" style="273" customWidth="1"/>
    <col min="12300" max="12300" width="13.5546875" style="273" customWidth="1"/>
    <col min="12301" max="12302" width="12.6640625" style="273" customWidth="1"/>
    <col min="12303" max="12303" width="18.6640625" style="273" customWidth="1"/>
    <col min="12304" max="12305" width="12.6640625" style="273" customWidth="1"/>
    <col min="12306" max="12544" width="9.109375" style="273"/>
    <col min="12545" max="12545" width="7.6640625" style="273" customWidth="1"/>
    <col min="12546" max="12546" width="19.44140625" style="273" customWidth="1"/>
    <col min="12547" max="12547" width="16.88671875" style="273" customWidth="1"/>
    <col min="12548" max="12549" width="12.6640625" style="273" customWidth="1"/>
    <col min="12550" max="12550" width="13.88671875" style="273" customWidth="1"/>
    <col min="12551" max="12552" width="12.6640625" style="273" customWidth="1"/>
    <col min="12553" max="12553" width="15" style="273" customWidth="1"/>
    <col min="12554" max="12554" width="12.6640625" style="273" customWidth="1"/>
    <col min="12555" max="12555" width="16.6640625" style="273" customWidth="1"/>
    <col min="12556" max="12556" width="13.5546875" style="273" customWidth="1"/>
    <col min="12557" max="12558" width="12.6640625" style="273" customWidth="1"/>
    <col min="12559" max="12559" width="18.6640625" style="273" customWidth="1"/>
    <col min="12560" max="12561" width="12.6640625" style="273" customWidth="1"/>
    <col min="12562" max="12800" width="9.109375" style="273"/>
    <col min="12801" max="12801" width="7.6640625" style="273" customWidth="1"/>
    <col min="12802" max="12802" width="19.44140625" style="273" customWidth="1"/>
    <col min="12803" max="12803" width="16.88671875" style="273" customWidth="1"/>
    <col min="12804" max="12805" width="12.6640625" style="273" customWidth="1"/>
    <col min="12806" max="12806" width="13.88671875" style="273" customWidth="1"/>
    <col min="12807" max="12808" width="12.6640625" style="273" customWidth="1"/>
    <col min="12809" max="12809" width="15" style="273" customWidth="1"/>
    <col min="12810" max="12810" width="12.6640625" style="273" customWidth="1"/>
    <col min="12811" max="12811" width="16.6640625" style="273" customWidth="1"/>
    <col min="12812" max="12812" width="13.5546875" style="273" customWidth="1"/>
    <col min="12813" max="12814" width="12.6640625" style="273" customWidth="1"/>
    <col min="12815" max="12815" width="18.6640625" style="273" customWidth="1"/>
    <col min="12816" max="12817" width="12.6640625" style="273" customWidth="1"/>
    <col min="12818" max="13056" width="9.109375" style="273"/>
    <col min="13057" max="13057" width="7.6640625" style="273" customWidth="1"/>
    <col min="13058" max="13058" width="19.44140625" style="273" customWidth="1"/>
    <col min="13059" max="13059" width="16.88671875" style="273" customWidth="1"/>
    <col min="13060" max="13061" width="12.6640625" style="273" customWidth="1"/>
    <col min="13062" max="13062" width="13.88671875" style="273" customWidth="1"/>
    <col min="13063" max="13064" width="12.6640625" style="273" customWidth="1"/>
    <col min="13065" max="13065" width="15" style="273" customWidth="1"/>
    <col min="13066" max="13066" width="12.6640625" style="273" customWidth="1"/>
    <col min="13067" max="13067" width="16.6640625" style="273" customWidth="1"/>
    <col min="13068" max="13068" width="13.5546875" style="273" customWidth="1"/>
    <col min="13069" max="13070" width="12.6640625" style="273" customWidth="1"/>
    <col min="13071" max="13071" width="18.6640625" style="273" customWidth="1"/>
    <col min="13072" max="13073" width="12.6640625" style="273" customWidth="1"/>
    <col min="13074" max="13312" width="9.109375" style="273"/>
    <col min="13313" max="13313" width="7.6640625" style="273" customWidth="1"/>
    <col min="13314" max="13314" width="19.44140625" style="273" customWidth="1"/>
    <col min="13315" max="13315" width="16.88671875" style="273" customWidth="1"/>
    <col min="13316" max="13317" width="12.6640625" style="273" customWidth="1"/>
    <col min="13318" max="13318" width="13.88671875" style="273" customWidth="1"/>
    <col min="13319" max="13320" width="12.6640625" style="273" customWidth="1"/>
    <col min="13321" max="13321" width="15" style="273" customWidth="1"/>
    <col min="13322" max="13322" width="12.6640625" style="273" customWidth="1"/>
    <col min="13323" max="13323" width="16.6640625" style="273" customWidth="1"/>
    <col min="13324" max="13324" width="13.5546875" style="273" customWidth="1"/>
    <col min="13325" max="13326" width="12.6640625" style="273" customWidth="1"/>
    <col min="13327" max="13327" width="18.6640625" style="273" customWidth="1"/>
    <col min="13328" max="13329" width="12.6640625" style="273" customWidth="1"/>
    <col min="13330" max="13568" width="9.109375" style="273"/>
    <col min="13569" max="13569" width="7.6640625" style="273" customWidth="1"/>
    <col min="13570" max="13570" width="19.44140625" style="273" customWidth="1"/>
    <col min="13571" max="13571" width="16.88671875" style="273" customWidth="1"/>
    <col min="13572" max="13573" width="12.6640625" style="273" customWidth="1"/>
    <col min="13574" max="13574" width="13.88671875" style="273" customWidth="1"/>
    <col min="13575" max="13576" width="12.6640625" style="273" customWidth="1"/>
    <col min="13577" max="13577" width="15" style="273" customWidth="1"/>
    <col min="13578" max="13578" width="12.6640625" style="273" customWidth="1"/>
    <col min="13579" max="13579" width="16.6640625" style="273" customWidth="1"/>
    <col min="13580" max="13580" width="13.5546875" style="273" customWidth="1"/>
    <col min="13581" max="13582" width="12.6640625" style="273" customWidth="1"/>
    <col min="13583" max="13583" width="18.6640625" style="273" customWidth="1"/>
    <col min="13584" max="13585" width="12.6640625" style="273" customWidth="1"/>
    <col min="13586" max="13824" width="9.109375" style="273"/>
    <col min="13825" max="13825" width="7.6640625" style="273" customWidth="1"/>
    <col min="13826" max="13826" width="19.44140625" style="273" customWidth="1"/>
    <col min="13827" max="13827" width="16.88671875" style="273" customWidth="1"/>
    <col min="13828" max="13829" width="12.6640625" style="273" customWidth="1"/>
    <col min="13830" max="13830" width="13.88671875" style="273" customWidth="1"/>
    <col min="13831" max="13832" width="12.6640625" style="273" customWidth="1"/>
    <col min="13833" max="13833" width="15" style="273" customWidth="1"/>
    <col min="13834" max="13834" width="12.6640625" style="273" customWidth="1"/>
    <col min="13835" max="13835" width="16.6640625" style="273" customWidth="1"/>
    <col min="13836" max="13836" width="13.5546875" style="273" customWidth="1"/>
    <col min="13837" max="13838" width="12.6640625" style="273" customWidth="1"/>
    <col min="13839" max="13839" width="18.6640625" style="273" customWidth="1"/>
    <col min="13840" max="13841" width="12.6640625" style="273" customWidth="1"/>
    <col min="13842" max="14080" width="9.109375" style="273"/>
    <col min="14081" max="14081" width="7.6640625" style="273" customWidth="1"/>
    <col min="14082" max="14082" width="19.44140625" style="273" customWidth="1"/>
    <col min="14083" max="14083" width="16.88671875" style="273" customWidth="1"/>
    <col min="14084" max="14085" width="12.6640625" style="273" customWidth="1"/>
    <col min="14086" max="14086" width="13.88671875" style="273" customWidth="1"/>
    <col min="14087" max="14088" width="12.6640625" style="273" customWidth="1"/>
    <col min="14089" max="14089" width="15" style="273" customWidth="1"/>
    <col min="14090" max="14090" width="12.6640625" style="273" customWidth="1"/>
    <col min="14091" max="14091" width="16.6640625" style="273" customWidth="1"/>
    <col min="14092" max="14092" width="13.5546875" style="273" customWidth="1"/>
    <col min="14093" max="14094" width="12.6640625" style="273" customWidth="1"/>
    <col min="14095" max="14095" width="18.6640625" style="273" customWidth="1"/>
    <col min="14096" max="14097" width="12.6640625" style="273" customWidth="1"/>
    <col min="14098" max="14336" width="9.109375" style="273"/>
    <col min="14337" max="14337" width="7.6640625" style="273" customWidth="1"/>
    <col min="14338" max="14338" width="19.44140625" style="273" customWidth="1"/>
    <col min="14339" max="14339" width="16.88671875" style="273" customWidth="1"/>
    <col min="14340" max="14341" width="12.6640625" style="273" customWidth="1"/>
    <col min="14342" max="14342" width="13.88671875" style="273" customWidth="1"/>
    <col min="14343" max="14344" width="12.6640625" style="273" customWidth="1"/>
    <col min="14345" max="14345" width="15" style="273" customWidth="1"/>
    <col min="14346" max="14346" width="12.6640625" style="273" customWidth="1"/>
    <col min="14347" max="14347" width="16.6640625" style="273" customWidth="1"/>
    <col min="14348" max="14348" width="13.5546875" style="273" customWidth="1"/>
    <col min="14349" max="14350" width="12.6640625" style="273" customWidth="1"/>
    <col min="14351" max="14351" width="18.6640625" style="273" customWidth="1"/>
    <col min="14352" max="14353" width="12.6640625" style="273" customWidth="1"/>
    <col min="14354" max="14592" width="9.109375" style="273"/>
    <col min="14593" max="14593" width="7.6640625" style="273" customWidth="1"/>
    <col min="14594" max="14594" width="19.44140625" style="273" customWidth="1"/>
    <col min="14595" max="14595" width="16.88671875" style="273" customWidth="1"/>
    <col min="14596" max="14597" width="12.6640625" style="273" customWidth="1"/>
    <col min="14598" max="14598" width="13.88671875" style="273" customWidth="1"/>
    <col min="14599" max="14600" width="12.6640625" style="273" customWidth="1"/>
    <col min="14601" max="14601" width="15" style="273" customWidth="1"/>
    <col min="14602" max="14602" width="12.6640625" style="273" customWidth="1"/>
    <col min="14603" max="14603" width="16.6640625" style="273" customWidth="1"/>
    <col min="14604" max="14604" width="13.5546875" style="273" customWidth="1"/>
    <col min="14605" max="14606" width="12.6640625" style="273" customWidth="1"/>
    <col min="14607" max="14607" width="18.6640625" style="273" customWidth="1"/>
    <col min="14608" max="14609" width="12.6640625" style="273" customWidth="1"/>
    <col min="14610" max="14848" width="9.109375" style="273"/>
    <col min="14849" max="14849" width="7.6640625" style="273" customWidth="1"/>
    <col min="14850" max="14850" width="19.44140625" style="273" customWidth="1"/>
    <col min="14851" max="14851" width="16.88671875" style="273" customWidth="1"/>
    <col min="14852" max="14853" width="12.6640625" style="273" customWidth="1"/>
    <col min="14854" max="14854" width="13.88671875" style="273" customWidth="1"/>
    <col min="14855" max="14856" width="12.6640625" style="273" customWidth="1"/>
    <col min="14857" max="14857" width="15" style="273" customWidth="1"/>
    <col min="14858" max="14858" width="12.6640625" style="273" customWidth="1"/>
    <col min="14859" max="14859" width="16.6640625" style="273" customWidth="1"/>
    <col min="14860" max="14860" width="13.5546875" style="273" customWidth="1"/>
    <col min="14861" max="14862" width="12.6640625" style="273" customWidth="1"/>
    <col min="14863" max="14863" width="18.6640625" style="273" customWidth="1"/>
    <col min="14864" max="14865" width="12.6640625" style="273" customWidth="1"/>
    <col min="14866" max="15104" width="9.109375" style="273"/>
    <col min="15105" max="15105" width="7.6640625" style="273" customWidth="1"/>
    <col min="15106" max="15106" width="19.44140625" style="273" customWidth="1"/>
    <col min="15107" max="15107" width="16.88671875" style="273" customWidth="1"/>
    <col min="15108" max="15109" width="12.6640625" style="273" customWidth="1"/>
    <col min="15110" max="15110" width="13.88671875" style="273" customWidth="1"/>
    <col min="15111" max="15112" width="12.6640625" style="273" customWidth="1"/>
    <col min="15113" max="15113" width="15" style="273" customWidth="1"/>
    <col min="15114" max="15114" width="12.6640625" style="273" customWidth="1"/>
    <col min="15115" max="15115" width="16.6640625" style="273" customWidth="1"/>
    <col min="15116" max="15116" width="13.5546875" style="273" customWidth="1"/>
    <col min="15117" max="15118" width="12.6640625" style="273" customWidth="1"/>
    <col min="15119" max="15119" width="18.6640625" style="273" customWidth="1"/>
    <col min="15120" max="15121" width="12.6640625" style="273" customWidth="1"/>
    <col min="15122" max="15360" width="9.109375" style="273"/>
    <col min="15361" max="15361" width="7.6640625" style="273" customWidth="1"/>
    <col min="15362" max="15362" width="19.44140625" style="273" customWidth="1"/>
    <col min="15363" max="15363" width="16.88671875" style="273" customWidth="1"/>
    <col min="15364" max="15365" width="12.6640625" style="273" customWidth="1"/>
    <col min="15366" max="15366" width="13.88671875" style="273" customWidth="1"/>
    <col min="15367" max="15368" width="12.6640625" style="273" customWidth="1"/>
    <col min="15369" max="15369" width="15" style="273" customWidth="1"/>
    <col min="15370" max="15370" width="12.6640625" style="273" customWidth="1"/>
    <col min="15371" max="15371" width="16.6640625" style="273" customWidth="1"/>
    <col min="15372" max="15372" width="13.5546875" style="273" customWidth="1"/>
    <col min="15373" max="15374" width="12.6640625" style="273" customWidth="1"/>
    <col min="15375" max="15375" width="18.6640625" style="273" customWidth="1"/>
    <col min="15376" max="15377" width="12.6640625" style="273" customWidth="1"/>
    <col min="15378" max="15616" width="9.109375" style="273"/>
    <col min="15617" max="15617" width="7.6640625" style="273" customWidth="1"/>
    <col min="15618" max="15618" width="19.44140625" style="273" customWidth="1"/>
    <col min="15619" max="15619" width="16.88671875" style="273" customWidth="1"/>
    <col min="15620" max="15621" width="12.6640625" style="273" customWidth="1"/>
    <col min="15622" max="15622" width="13.88671875" style="273" customWidth="1"/>
    <col min="15623" max="15624" width="12.6640625" style="273" customWidth="1"/>
    <col min="15625" max="15625" width="15" style="273" customWidth="1"/>
    <col min="15626" max="15626" width="12.6640625" style="273" customWidth="1"/>
    <col min="15627" max="15627" width="16.6640625" style="273" customWidth="1"/>
    <col min="15628" max="15628" width="13.5546875" style="273" customWidth="1"/>
    <col min="15629" max="15630" width="12.6640625" style="273" customWidth="1"/>
    <col min="15631" max="15631" width="18.6640625" style="273" customWidth="1"/>
    <col min="15632" max="15633" width="12.6640625" style="273" customWidth="1"/>
    <col min="15634" max="15872" width="9.109375" style="273"/>
    <col min="15873" max="15873" width="7.6640625" style="273" customWidth="1"/>
    <col min="15874" max="15874" width="19.44140625" style="273" customWidth="1"/>
    <col min="15875" max="15875" width="16.88671875" style="273" customWidth="1"/>
    <col min="15876" max="15877" width="12.6640625" style="273" customWidth="1"/>
    <col min="15878" max="15878" width="13.88671875" style="273" customWidth="1"/>
    <col min="15879" max="15880" width="12.6640625" style="273" customWidth="1"/>
    <col min="15881" max="15881" width="15" style="273" customWidth="1"/>
    <col min="15882" max="15882" width="12.6640625" style="273" customWidth="1"/>
    <col min="15883" max="15883" width="16.6640625" style="273" customWidth="1"/>
    <col min="15884" max="15884" width="13.5546875" style="273" customWidth="1"/>
    <col min="15885" max="15886" width="12.6640625" style="273" customWidth="1"/>
    <col min="15887" max="15887" width="18.6640625" style="273" customWidth="1"/>
    <col min="15888" max="15889" width="12.6640625" style="273" customWidth="1"/>
    <col min="15890" max="16128" width="9.109375" style="273"/>
    <col min="16129" max="16129" width="7.6640625" style="273" customWidth="1"/>
    <col min="16130" max="16130" width="19.44140625" style="273" customWidth="1"/>
    <col min="16131" max="16131" width="16.88671875" style="273" customWidth="1"/>
    <col min="16132" max="16133" width="12.6640625" style="273" customWidth="1"/>
    <col min="16134" max="16134" width="13.88671875" style="273" customWidth="1"/>
    <col min="16135" max="16136" width="12.6640625" style="273" customWidth="1"/>
    <col min="16137" max="16137" width="15" style="273" customWidth="1"/>
    <col min="16138" max="16138" width="12.6640625" style="273" customWidth="1"/>
    <col min="16139" max="16139" width="16.6640625" style="273" customWidth="1"/>
    <col min="16140" max="16140" width="13.5546875" style="273" customWidth="1"/>
    <col min="16141" max="16142" width="12.6640625" style="273" customWidth="1"/>
    <col min="16143" max="16143" width="18.6640625" style="273" customWidth="1"/>
    <col min="16144" max="16145" width="12.6640625" style="273" customWidth="1"/>
    <col min="16146" max="16384" width="9.109375" style="273"/>
  </cols>
  <sheetData>
    <row r="2" spans="2:17" ht="15" customHeight="1" x14ac:dyDescent="0.25">
      <c r="B2" s="307" t="s">
        <v>726</v>
      </c>
      <c r="C2" s="307"/>
      <c r="D2" s="307"/>
      <c r="E2" s="307"/>
      <c r="F2" s="307"/>
      <c r="G2" s="307"/>
      <c r="H2" s="307"/>
      <c r="I2" s="307"/>
      <c r="J2" s="307"/>
      <c r="K2" s="307"/>
      <c r="L2" s="272"/>
      <c r="M2" s="272"/>
      <c r="N2" s="272"/>
      <c r="O2" s="272"/>
      <c r="P2" s="272"/>
      <c r="Q2" s="272"/>
    </row>
    <row r="3" spans="2:17" ht="14.4" thickBot="1" x14ac:dyDescent="0.3">
      <c r="B3" s="274"/>
      <c r="C3" s="274"/>
      <c r="D3" s="274"/>
      <c r="E3" s="274"/>
      <c r="F3" s="274"/>
      <c r="G3" s="274"/>
      <c r="H3" s="274"/>
      <c r="I3" s="274"/>
      <c r="J3" s="272"/>
      <c r="K3" s="272"/>
      <c r="L3" s="272"/>
      <c r="M3" s="272"/>
      <c r="N3" s="272"/>
      <c r="O3" s="272"/>
      <c r="P3" s="272"/>
      <c r="Q3" s="272"/>
    </row>
    <row r="4" spans="2:17" s="276" customFormat="1" ht="20.25" customHeight="1" x14ac:dyDescent="0.3">
      <c r="B4" s="308" t="s">
        <v>40</v>
      </c>
      <c r="C4" s="311" t="s">
        <v>727</v>
      </c>
      <c r="D4" s="311" t="s">
        <v>223</v>
      </c>
      <c r="E4" s="311"/>
      <c r="F4" s="311"/>
      <c r="G4" s="311"/>
      <c r="H4" s="311"/>
      <c r="I4" s="311"/>
      <c r="J4" s="311"/>
      <c r="K4" s="314"/>
      <c r="L4" s="275"/>
      <c r="M4" s="275"/>
      <c r="N4" s="275"/>
      <c r="O4" s="275"/>
      <c r="P4" s="275"/>
      <c r="Q4" s="275"/>
    </row>
    <row r="5" spans="2:17" s="276" customFormat="1" ht="21" customHeight="1" x14ac:dyDescent="0.3">
      <c r="B5" s="309"/>
      <c r="C5" s="312"/>
      <c r="D5" s="303" t="s">
        <v>728</v>
      </c>
      <c r="E5" s="303" t="s">
        <v>729</v>
      </c>
      <c r="F5" s="303" t="s">
        <v>730</v>
      </c>
      <c r="G5" s="303" t="s">
        <v>731</v>
      </c>
      <c r="H5" s="303" t="s">
        <v>732</v>
      </c>
      <c r="I5" s="303" t="s">
        <v>733</v>
      </c>
      <c r="J5" s="303" t="s">
        <v>734</v>
      </c>
      <c r="K5" s="305" t="s">
        <v>735</v>
      </c>
      <c r="L5" s="275"/>
      <c r="M5" s="275"/>
      <c r="N5" s="275"/>
      <c r="O5" s="275"/>
      <c r="P5" s="275"/>
      <c r="Q5" s="275"/>
    </row>
    <row r="6" spans="2:17" s="276" customFormat="1" ht="19.5" customHeight="1" x14ac:dyDescent="0.3">
      <c r="B6" s="309"/>
      <c r="C6" s="312"/>
      <c r="D6" s="303"/>
      <c r="E6" s="303"/>
      <c r="F6" s="303"/>
      <c r="G6" s="303"/>
      <c r="H6" s="303"/>
      <c r="I6" s="303"/>
      <c r="J6" s="303"/>
      <c r="K6" s="305"/>
      <c r="L6" s="275"/>
      <c r="M6" s="275"/>
      <c r="N6" s="275"/>
      <c r="O6" s="275"/>
      <c r="P6" s="275"/>
      <c r="Q6" s="275"/>
    </row>
    <row r="7" spans="2:17" s="276" customFormat="1" ht="30.6" customHeight="1" thickBot="1" x14ac:dyDescent="0.35">
      <c r="B7" s="310"/>
      <c r="C7" s="313"/>
      <c r="D7" s="304"/>
      <c r="E7" s="304"/>
      <c r="F7" s="304"/>
      <c r="G7" s="304"/>
      <c r="H7" s="304"/>
      <c r="I7" s="304"/>
      <c r="J7" s="304"/>
      <c r="K7" s="306"/>
      <c r="L7" s="275"/>
      <c r="M7" s="275"/>
      <c r="N7" s="275"/>
      <c r="O7" s="275"/>
      <c r="P7" s="275"/>
      <c r="Q7" s="275"/>
    </row>
    <row r="8" spans="2:17" x14ac:dyDescent="0.25">
      <c r="B8" s="218">
        <v>1913</v>
      </c>
      <c r="C8" s="277">
        <v>110.8</v>
      </c>
      <c r="D8" s="277" t="s">
        <v>736</v>
      </c>
      <c r="E8" s="277" t="s">
        <v>736</v>
      </c>
      <c r="F8" s="277" t="s">
        <v>736</v>
      </c>
      <c r="G8" s="277" t="s">
        <v>736</v>
      </c>
      <c r="H8" s="277" t="s">
        <v>308</v>
      </c>
      <c r="I8" s="277" t="s">
        <v>308</v>
      </c>
      <c r="J8" s="277" t="s">
        <v>308</v>
      </c>
      <c r="K8" s="278" t="s">
        <v>308</v>
      </c>
      <c r="L8" s="272"/>
      <c r="M8" s="272"/>
      <c r="N8" s="272"/>
    </row>
    <row r="9" spans="2:17" x14ac:dyDescent="0.25">
      <c r="B9" s="209">
        <v>1920</v>
      </c>
      <c r="C9" s="215">
        <v>122</v>
      </c>
      <c r="D9" s="214" t="s">
        <v>736</v>
      </c>
      <c r="E9" s="214" t="s">
        <v>736</v>
      </c>
      <c r="F9" s="214" t="s">
        <v>736</v>
      </c>
      <c r="G9" s="214" t="s">
        <v>736</v>
      </c>
      <c r="H9" s="214" t="s">
        <v>308</v>
      </c>
      <c r="I9" s="214" t="s">
        <v>308</v>
      </c>
      <c r="J9" s="214" t="s">
        <v>308</v>
      </c>
      <c r="K9" s="279" t="s">
        <v>308</v>
      </c>
      <c r="L9" s="280"/>
      <c r="M9" s="280"/>
      <c r="N9" s="280"/>
      <c r="O9" s="280"/>
      <c r="P9" s="280"/>
    </row>
    <row r="10" spans="2:17" x14ac:dyDescent="0.25">
      <c r="B10" s="209">
        <v>1930</v>
      </c>
      <c r="C10" s="214">
        <v>503.9</v>
      </c>
      <c r="D10" s="214" t="s">
        <v>736</v>
      </c>
      <c r="E10" s="214" t="s">
        <v>736</v>
      </c>
      <c r="F10" s="214" t="s">
        <v>736</v>
      </c>
      <c r="G10" s="214" t="s">
        <v>736</v>
      </c>
      <c r="H10" s="214" t="s">
        <v>308</v>
      </c>
      <c r="I10" s="214" t="s">
        <v>308</v>
      </c>
      <c r="J10" s="214" t="s">
        <v>308</v>
      </c>
      <c r="K10" s="279" t="s">
        <v>308</v>
      </c>
      <c r="L10" s="280"/>
      <c r="M10" s="280"/>
      <c r="N10" s="280"/>
      <c r="O10" s="280"/>
      <c r="P10" s="280"/>
    </row>
    <row r="11" spans="2:17" x14ac:dyDescent="0.25">
      <c r="B11" s="209">
        <v>1940</v>
      </c>
      <c r="C11" s="212">
        <v>1827</v>
      </c>
      <c r="D11" s="212">
        <v>1802</v>
      </c>
      <c r="E11" s="211">
        <v>24.3</v>
      </c>
      <c r="F11" s="214" t="s">
        <v>736</v>
      </c>
      <c r="G11" s="214" t="s">
        <v>736</v>
      </c>
      <c r="H11" s="214" t="s">
        <v>308</v>
      </c>
      <c r="I11" s="214" t="s">
        <v>308</v>
      </c>
      <c r="J11" s="214" t="s">
        <v>308</v>
      </c>
      <c r="K11" s="279" t="s">
        <v>308</v>
      </c>
      <c r="L11" s="281"/>
      <c r="M11" s="280"/>
      <c r="N11" s="280"/>
      <c r="O11" s="280"/>
      <c r="P11" s="280"/>
    </row>
    <row r="12" spans="2:17" x14ac:dyDescent="0.25">
      <c r="B12" s="209">
        <v>1950</v>
      </c>
      <c r="C12" s="212">
        <v>2924</v>
      </c>
      <c r="D12" s="213">
        <v>2894</v>
      </c>
      <c r="E12" s="211">
        <v>29.5</v>
      </c>
      <c r="F12" s="214" t="s">
        <v>736</v>
      </c>
      <c r="G12" s="214" t="s">
        <v>736</v>
      </c>
      <c r="H12" s="214" t="s">
        <v>308</v>
      </c>
      <c r="I12" s="214" t="s">
        <v>308</v>
      </c>
      <c r="J12" s="214" t="s">
        <v>308</v>
      </c>
      <c r="K12" s="279" t="s">
        <v>308</v>
      </c>
      <c r="L12" s="281"/>
      <c r="M12" s="280"/>
      <c r="N12" s="280"/>
      <c r="O12" s="280"/>
      <c r="P12" s="280"/>
    </row>
    <row r="13" spans="2:17" x14ac:dyDescent="0.25">
      <c r="B13" s="209">
        <v>1960</v>
      </c>
      <c r="C13" s="212">
        <v>6590</v>
      </c>
      <c r="D13" s="212">
        <v>4626</v>
      </c>
      <c r="E13" s="212">
        <v>1963</v>
      </c>
      <c r="F13" s="214" t="s">
        <v>736</v>
      </c>
      <c r="G13" s="214" t="s">
        <v>736</v>
      </c>
      <c r="H13" s="214" t="s">
        <v>308</v>
      </c>
      <c r="I13" s="214" t="s">
        <v>308</v>
      </c>
      <c r="J13" s="214" t="s">
        <v>308</v>
      </c>
      <c r="K13" s="279" t="s">
        <v>308</v>
      </c>
      <c r="L13" s="272"/>
      <c r="M13" s="272"/>
      <c r="N13" s="272"/>
      <c r="O13" s="272"/>
      <c r="P13" s="272"/>
      <c r="Q13" s="272"/>
    </row>
    <row r="14" spans="2:17" x14ac:dyDescent="0.25">
      <c r="B14" s="209">
        <v>1970</v>
      </c>
      <c r="C14" s="212">
        <v>12027</v>
      </c>
      <c r="D14" s="212">
        <v>10893</v>
      </c>
      <c r="E14" s="212">
        <v>1022</v>
      </c>
      <c r="F14" s="214">
        <v>111.7</v>
      </c>
      <c r="G14" s="214" t="s">
        <v>736</v>
      </c>
      <c r="H14" s="214" t="s">
        <v>308</v>
      </c>
      <c r="I14" s="214" t="s">
        <v>308</v>
      </c>
      <c r="J14" s="214" t="s">
        <v>308</v>
      </c>
      <c r="K14" s="279" t="s">
        <v>308</v>
      </c>
      <c r="L14" s="272"/>
      <c r="M14" s="272"/>
      <c r="N14" s="272"/>
      <c r="O14" s="272"/>
      <c r="P14" s="272"/>
      <c r="Q14" s="272"/>
    </row>
    <row r="15" spans="2:17" x14ac:dyDescent="0.25">
      <c r="B15" s="209">
        <v>1980</v>
      </c>
      <c r="C15" s="212">
        <v>15045</v>
      </c>
      <c r="D15" s="212">
        <v>13825</v>
      </c>
      <c r="E15" s="212">
        <v>1098</v>
      </c>
      <c r="F15" s="214">
        <v>122.2</v>
      </c>
      <c r="G15" s="214" t="s">
        <v>736</v>
      </c>
      <c r="H15" s="214" t="s">
        <v>308</v>
      </c>
      <c r="I15" s="214" t="s">
        <v>308</v>
      </c>
      <c r="J15" s="214" t="s">
        <v>308</v>
      </c>
      <c r="K15" s="279" t="s">
        <v>308</v>
      </c>
      <c r="L15" s="272"/>
      <c r="M15" s="272"/>
      <c r="N15" s="272"/>
      <c r="O15" s="272"/>
      <c r="P15" s="272"/>
      <c r="Q15" s="272"/>
    </row>
    <row r="16" spans="2:17" x14ac:dyDescent="0.25">
      <c r="B16" s="209">
        <v>1990</v>
      </c>
      <c r="C16" s="212">
        <v>23152</v>
      </c>
      <c r="D16" s="212">
        <v>21399</v>
      </c>
      <c r="E16" s="212">
        <v>1658</v>
      </c>
      <c r="F16" s="214">
        <v>95.6</v>
      </c>
      <c r="G16" s="214" t="s">
        <v>736</v>
      </c>
      <c r="H16" s="214" t="s">
        <v>308</v>
      </c>
      <c r="I16" s="214" t="s">
        <v>308</v>
      </c>
      <c r="J16" s="214" t="s">
        <v>308</v>
      </c>
      <c r="K16" s="279" t="s">
        <v>308</v>
      </c>
      <c r="L16" s="272"/>
      <c r="M16" s="272"/>
      <c r="N16" s="272"/>
      <c r="O16" s="272"/>
      <c r="P16" s="272"/>
      <c r="Q16" s="272"/>
    </row>
    <row r="17" spans="2:17" x14ac:dyDescent="0.25">
      <c r="B17" s="209">
        <v>1995</v>
      </c>
      <c r="C17" s="212">
        <v>17044</v>
      </c>
      <c r="D17" s="213">
        <v>15401</v>
      </c>
      <c r="E17" s="212">
        <v>1556</v>
      </c>
      <c r="F17" s="214">
        <v>86.6</v>
      </c>
      <c r="G17" s="214" t="s">
        <v>736</v>
      </c>
      <c r="H17" s="214" t="s">
        <v>308</v>
      </c>
      <c r="I17" s="214" t="s">
        <v>308</v>
      </c>
      <c r="J17" s="214" t="s">
        <v>308</v>
      </c>
      <c r="K17" s="279" t="s">
        <v>308</v>
      </c>
      <c r="L17" s="272"/>
      <c r="M17" s="272"/>
      <c r="N17" s="272"/>
      <c r="O17" s="272"/>
      <c r="P17" s="272"/>
      <c r="Q17" s="272"/>
    </row>
    <row r="18" spans="2:17" x14ac:dyDescent="0.25">
      <c r="B18" s="209">
        <v>2000</v>
      </c>
      <c r="C18" s="212">
        <v>18699</v>
      </c>
      <c r="D18" s="212">
        <v>17069</v>
      </c>
      <c r="E18" s="212">
        <v>1534</v>
      </c>
      <c r="F18" s="214">
        <v>83.1</v>
      </c>
      <c r="G18" s="215">
        <v>13</v>
      </c>
      <c r="H18" s="214" t="s">
        <v>308</v>
      </c>
      <c r="I18" s="214" t="s">
        <v>308</v>
      </c>
      <c r="J18" s="214" t="s">
        <v>308</v>
      </c>
      <c r="K18" s="279" t="s">
        <v>308</v>
      </c>
      <c r="L18" s="282"/>
      <c r="M18" s="282"/>
      <c r="N18" s="282"/>
      <c r="O18" s="282"/>
      <c r="P18" s="282"/>
      <c r="Q18" s="282"/>
    </row>
    <row r="19" spans="2:17" x14ac:dyDescent="0.25">
      <c r="B19" s="209">
        <v>2001</v>
      </c>
      <c r="C19" s="212">
        <v>18969</v>
      </c>
      <c r="D19" s="212">
        <v>17521</v>
      </c>
      <c r="E19" s="212">
        <v>1301</v>
      </c>
      <c r="F19" s="214">
        <v>131.19999999999999</v>
      </c>
      <c r="G19" s="211">
        <v>15.9</v>
      </c>
      <c r="H19" s="214" t="s">
        <v>308</v>
      </c>
      <c r="I19" s="214" t="s">
        <v>308</v>
      </c>
      <c r="J19" s="214" t="s">
        <v>308</v>
      </c>
      <c r="K19" s="279" t="s">
        <v>308</v>
      </c>
      <c r="L19" s="282"/>
      <c r="M19" s="282"/>
      <c r="N19" s="282"/>
      <c r="O19" s="282"/>
      <c r="P19" s="282"/>
      <c r="Q19" s="282"/>
    </row>
    <row r="20" spans="2:17" x14ac:dyDescent="0.25">
      <c r="B20" s="209">
        <v>2002</v>
      </c>
      <c r="C20" s="212">
        <v>18701</v>
      </c>
      <c r="D20" s="212">
        <v>16558</v>
      </c>
      <c r="E20" s="212">
        <v>2020</v>
      </c>
      <c r="F20" s="214">
        <v>103.8</v>
      </c>
      <c r="G20" s="211">
        <v>18.8</v>
      </c>
      <c r="H20" s="214" t="s">
        <v>308</v>
      </c>
      <c r="I20" s="214" t="s">
        <v>308</v>
      </c>
      <c r="J20" s="214" t="s">
        <v>308</v>
      </c>
      <c r="K20" s="279" t="s">
        <v>308</v>
      </c>
      <c r="L20" s="282"/>
      <c r="M20" s="282"/>
      <c r="N20" s="282"/>
      <c r="O20" s="282"/>
      <c r="P20" s="282"/>
      <c r="Q20" s="282"/>
    </row>
    <row r="21" spans="2:17" x14ac:dyDescent="0.25">
      <c r="B21" s="209">
        <v>2003</v>
      </c>
      <c r="C21" s="212">
        <v>21286</v>
      </c>
      <c r="D21" s="212">
        <v>18681</v>
      </c>
      <c r="E21" s="212">
        <v>2470</v>
      </c>
      <c r="F21" s="214">
        <v>104.9</v>
      </c>
      <c r="G21" s="211">
        <v>30.4</v>
      </c>
      <c r="H21" s="214" t="s">
        <v>308</v>
      </c>
      <c r="I21" s="214" t="s">
        <v>308</v>
      </c>
      <c r="J21" s="214" t="s">
        <v>308</v>
      </c>
      <c r="K21" s="279" t="s">
        <v>308</v>
      </c>
      <c r="L21" s="282"/>
      <c r="M21" s="282"/>
      <c r="N21" s="282"/>
      <c r="O21" s="282"/>
      <c r="P21" s="282"/>
      <c r="Q21" s="282"/>
    </row>
    <row r="22" spans="2:17" x14ac:dyDescent="0.25">
      <c r="B22" s="209">
        <v>2004</v>
      </c>
      <c r="C22" s="212">
        <v>21744</v>
      </c>
      <c r="D22" s="212">
        <v>18589</v>
      </c>
      <c r="E22" s="212">
        <v>2755</v>
      </c>
      <c r="F22" s="214">
        <v>365.4</v>
      </c>
      <c r="G22" s="214">
        <v>33.799999999999997</v>
      </c>
      <c r="H22" s="214" t="s">
        <v>308</v>
      </c>
      <c r="I22" s="214" t="s">
        <v>308</v>
      </c>
      <c r="J22" s="214" t="s">
        <v>308</v>
      </c>
      <c r="K22" s="279" t="s">
        <v>308</v>
      </c>
      <c r="L22" s="282"/>
      <c r="M22" s="282"/>
      <c r="N22" s="282"/>
      <c r="O22" s="282"/>
      <c r="P22" s="282"/>
      <c r="Q22" s="282"/>
    </row>
    <row r="23" spans="2:17" x14ac:dyDescent="0.25">
      <c r="B23" s="209">
        <v>2005</v>
      </c>
      <c r="C23" s="212">
        <v>22872</v>
      </c>
      <c r="D23" s="212">
        <v>19344</v>
      </c>
      <c r="E23" s="212">
        <v>3009</v>
      </c>
      <c r="F23" s="214">
        <v>430.5</v>
      </c>
      <c r="G23" s="215">
        <v>88</v>
      </c>
      <c r="H23" s="214" t="s">
        <v>308</v>
      </c>
      <c r="I23" s="214" t="s">
        <v>308</v>
      </c>
      <c r="J23" s="214" t="s">
        <v>308</v>
      </c>
      <c r="K23" s="279" t="s">
        <v>308</v>
      </c>
      <c r="L23" s="282"/>
      <c r="M23" s="282"/>
      <c r="N23" s="282"/>
      <c r="O23" s="282"/>
      <c r="P23" s="282"/>
      <c r="Q23" s="282"/>
    </row>
    <row r="24" spans="2:17" x14ac:dyDescent="0.25">
      <c r="B24" s="209">
        <v>2006</v>
      </c>
      <c r="C24" s="212">
        <v>24543</v>
      </c>
      <c r="D24" s="212">
        <v>21407</v>
      </c>
      <c r="E24" s="212">
        <v>2518</v>
      </c>
      <c r="F24" s="214">
        <v>475.9</v>
      </c>
      <c r="G24" s="215">
        <v>141.80000000000001</v>
      </c>
      <c r="H24" s="214" t="s">
        <v>308</v>
      </c>
      <c r="I24" s="214" t="s">
        <v>308</v>
      </c>
      <c r="J24" s="214" t="s">
        <v>308</v>
      </c>
      <c r="K24" s="279" t="s">
        <v>308</v>
      </c>
      <c r="L24" s="282"/>
      <c r="M24" s="282"/>
      <c r="N24" s="282"/>
      <c r="O24" s="282"/>
      <c r="P24" s="282"/>
      <c r="Q24" s="282"/>
    </row>
    <row r="25" spans="2:17" x14ac:dyDescent="0.25">
      <c r="B25" s="209">
        <v>2007</v>
      </c>
      <c r="C25" s="212">
        <v>21847</v>
      </c>
      <c r="D25" s="212">
        <v>19051</v>
      </c>
      <c r="E25" s="212">
        <v>2364</v>
      </c>
      <c r="F25" s="215">
        <v>432</v>
      </c>
      <c r="G25" s="214" t="s">
        <v>308</v>
      </c>
      <c r="H25" s="214" t="s">
        <v>308</v>
      </c>
      <c r="I25" s="214" t="s">
        <v>308</v>
      </c>
      <c r="J25" s="214" t="s">
        <v>308</v>
      </c>
      <c r="K25" s="279" t="s">
        <v>308</v>
      </c>
      <c r="L25" s="282"/>
      <c r="M25" s="282"/>
      <c r="N25" s="282"/>
      <c r="O25" s="282"/>
      <c r="P25" s="282"/>
      <c r="Q25" s="282"/>
    </row>
    <row r="26" spans="2:17" x14ac:dyDescent="0.25">
      <c r="B26" s="209">
        <v>2008</v>
      </c>
      <c r="C26" s="212">
        <v>21642</v>
      </c>
      <c r="D26" s="212">
        <v>19090</v>
      </c>
      <c r="E26" s="212">
        <v>2232</v>
      </c>
      <c r="F26" s="214">
        <v>319.60000000000002</v>
      </c>
      <c r="G26" s="214" t="s">
        <v>308</v>
      </c>
      <c r="H26" s="214" t="s">
        <v>308</v>
      </c>
      <c r="I26" s="214" t="s">
        <v>308</v>
      </c>
      <c r="J26" s="214" t="s">
        <v>308</v>
      </c>
      <c r="K26" s="279" t="s">
        <v>308</v>
      </c>
      <c r="L26" s="282"/>
      <c r="M26" s="282"/>
      <c r="N26" s="282"/>
      <c r="O26" s="282"/>
      <c r="P26" s="282"/>
      <c r="Q26" s="282"/>
    </row>
    <row r="27" spans="2:17" x14ac:dyDescent="0.25">
      <c r="B27" s="209">
        <v>2009</v>
      </c>
      <c r="C27" s="212">
        <v>18869</v>
      </c>
      <c r="D27" s="212">
        <v>16289</v>
      </c>
      <c r="E27" s="212">
        <v>2308</v>
      </c>
      <c r="F27" s="214">
        <v>269.2</v>
      </c>
      <c r="G27" s="214" t="s">
        <v>308</v>
      </c>
      <c r="H27" s="214">
        <v>2.1</v>
      </c>
      <c r="I27" s="214" t="s">
        <v>308</v>
      </c>
      <c r="J27" s="214" t="s">
        <v>308</v>
      </c>
      <c r="K27" s="279" t="s">
        <v>308</v>
      </c>
      <c r="L27" s="282"/>
      <c r="M27" s="282"/>
      <c r="N27" s="282"/>
      <c r="O27" s="282"/>
      <c r="P27" s="282"/>
      <c r="Q27" s="282"/>
    </row>
    <row r="28" spans="2:17" x14ac:dyDescent="0.25">
      <c r="B28" s="209">
        <v>2010</v>
      </c>
      <c r="C28" s="212">
        <v>18710</v>
      </c>
      <c r="D28" s="212">
        <v>15003</v>
      </c>
      <c r="E28" s="212">
        <v>3446</v>
      </c>
      <c r="F28" s="214">
        <v>259.7</v>
      </c>
      <c r="G28" s="214" t="s">
        <v>308</v>
      </c>
      <c r="H28" s="214">
        <v>0.5</v>
      </c>
      <c r="I28" s="214" t="s">
        <v>308</v>
      </c>
      <c r="J28" s="214" t="s">
        <v>308</v>
      </c>
      <c r="K28" s="279" t="s">
        <v>308</v>
      </c>
      <c r="L28" s="282"/>
      <c r="M28" s="282"/>
      <c r="N28" s="282"/>
      <c r="O28" s="282"/>
      <c r="P28" s="282"/>
      <c r="Q28" s="282"/>
    </row>
    <row r="29" spans="2:17" x14ac:dyDescent="0.25">
      <c r="B29" s="209">
        <v>2011</v>
      </c>
      <c r="C29" s="212">
        <v>20294</v>
      </c>
      <c r="D29" s="212">
        <v>17317</v>
      </c>
      <c r="E29" s="212">
        <v>2676</v>
      </c>
      <c r="F29" s="215">
        <v>301</v>
      </c>
      <c r="G29" s="214" t="s">
        <v>308</v>
      </c>
      <c r="H29" s="214" t="s">
        <v>308</v>
      </c>
      <c r="I29" s="214" t="s">
        <v>308</v>
      </c>
      <c r="J29" s="214" t="s">
        <v>308</v>
      </c>
      <c r="K29" s="279" t="s">
        <v>308</v>
      </c>
      <c r="L29" s="282"/>
      <c r="M29" s="282"/>
      <c r="N29" s="282"/>
      <c r="O29" s="282"/>
      <c r="P29" s="282"/>
      <c r="Q29" s="282"/>
    </row>
    <row r="30" spans="2:17" x14ac:dyDescent="0.25">
      <c r="B30" s="209">
        <v>2012</v>
      </c>
      <c r="C30" s="212">
        <v>22988</v>
      </c>
      <c r="D30" s="212">
        <v>19537</v>
      </c>
      <c r="E30" s="212">
        <v>1821</v>
      </c>
      <c r="F30" s="212">
        <v>1630</v>
      </c>
      <c r="G30" s="214" t="s">
        <v>308</v>
      </c>
      <c r="H30" s="214" t="s">
        <v>308</v>
      </c>
      <c r="I30" s="214" t="s">
        <v>308</v>
      </c>
      <c r="J30" s="214" t="s">
        <v>308</v>
      </c>
      <c r="K30" s="279" t="s">
        <v>308</v>
      </c>
      <c r="L30" s="282"/>
      <c r="M30" s="282"/>
      <c r="N30" s="282"/>
      <c r="O30" s="282"/>
      <c r="P30" s="282"/>
      <c r="Q30" s="282"/>
    </row>
    <row r="31" spans="2:17" x14ac:dyDescent="0.25">
      <c r="B31" s="209">
        <v>2013</v>
      </c>
      <c r="C31" s="208">
        <v>23354.400000000001</v>
      </c>
      <c r="D31" s="208">
        <v>20065.599999999999</v>
      </c>
      <c r="E31" s="208">
        <v>1489.1</v>
      </c>
      <c r="F31" s="208">
        <v>1664</v>
      </c>
      <c r="G31" s="214" t="s">
        <v>308</v>
      </c>
      <c r="H31" s="214">
        <v>0.8</v>
      </c>
      <c r="I31" s="214">
        <v>0.8</v>
      </c>
      <c r="J31" s="208">
        <v>134.1</v>
      </c>
      <c r="K31" s="279" t="s">
        <v>308</v>
      </c>
      <c r="L31" s="282"/>
      <c r="M31" s="282"/>
      <c r="N31" s="282"/>
      <c r="O31" s="282"/>
      <c r="P31" s="282"/>
      <c r="Q31" s="282"/>
    </row>
    <row r="32" spans="2:17" x14ac:dyDescent="0.25">
      <c r="B32" s="209">
        <v>2014</v>
      </c>
      <c r="C32" s="208">
        <v>24727.7</v>
      </c>
      <c r="D32" s="208">
        <v>21401.200000000001</v>
      </c>
      <c r="E32" s="208">
        <v>1299.7</v>
      </c>
      <c r="F32" s="208">
        <v>1848.1</v>
      </c>
      <c r="G32" s="214" t="s">
        <v>308</v>
      </c>
      <c r="H32" s="214">
        <v>2.2999999999999998</v>
      </c>
      <c r="I32" s="214">
        <v>2.9</v>
      </c>
      <c r="J32" s="208">
        <v>173.5</v>
      </c>
      <c r="K32" s="279" t="s">
        <v>308</v>
      </c>
      <c r="L32" s="282"/>
      <c r="M32" s="282"/>
      <c r="N32" s="282"/>
      <c r="O32" s="282"/>
      <c r="P32" s="282"/>
      <c r="Q32" s="282"/>
    </row>
    <row r="33" spans="2:17" x14ac:dyDescent="0.25">
      <c r="B33" s="209">
        <v>2015</v>
      </c>
      <c r="C33" s="208">
        <v>24688.400000000001</v>
      </c>
      <c r="D33" s="208">
        <v>20904.599999999999</v>
      </c>
      <c r="E33" s="208">
        <v>1637.5</v>
      </c>
      <c r="F33" s="208">
        <v>1955.3</v>
      </c>
      <c r="G33" s="214" t="s">
        <v>308</v>
      </c>
      <c r="H33" s="214">
        <v>4.5999999999999996</v>
      </c>
      <c r="I33" s="214">
        <v>4.5999999999999996</v>
      </c>
      <c r="J33" s="208">
        <v>181.8</v>
      </c>
      <c r="K33" s="206">
        <v>5.0000000000000001E-4</v>
      </c>
      <c r="L33" s="282"/>
      <c r="M33" s="282"/>
      <c r="N33" s="282"/>
      <c r="O33" s="282"/>
      <c r="P33" s="282"/>
      <c r="Q33" s="282"/>
    </row>
    <row r="34" spans="2:17" x14ac:dyDescent="0.25">
      <c r="B34" s="209">
        <v>2016</v>
      </c>
      <c r="C34" s="208">
        <v>24952.9</v>
      </c>
      <c r="D34" s="208">
        <v>20699</v>
      </c>
      <c r="E34" s="208">
        <v>1959.3</v>
      </c>
      <c r="F34" s="208">
        <v>2062</v>
      </c>
      <c r="G34" s="214" t="s">
        <v>308</v>
      </c>
      <c r="H34" s="208">
        <v>22.8</v>
      </c>
      <c r="I34" s="208">
        <v>35.299999999999997</v>
      </c>
      <c r="J34" s="208">
        <v>174.5</v>
      </c>
      <c r="K34" s="206">
        <v>2.0000000000000001E-4</v>
      </c>
      <c r="L34" s="282"/>
      <c r="M34" s="282"/>
      <c r="N34" s="282"/>
      <c r="O34" s="282"/>
      <c r="P34" s="282"/>
      <c r="Q34" s="282"/>
    </row>
    <row r="35" spans="2:17" x14ac:dyDescent="0.25">
      <c r="B35" s="209">
        <v>2017</v>
      </c>
      <c r="C35" s="208">
        <v>24320.9</v>
      </c>
      <c r="D35" s="208">
        <v>20445.400000000001</v>
      </c>
      <c r="E35" s="208">
        <v>1746.4</v>
      </c>
      <c r="F35" s="208">
        <v>1899.5</v>
      </c>
      <c r="G35" s="214" t="s">
        <v>308</v>
      </c>
      <c r="H35" s="208">
        <v>22.1</v>
      </c>
      <c r="I35" s="208">
        <v>37.200000000000003</v>
      </c>
      <c r="J35" s="208">
        <v>170.3</v>
      </c>
      <c r="K35" s="206">
        <v>4.0000000000000002E-4</v>
      </c>
      <c r="L35" s="282"/>
      <c r="M35" s="282"/>
      <c r="N35" s="282"/>
      <c r="O35" s="282"/>
      <c r="P35" s="282"/>
      <c r="Q35" s="282"/>
    </row>
    <row r="36" spans="2:17" ht="14.4" thickBot="1" x14ac:dyDescent="0.3">
      <c r="B36" s="283">
        <v>2018</v>
      </c>
      <c r="C36" s="284">
        <v>25229.200000000001</v>
      </c>
      <c r="D36" s="284">
        <v>21242.9</v>
      </c>
      <c r="E36" s="284">
        <v>1768</v>
      </c>
      <c r="F36" s="284">
        <v>1934.1</v>
      </c>
      <c r="G36" s="285" t="s">
        <v>308</v>
      </c>
      <c r="H36" s="284">
        <v>82.7</v>
      </c>
      <c r="I36" s="284">
        <v>39.299999999999997</v>
      </c>
      <c r="J36" s="284">
        <v>162.19999999999999</v>
      </c>
      <c r="K36" s="286">
        <v>5.9999999999999995E-4</v>
      </c>
      <c r="L36" s="282"/>
      <c r="M36" s="282"/>
      <c r="N36" s="282"/>
      <c r="O36" s="282"/>
      <c r="P36" s="282"/>
      <c r="Q36" s="282"/>
    </row>
    <row r="37" spans="2:17" x14ac:dyDescent="0.25">
      <c r="B37" s="287"/>
      <c r="C37" s="287"/>
      <c r="D37" s="287"/>
      <c r="E37" s="287"/>
      <c r="F37" s="287"/>
      <c r="G37" s="282"/>
      <c r="H37" s="282"/>
      <c r="I37" s="282"/>
      <c r="J37" s="282"/>
      <c r="K37" s="282"/>
      <c r="L37" s="282"/>
      <c r="M37" s="282"/>
      <c r="N37" s="282"/>
      <c r="O37" s="282"/>
      <c r="P37" s="282"/>
      <c r="Q37" s="282"/>
    </row>
    <row r="38" spans="2:17" x14ac:dyDescent="0.25">
      <c r="B38" s="287"/>
      <c r="C38" s="287"/>
      <c r="D38" s="287"/>
      <c r="E38" s="287"/>
      <c r="F38" s="287"/>
      <c r="G38" s="282"/>
      <c r="H38" s="282"/>
      <c r="I38" s="282"/>
      <c r="J38" s="282"/>
      <c r="K38" s="282"/>
      <c r="L38" s="282"/>
      <c r="M38" s="282"/>
      <c r="N38" s="282"/>
      <c r="O38" s="282"/>
      <c r="P38" s="282"/>
      <c r="Q38" s="282"/>
    </row>
    <row r="39" spans="2:17" x14ac:dyDescent="0.25">
      <c r="B39" s="287"/>
      <c r="C39" s="287"/>
      <c r="D39" s="287"/>
      <c r="E39" s="287"/>
      <c r="F39" s="287"/>
      <c r="G39" s="282"/>
      <c r="H39" s="282"/>
      <c r="I39" s="282"/>
      <c r="J39" s="282"/>
      <c r="K39" s="282"/>
      <c r="L39" s="282"/>
      <c r="M39" s="282"/>
      <c r="N39" s="282"/>
      <c r="O39" s="282"/>
      <c r="P39" s="282"/>
      <c r="Q39" s="282"/>
    </row>
    <row r="40" spans="2:17" x14ac:dyDescent="0.25">
      <c r="B40" s="287"/>
      <c r="C40" s="287"/>
      <c r="D40" s="287"/>
      <c r="E40" s="287"/>
      <c r="F40" s="287"/>
      <c r="G40" s="282"/>
      <c r="H40" s="282"/>
      <c r="I40" s="282"/>
      <c r="J40" s="282"/>
      <c r="K40" s="282"/>
      <c r="L40" s="282"/>
      <c r="M40" s="282"/>
      <c r="N40" s="282"/>
      <c r="O40" s="282"/>
      <c r="P40" s="282"/>
      <c r="Q40" s="282"/>
    </row>
    <row r="41" spans="2:17" x14ac:dyDescent="0.25">
      <c r="B41" s="287"/>
      <c r="C41" s="287"/>
      <c r="D41" s="287"/>
      <c r="E41" s="287"/>
      <c r="F41" s="287"/>
      <c r="G41" s="282"/>
      <c r="H41" s="282"/>
      <c r="I41" s="282"/>
      <c r="J41" s="282"/>
      <c r="K41" s="282"/>
      <c r="L41" s="282"/>
      <c r="M41" s="282"/>
      <c r="N41" s="282"/>
      <c r="O41" s="282"/>
      <c r="P41" s="282"/>
      <c r="Q41" s="282"/>
    </row>
    <row r="42" spans="2:17" x14ac:dyDescent="0.25">
      <c r="B42" s="287"/>
      <c r="C42" s="287"/>
      <c r="D42" s="287"/>
      <c r="E42" s="287"/>
      <c r="F42" s="287"/>
      <c r="G42" s="282"/>
      <c r="H42" s="282"/>
      <c r="I42" s="282"/>
      <c r="J42" s="282"/>
      <c r="K42" s="282"/>
      <c r="L42" s="282"/>
      <c r="M42" s="282"/>
      <c r="N42" s="282"/>
      <c r="O42" s="282"/>
      <c r="P42" s="282"/>
      <c r="Q42" s="282"/>
    </row>
    <row r="43" spans="2:17" x14ac:dyDescent="0.25">
      <c r="B43" s="287"/>
      <c r="C43" s="287"/>
      <c r="D43" s="287"/>
      <c r="E43" s="287"/>
      <c r="F43" s="287"/>
      <c r="G43" s="282"/>
      <c r="H43" s="282"/>
      <c r="I43" s="282"/>
      <c r="J43" s="282"/>
      <c r="K43" s="282"/>
      <c r="L43" s="282"/>
      <c r="M43" s="282"/>
      <c r="N43" s="282"/>
      <c r="O43" s="282"/>
      <c r="P43" s="282"/>
      <c r="Q43" s="282"/>
    </row>
    <row r="44" spans="2:17" x14ac:dyDescent="0.25">
      <c r="B44" s="287"/>
      <c r="C44" s="287"/>
      <c r="D44" s="287"/>
      <c r="E44" s="287"/>
      <c r="F44" s="287"/>
      <c r="G44" s="282"/>
      <c r="H44" s="282"/>
      <c r="I44" s="282"/>
      <c r="J44" s="282"/>
      <c r="K44" s="282"/>
      <c r="L44" s="282"/>
      <c r="M44" s="282"/>
      <c r="N44" s="282"/>
      <c r="O44" s="282"/>
      <c r="P44" s="282"/>
      <c r="Q44" s="282"/>
    </row>
    <row r="45" spans="2:17" x14ac:dyDescent="0.25">
      <c r="B45" s="287"/>
      <c r="C45" s="287"/>
      <c r="D45" s="287"/>
      <c r="E45" s="287"/>
      <c r="F45" s="287"/>
      <c r="G45" s="282"/>
      <c r="H45" s="282"/>
      <c r="I45" s="282"/>
      <c r="J45" s="282"/>
      <c r="K45" s="282"/>
      <c r="L45" s="282"/>
      <c r="M45" s="282"/>
      <c r="N45" s="282"/>
      <c r="O45" s="282"/>
      <c r="P45" s="282"/>
      <c r="Q45" s="282"/>
    </row>
    <row r="46" spans="2:17" x14ac:dyDescent="0.25">
      <c r="B46" s="287"/>
      <c r="C46" s="287"/>
      <c r="D46" s="287"/>
      <c r="E46" s="287"/>
      <c r="F46" s="287"/>
      <c r="G46" s="282"/>
      <c r="H46" s="282"/>
      <c r="I46" s="282"/>
      <c r="J46" s="282"/>
      <c r="K46" s="282"/>
      <c r="L46" s="282"/>
      <c r="M46" s="282"/>
      <c r="N46" s="282"/>
      <c r="O46" s="282"/>
      <c r="P46" s="282"/>
      <c r="Q46" s="282"/>
    </row>
    <row r="47" spans="2:17" x14ac:dyDescent="0.25">
      <c r="B47" s="287"/>
      <c r="C47" s="287"/>
      <c r="D47" s="287"/>
      <c r="E47" s="287"/>
      <c r="F47" s="287"/>
      <c r="G47" s="282"/>
      <c r="H47" s="282"/>
      <c r="I47" s="282"/>
      <c r="J47" s="282"/>
      <c r="K47" s="282"/>
      <c r="L47" s="282"/>
      <c r="M47" s="282"/>
      <c r="N47" s="282"/>
      <c r="O47" s="282"/>
      <c r="P47" s="282"/>
      <c r="Q47" s="282"/>
    </row>
    <row r="48" spans="2:17" x14ac:dyDescent="0.25">
      <c r="B48" s="287"/>
      <c r="C48" s="287"/>
      <c r="D48" s="287"/>
      <c r="E48" s="287"/>
      <c r="F48" s="287"/>
      <c r="G48" s="282"/>
      <c r="H48" s="282"/>
      <c r="I48" s="282"/>
      <c r="J48" s="282"/>
      <c r="K48" s="282"/>
      <c r="L48" s="282"/>
      <c r="M48" s="282"/>
      <c r="N48" s="282"/>
      <c r="O48" s="282"/>
      <c r="P48" s="282"/>
      <c r="Q48" s="282"/>
    </row>
    <row r="49" spans="2:17" x14ac:dyDescent="0.25">
      <c r="B49" s="287"/>
      <c r="C49" s="287"/>
      <c r="D49" s="287"/>
      <c r="E49" s="287"/>
      <c r="F49" s="287"/>
      <c r="G49" s="282"/>
      <c r="H49" s="282"/>
      <c r="I49" s="282"/>
      <c r="J49" s="282"/>
      <c r="K49" s="282"/>
      <c r="L49" s="282"/>
      <c r="M49" s="282"/>
      <c r="N49" s="282"/>
      <c r="O49" s="282"/>
      <c r="P49" s="282"/>
      <c r="Q49" s="282"/>
    </row>
    <row r="50" spans="2:17" x14ac:dyDescent="0.25">
      <c r="B50" s="287"/>
      <c r="C50" s="287"/>
      <c r="D50" s="287"/>
      <c r="E50" s="287"/>
      <c r="F50" s="287"/>
      <c r="G50" s="282"/>
      <c r="H50" s="282"/>
      <c r="I50" s="282"/>
      <c r="J50" s="282"/>
      <c r="K50" s="282"/>
      <c r="L50" s="282"/>
      <c r="M50" s="282"/>
      <c r="N50" s="282"/>
      <c r="O50" s="282"/>
      <c r="P50" s="282"/>
      <c r="Q50" s="282"/>
    </row>
    <row r="51" spans="2:17" x14ac:dyDescent="0.25">
      <c r="B51" s="287"/>
      <c r="C51" s="287"/>
      <c r="D51" s="287"/>
      <c r="E51" s="287"/>
      <c r="F51" s="287"/>
      <c r="G51" s="282"/>
      <c r="H51" s="282"/>
      <c r="I51" s="282"/>
      <c r="J51" s="282"/>
      <c r="K51" s="282"/>
      <c r="L51" s="282"/>
      <c r="M51" s="282"/>
      <c r="N51" s="282"/>
      <c r="O51" s="282"/>
      <c r="P51" s="282"/>
      <c r="Q51" s="282"/>
    </row>
    <row r="52" spans="2:17" x14ac:dyDescent="0.25">
      <c r="B52" s="287"/>
      <c r="C52" s="287"/>
      <c r="D52" s="287"/>
      <c r="E52" s="287"/>
      <c r="F52" s="287"/>
      <c r="G52" s="282"/>
      <c r="H52" s="282"/>
      <c r="I52" s="282"/>
      <c r="J52" s="282"/>
      <c r="K52" s="282"/>
      <c r="L52" s="282"/>
      <c r="M52" s="282"/>
      <c r="N52" s="282"/>
      <c r="O52" s="282"/>
      <c r="P52" s="282"/>
      <c r="Q52" s="282"/>
    </row>
    <row r="53" spans="2:17" x14ac:dyDescent="0.25">
      <c r="B53" s="287"/>
      <c r="C53" s="287"/>
      <c r="D53" s="287"/>
      <c r="E53" s="287"/>
      <c r="F53" s="287"/>
      <c r="G53" s="282"/>
      <c r="H53" s="282"/>
      <c r="I53" s="282"/>
      <c r="J53" s="282"/>
      <c r="K53" s="282"/>
      <c r="L53" s="282"/>
      <c r="M53" s="282"/>
      <c r="N53" s="282"/>
      <c r="O53" s="282"/>
      <c r="P53" s="282"/>
      <c r="Q53" s="282"/>
    </row>
    <row r="54" spans="2:17" x14ac:dyDescent="0.25">
      <c r="B54" s="287"/>
      <c r="C54" s="287"/>
      <c r="D54" s="287"/>
      <c r="E54" s="287"/>
      <c r="F54" s="287"/>
      <c r="G54" s="282"/>
      <c r="H54" s="282"/>
      <c r="I54" s="282"/>
      <c r="J54" s="282"/>
      <c r="K54" s="282"/>
      <c r="L54" s="282"/>
      <c r="M54" s="282"/>
      <c r="N54" s="282"/>
      <c r="O54" s="282"/>
      <c r="P54" s="282"/>
      <c r="Q54" s="282"/>
    </row>
    <row r="55" spans="2:17" x14ac:dyDescent="0.25">
      <c r="B55" s="287"/>
      <c r="C55" s="287"/>
      <c r="D55" s="287"/>
      <c r="E55" s="287"/>
      <c r="F55" s="287"/>
      <c r="G55" s="282"/>
      <c r="H55" s="282"/>
      <c r="I55" s="282"/>
      <c r="J55" s="282"/>
      <c r="K55" s="282"/>
      <c r="L55" s="282"/>
      <c r="M55" s="282"/>
      <c r="N55" s="282"/>
      <c r="O55" s="282"/>
      <c r="P55" s="282"/>
      <c r="Q55" s="282"/>
    </row>
    <row r="56" spans="2:17" x14ac:dyDescent="0.25">
      <c r="B56" s="287"/>
      <c r="C56" s="287"/>
      <c r="D56" s="287"/>
      <c r="E56" s="287"/>
      <c r="F56" s="287"/>
      <c r="G56" s="282"/>
      <c r="H56" s="282"/>
      <c r="I56" s="282"/>
      <c r="J56" s="282"/>
      <c r="K56" s="282"/>
      <c r="L56" s="282"/>
      <c r="M56" s="282"/>
      <c r="N56" s="282"/>
      <c r="O56" s="282"/>
      <c r="P56" s="282"/>
      <c r="Q56" s="282"/>
    </row>
    <row r="57" spans="2:17" x14ac:dyDescent="0.25">
      <c r="B57" s="287"/>
      <c r="C57" s="287"/>
      <c r="D57" s="287"/>
      <c r="E57" s="287"/>
      <c r="F57" s="287"/>
      <c r="G57" s="282"/>
      <c r="H57" s="282"/>
      <c r="I57" s="282"/>
      <c r="J57" s="282"/>
      <c r="K57" s="282"/>
      <c r="L57" s="282"/>
      <c r="M57" s="282"/>
      <c r="N57" s="282"/>
      <c r="O57" s="282"/>
      <c r="P57" s="282"/>
      <c r="Q57" s="282"/>
    </row>
    <row r="58" spans="2:17" x14ac:dyDescent="0.25">
      <c r="B58" s="287"/>
      <c r="C58" s="287"/>
      <c r="D58" s="287"/>
      <c r="E58" s="287"/>
      <c r="F58" s="287"/>
      <c r="G58" s="282"/>
      <c r="H58" s="282"/>
      <c r="I58" s="282"/>
      <c r="J58" s="282"/>
      <c r="K58" s="282"/>
      <c r="L58" s="282"/>
      <c r="M58" s="282"/>
      <c r="N58" s="282"/>
      <c r="O58" s="282"/>
      <c r="P58" s="282"/>
      <c r="Q58" s="282"/>
    </row>
    <row r="59" spans="2:17" x14ac:dyDescent="0.25">
      <c r="B59" s="287"/>
      <c r="C59" s="287"/>
      <c r="D59" s="287"/>
      <c r="E59" s="287"/>
      <c r="F59" s="287"/>
      <c r="G59" s="282"/>
      <c r="H59" s="282"/>
      <c r="I59" s="282"/>
      <c r="J59" s="282"/>
      <c r="K59" s="282"/>
      <c r="L59" s="282"/>
      <c r="M59" s="282"/>
      <c r="N59" s="282"/>
      <c r="O59" s="282"/>
      <c r="P59" s="282"/>
      <c r="Q59" s="282"/>
    </row>
    <row r="60" spans="2:17" x14ac:dyDescent="0.25">
      <c r="B60" s="287"/>
      <c r="C60" s="287"/>
      <c r="D60" s="287"/>
      <c r="E60" s="287"/>
      <c r="F60" s="287"/>
      <c r="G60" s="282"/>
      <c r="H60" s="282"/>
      <c r="I60" s="282"/>
      <c r="J60" s="282"/>
      <c r="K60" s="282"/>
      <c r="L60" s="282"/>
      <c r="M60" s="282"/>
      <c r="N60" s="282"/>
      <c r="O60" s="282"/>
      <c r="P60" s="282"/>
      <c r="Q60" s="282"/>
    </row>
    <row r="61" spans="2:17" x14ac:dyDescent="0.25">
      <c r="B61" s="287"/>
      <c r="C61" s="287"/>
      <c r="D61" s="287"/>
      <c r="E61" s="287"/>
      <c r="F61" s="287"/>
      <c r="G61" s="282"/>
      <c r="H61" s="282"/>
      <c r="I61" s="282"/>
      <c r="J61" s="282"/>
      <c r="K61" s="282"/>
      <c r="L61" s="282"/>
      <c r="M61" s="282"/>
      <c r="N61" s="282"/>
      <c r="O61" s="282"/>
      <c r="P61" s="282"/>
      <c r="Q61" s="282"/>
    </row>
    <row r="62" spans="2:17" x14ac:dyDescent="0.25">
      <c r="B62" s="287"/>
      <c r="C62" s="287"/>
      <c r="D62" s="287"/>
      <c r="E62" s="287"/>
      <c r="F62" s="287"/>
      <c r="G62" s="282"/>
      <c r="H62" s="282"/>
      <c r="I62" s="282"/>
      <c r="J62" s="282"/>
      <c r="K62" s="282"/>
      <c r="L62" s="282"/>
      <c r="M62" s="282"/>
      <c r="N62" s="282"/>
      <c r="O62" s="282"/>
      <c r="P62" s="282"/>
      <c r="Q62" s="282"/>
    </row>
    <row r="63" spans="2:17" x14ac:dyDescent="0.25">
      <c r="B63" s="287"/>
      <c r="C63" s="287"/>
      <c r="D63" s="287"/>
      <c r="E63" s="287"/>
      <c r="F63" s="287"/>
      <c r="G63" s="282"/>
      <c r="H63" s="282"/>
      <c r="I63" s="282"/>
      <c r="J63" s="282"/>
      <c r="K63" s="282"/>
      <c r="L63" s="282"/>
      <c r="M63" s="282"/>
      <c r="N63" s="282"/>
      <c r="O63" s="282"/>
      <c r="P63" s="282"/>
      <c r="Q63" s="282"/>
    </row>
    <row r="64" spans="2:17" x14ac:dyDescent="0.25">
      <c r="B64" s="287"/>
      <c r="C64" s="287"/>
      <c r="D64" s="287"/>
      <c r="E64" s="287"/>
      <c r="F64" s="287"/>
      <c r="G64" s="282"/>
      <c r="H64" s="282"/>
      <c r="I64" s="282"/>
      <c r="J64" s="282"/>
      <c r="K64" s="282"/>
      <c r="L64" s="282"/>
      <c r="M64" s="282"/>
      <c r="N64" s="282"/>
      <c r="O64" s="282"/>
      <c r="P64" s="282"/>
      <c r="Q64" s="282"/>
    </row>
    <row r="65" spans="2:17" x14ac:dyDescent="0.25">
      <c r="B65" s="287"/>
      <c r="C65" s="287"/>
      <c r="D65" s="287"/>
      <c r="E65" s="287"/>
      <c r="F65" s="287"/>
      <c r="G65" s="282"/>
      <c r="H65" s="282"/>
      <c r="I65" s="282"/>
      <c r="J65" s="282"/>
      <c r="K65" s="282"/>
      <c r="L65" s="282"/>
      <c r="M65" s="282"/>
      <c r="N65" s="282"/>
      <c r="O65" s="282"/>
      <c r="P65" s="282"/>
      <c r="Q65" s="282"/>
    </row>
    <row r="66" spans="2:17" x14ac:dyDescent="0.25">
      <c r="B66" s="287"/>
      <c r="C66" s="287"/>
      <c r="D66" s="287"/>
      <c r="E66" s="287"/>
      <c r="F66" s="287"/>
      <c r="G66" s="282"/>
      <c r="H66" s="282"/>
      <c r="I66" s="282"/>
      <c r="J66" s="282"/>
      <c r="K66" s="282"/>
      <c r="L66" s="282"/>
      <c r="M66" s="282"/>
      <c r="N66" s="282"/>
      <c r="O66" s="282"/>
      <c r="P66" s="282"/>
      <c r="Q66" s="282"/>
    </row>
    <row r="67" spans="2:17" x14ac:dyDescent="0.25">
      <c r="B67" s="287"/>
      <c r="C67" s="287"/>
      <c r="D67" s="287"/>
      <c r="E67" s="287"/>
      <c r="F67" s="287"/>
      <c r="G67" s="282"/>
      <c r="H67" s="282"/>
      <c r="I67" s="282"/>
      <c r="J67" s="282"/>
      <c r="K67" s="282"/>
      <c r="L67" s="282"/>
      <c r="M67" s="282"/>
      <c r="N67" s="282"/>
      <c r="O67" s="282"/>
      <c r="P67" s="282"/>
      <c r="Q67" s="282"/>
    </row>
    <row r="68" spans="2:17" x14ac:dyDescent="0.25">
      <c r="B68" s="287"/>
      <c r="C68" s="287"/>
      <c r="D68" s="287"/>
      <c r="E68" s="287"/>
      <c r="F68" s="287"/>
      <c r="G68" s="282"/>
      <c r="H68" s="282"/>
      <c r="I68" s="282"/>
      <c r="J68" s="282"/>
      <c r="K68" s="282"/>
      <c r="L68" s="282"/>
      <c r="M68" s="282"/>
      <c r="N68" s="282"/>
      <c r="O68" s="282"/>
      <c r="P68" s="282"/>
      <c r="Q68" s="282"/>
    </row>
    <row r="69" spans="2:17" x14ac:dyDescent="0.25">
      <c r="B69" s="287"/>
      <c r="C69" s="287"/>
      <c r="D69" s="287"/>
      <c r="E69" s="287"/>
      <c r="F69" s="287"/>
      <c r="G69" s="282"/>
      <c r="H69" s="282"/>
      <c r="I69" s="282"/>
      <c r="J69" s="282"/>
      <c r="K69" s="282"/>
      <c r="L69" s="282"/>
      <c r="M69" s="282"/>
      <c r="N69" s="282"/>
      <c r="O69" s="282"/>
      <c r="P69" s="282"/>
      <c r="Q69" s="282"/>
    </row>
    <row r="70" spans="2:17" x14ac:dyDescent="0.25">
      <c r="B70" s="287"/>
      <c r="C70" s="287"/>
      <c r="D70" s="287"/>
      <c r="E70" s="287"/>
      <c r="F70" s="287"/>
      <c r="G70" s="282"/>
      <c r="H70" s="282"/>
      <c r="I70" s="282"/>
      <c r="J70" s="282"/>
      <c r="K70" s="282"/>
      <c r="L70" s="282"/>
      <c r="M70" s="282"/>
      <c r="N70" s="282"/>
      <c r="O70" s="282"/>
      <c r="P70" s="282"/>
      <c r="Q70" s="282"/>
    </row>
    <row r="71" spans="2:17" x14ac:dyDescent="0.25">
      <c r="B71" s="287"/>
      <c r="C71" s="287"/>
      <c r="D71" s="287"/>
      <c r="E71" s="287"/>
      <c r="F71" s="287"/>
      <c r="G71" s="282"/>
      <c r="H71" s="282"/>
      <c r="I71" s="282"/>
      <c r="J71" s="282"/>
      <c r="K71" s="282"/>
      <c r="L71" s="282"/>
      <c r="M71" s="282"/>
      <c r="N71" s="282"/>
      <c r="O71" s="282"/>
      <c r="P71" s="282"/>
      <c r="Q71" s="282"/>
    </row>
    <row r="72" spans="2:17" x14ac:dyDescent="0.25">
      <c r="B72" s="287"/>
      <c r="C72" s="287"/>
      <c r="D72" s="287"/>
      <c r="E72" s="287"/>
      <c r="F72" s="287"/>
      <c r="G72" s="282"/>
      <c r="H72" s="282"/>
      <c r="I72" s="282"/>
      <c r="J72" s="282"/>
      <c r="K72" s="282"/>
      <c r="L72" s="282"/>
      <c r="M72" s="282"/>
      <c r="N72" s="282"/>
      <c r="O72" s="282"/>
      <c r="P72" s="282"/>
      <c r="Q72" s="282"/>
    </row>
    <row r="73" spans="2:17" x14ac:dyDescent="0.25">
      <c r="B73" s="287"/>
      <c r="C73" s="287"/>
      <c r="D73" s="287"/>
      <c r="E73" s="287"/>
      <c r="F73" s="287"/>
      <c r="G73" s="282"/>
      <c r="H73" s="282"/>
      <c r="I73" s="282"/>
      <c r="J73" s="282"/>
      <c r="K73" s="282"/>
      <c r="L73" s="282"/>
      <c r="M73" s="282"/>
      <c r="N73" s="282"/>
      <c r="O73" s="282"/>
      <c r="P73" s="282"/>
      <c r="Q73" s="282"/>
    </row>
    <row r="74" spans="2:17" x14ac:dyDescent="0.25">
      <c r="B74" s="287"/>
      <c r="C74" s="287"/>
      <c r="D74" s="287"/>
      <c r="E74" s="287"/>
      <c r="F74" s="287"/>
      <c r="G74" s="282"/>
      <c r="H74" s="282"/>
      <c r="I74" s="282"/>
      <c r="J74" s="282"/>
      <c r="K74" s="282"/>
      <c r="L74" s="282"/>
      <c r="M74" s="282"/>
      <c r="N74" s="282"/>
      <c r="O74" s="282"/>
      <c r="P74" s="282"/>
      <c r="Q74" s="282"/>
    </row>
    <row r="75" spans="2:17" x14ac:dyDescent="0.25">
      <c r="B75" s="287"/>
      <c r="C75" s="287"/>
      <c r="D75" s="287"/>
      <c r="E75" s="287"/>
      <c r="F75" s="287"/>
      <c r="G75" s="282"/>
      <c r="H75" s="282"/>
      <c r="I75" s="282"/>
      <c r="J75" s="282"/>
      <c r="K75" s="282"/>
      <c r="L75" s="282"/>
      <c r="M75" s="282"/>
      <c r="N75" s="282"/>
      <c r="O75" s="282"/>
      <c r="P75" s="282"/>
      <c r="Q75" s="282"/>
    </row>
    <row r="76" spans="2:17" x14ac:dyDescent="0.25">
      <c r="B76" s="287"/>
      <c r="C76" s="287"/>
      <c r="D76" s="287"/>
      <c r="E76" s="287"/>
      <c r="F76" s="287"/>
      <c r="G76" s="282"/>
      <c r="H76" s="282"/>
      <c r="I76" s="282"/>
      <c r="J76" s="282"/>
      <c r="K76" s="282"/>
      <c r="L76" s="282"/>
      <c r="M76" s="282"/>
      <c r="N76" s="282"/>
      <c r="O76" s="282"/>
      <c r="P76" s="282"/>
      <c r="Q76" s="282"/>
    </row>
    <row r="77" spans="2:17" x14ac:dyDescent="0.25">
      <c r="B77" s="287"/>
      <c r="C77" s="287"/>
      <c r="D77" s="287"/>
      <c r="E77" s="287"/>
      <c r="F77" s="287"/>
      <c r="G77" s="282"/>
      <c r="H77" s="282"/>
      <c r="I77" s="282"/>
      <c r="J77" s="282"/>
      <c r="K77" s="282"/>
      <c r="L77" s="282"/>
      <c r="M77" s="282"/>
      <c r="N77" s="282"/>
      <c r="O77" s="282"/>
      <c r="P77" s="282"/>
      <c r="Q77" s="282"/>
    </row>
    <row r="78" spans="2:17" x14ac:dyDescent="0.25">
      <c r="B78" s="287"/>
      <c r="C78" s="287"/>
      <c r="D78" s="287"/>
      <c r="E78" s="287"/>
      <c r="F78" s="287"/>
      <c r="G78" s="282"/>
      <c r="H78" s="282"/>
      <c r="I78" s="282"/>
      <c r="J78" s="282"/>
      <c r="K78" s="282"/>
      <c r="L78" s="282"/>
      <c r="M78" s="282"/>
      <c r="N78" s="282"/>
      <c r="O78" s="282"/>
      <c r="P78" s="282"/>
      <c r="Q78" s="282"/>
    </row>
    <row r="79" spans="2:17" x14ac:dyDescent="0.25">
      <c r="B79" s="287"/>
      <c r="C79" s="287"/>
      <c r="D79" s="287"/>
      <c r="E79" s="287"/>
      <c r="F79" s="287"/>
      <c r="G79" s="282"/>
      <c r="H79" s="282"/>
      <c r="I79" s="282"/>
      <c r="J79" s="282"/>
      <c r="K79" s="282"/>
      <c r="L79" s="282"/>
      <c r="M79" s="282"/>
      <c r="N79" s="282"/>
      <c r="O79" s="282"/>
      <c r="P79" s="282"/>
      <c r="Q79" s="282"/>
    </row>
    <row r="80" spans="2:17" x14ac:dyDescent="0.25">
      <c r="B80" s="287"/>
      <c r="C80" s="287"/>
      <c r="D80" s="287"/>
      <c r="E80" s="287"/>
      <c r="F80" s="287"/>
      <c r="G80" s="282"/>
      <c r="H80" s="282"/>
      <c r="I80" s="282"/>
      <c r="J80" s="282"/>
      <c r="K80" s="282"/>
      <c r="L80" s="282"/>
      <c r="M80" s="282"/>
      <c r="N80" s="282"/>
      <c r="O80" s="282"/>
      <c r="P80" s="282"/>
      <c r="Q80" s="282"/>
    </row>
    <row r="81" spans="2:17" x14ac:dyDescent="0.25">
      <c r="B81" s="287"/>
      <c r="C81" s="287"/>
      <c r="D81" s="287"/>
      <c r="E81" s="287"/>
      <c r="F81" s="287"/>
      <c r="G81" s="282"/>
      <c r="H81" s="282"/>
      <c r="I81" s="282"/>
      <c r="J81" s="282"/>
      <c r="K81" s="282"/>
      <c r="L81" s="282"/>
      <c r="M81" s="282"/>
      <c r="N81" s="282"/>
      <c r="O81" s="282"/>
      <c r="P81" s="282"/>
      <c r="Q81" s="282"/>
    </row>
    <row r="82" spans="2:17" x14ac:dyDescent="0.25">
      <c r="B82" s="287"/>
      <c r="C82" s="287"/>
      <c r="D82" s="287"/>
      <c r="E82" s="287"/>
      <c r="F82" s="287"/>
      <c r="G82" s="282"/>
      <c r="H82" s="282"/>
      <c r="I82" s="282"/>
      <c r="J82" s="282"/>
      <c r="K82" s="282"/>
      <c r="L82" s="282"/>
      <c r="M82" s="282"/>
      <c r="N82" s="282"/>
      <c r="O82" s="282"/>
      <c r="P82" s="282"/>
      <c r="Q82" s="282"/>
    </row>
    <row r="83" spans="2:17" x14ac:dyDescent="0.25">
      <c r="B83" s="287"/>
      <c r="C83" s="287"/>
      <c r="D83" s="287"/>
      <c r="E83" s="287"/>
      <c r="F83" s="287"/>
      <c r="G83" s="282"/>
      <c r="H83" s="282"/>
      <c r="I83" s="282"/>
      <c r="J83" s="282"/>
      <c r="K83" s="282"/>
      <c r="L83" s="282"/>
      <c r="M83" s="282"/>
      <c r="N83" s="282"/>
      <c r="O83" s="282"/>
      <c r="P83" s="282"/>
      <c r="Q83" s="282"/>
    </row>
    <row r="84" spans="2:17" x14ac:dyDescent="0.25">
      <c r="B84" s="287"/>
      <c r="C84" s="287"/>
      <c r="D84" s="287"/>
      <c r="E84" s="287"/>
      <c r="F84" s="287"/>
      <c r="G84" s="282"/>
      <c r="H84" s="282"/>
      <c r="I84" s="282"/>
      <c r="J84" s="282"/>
      <c r="K84" s="282"/>
      <c r="L84" s="282"/>
      <c r="M84" s="282"/>
      <c r="N84" s="282"/>
      <c r="O84" s="282"/>
      <c r="P84" s="282"/>
      <c r="Q84" s="282"/>
    </row>
    <row r="85" spans="2:17" x14ac:dyDescent="0.25">
      <c r="B85" s="287"/>
      <c r="C85" s="287"/>
      <c r="D85" s="287"/>
      <c r="E85" s="287"/>
      <c r="F85" s="287"/>
      <c r="G85" s="282"/>
      <c r="H85" s="282"/>
      <c r="I85" s="282"/>
      <c r="J85" s="282"/>
      <c r="K85" s="282"/>
      <c r="L85" s="282"/>
      <c r="M85" s="282"/>
      <c r="N85" s="282"/>
      <c r="O85" s="282"/>
      <c r="P85" s="282"/>
      <c r="Q85" s="282"/>
    </row>
    <row r="86" spans="2:17" x14ac:dyDescent="0.25">
      <c r="B86" s="287"/>
      <c r="C86" s="287"/>
      <c r="D86" s="287"/>
      <c r="E86" s="287"/>
      <c r="F86" s="287"/>
      <c r="G86" s="282"/>
      <c r="H86" s="282"/>
      <c r="I86" s="282"/>
      <c r="J86" s="282"/>
      <c r="K86" s="282"/>
      <c r="L86" s="282"/>
      <c r="M86" s="282"/>
      <c r="N86" s="282"/>
      <c r="O86" s="282"/>
      <c r="P86" s="282"/>
      <c r="Q86" s="282"/>
    </row>
    <row r="87" spans="2:17" x14ac:dyDescent="0.25">
      <c r="B87" s="287"/>
      <c r="C87" s="287"/>
      <c r="D87" s="287"/>
      <c r="E87" s="287"/>
      <c r="F87" s="287"/>
      <c r="G87" s="282"/>
      <c r="H87" s="282"/>
      <c r="I87" s="282"/>
      <c r="J87" s="282"/>
      <c r="K87" s="282"/>
      <c r="L87" s="282"/>
      <c r="M87" s="282"/>
      <c r="N87" s="282"/>
      <c r="O87" s="282"/>
      <c r="P87" s="282"/>
      <c r="Q87" s="282"/>
    </row>
  </sheetData>
  <mergeCells count="12">
    <mergeCell ref="J5:J7"/>
    <mergeCell ref="K5:K7"/>
    <mergeCell ref="B2:K2"/>
    <mergeCell ref="B4:B7"/>
    <mergeCell ref="C4:C7"/>
    <mergeCell ref="D4:K4"/>
    <mergeCell ref="D5:D7"/>
    <mergeCell ref="E5:E7"/>
    <mergeCell ref="F5:F7"/>
    <mergeCell ref="G5:G7"/>
    <mergeCell ref="H5:H7"/>
    <mergeCell ref="I5:I7"/>
  </mergeCell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EF1EE3E-E1EA-4B82-9F97-D8E8145CB093}"/>
</file>

<file path=customXml/itemProps2.xml><?xml version="1.0" encoding="utf-8"?>
<ds:datastoreItem xmlns:ds="http://schemas.openxmlformats.org/officeDocument/2006/customXml" ds:itemID="{726A63C6-B27E-4CE8-97CB-FCCCFF5400A5}"/>
</file>

<file path=customXml/itemProps3.xml><?xml version="1.0" encoding="utf-8"?>
<ds:datastoreItem xmlns:ds="http://schemas.openxmlformats.org/officeDocument/2006/customXml" ds:itemID="{161EECDC-A00C-4AA3-ADCA-445C6C3E824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27</vt:i4>
      </vt:variant>
    </vt:vector>
  </HeadingPairs>
  <TitlesOfParts>
    <vt:vector size="40" baseType="lpstr">
      <vt:lpstr>LOG</vt:lpstr>
      <vt:lpstr>Comm</vt:lpstr>
      <vt:lpstr>Proc</vt:lpstr>
      <vt:lpstr>Tech</vt:lpstr>
      <vt:lpstr>Emis</vt:lpstr>
      <vt:lpstr>Fuel Tech</vt:lpstr>
      <vt:lpstr>PP List</vt:lpstr>
      <vt:lpstr>5.3</vt:lpstr>
      <vt:lpstr>5.4</vt:lpstr>
      <vt:lpstr>2.10</vt:lpstr>
      <vt:lpstr>ELC_TechsR_ELC</vt:lpstr>
      <vt:lpstr>ELC_TechsR_DHC</vt:lpstr>
      <vt:lpstr>ELC_TechsR_DHD</vt:lpstr>
      <vt:lpstr>ActUnit_P</vt:lpstr>
      <vt:lpstr>AFA_3</vt:lpstr>
      <vt:lpstr>CAP2ACT_3</vt:lpstr>
      <vt:lpstr>CapUnit_P</vt:lpstr>
      <vt:lpstr>CEH_3</vt:lpstr>
      <vt:lpstr>CHPR_3</vt:lpstr>
      <vt:lpstr>Comm_IN_3</vt:lpstr>
      <vt:lpstr>Comm_OUT_3</vt:lpstr>
      <vt:lpstr>EFF_3</vt:lpstr>
      <vt:lpstr>FIXOM_3</vt:lpstr>
      <vt:lpstr>Peak_3</vt:lpstr>
      <vt:lpstr>Region_3</vt:lpstr>
      <vt:lpstr>Region_P</vt:lpstr>
      <vt:lpstr>Set_P</vt:lpstr>
      <vt:lpstr>STOCK_2015_3</vt:lpstr>
      <vt:lpstr>STOCK_2020_3</vt:lpstr>
      <vt:lpstr>STOCK_2025_3</vt:lpstr>
      <vt:lpstr>STOCK_2030_3</vt:lpstr>
      <vt:lpstr>STOCK_2040_3</vt:lpstr>
      <vt:lpstr>STOCK_2050_3</vt:lpstr>
      <vt:lpstr>STOCK_3</vt:lpstr>
      <vt:lpstr>TechDesc_3</vt:lpstr>
      <vt:lpstr>TechDesc_P</vt:lpstr>
      <vt:lpstr>TechName_3</vt:lpstr>
      <vt:lpstr>TechName_P</vt:lpstr>
      <vt:lpstr>TimesliceLevel_P</vt:lpstr>
      <vt:lpstr>VAROM_3</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VT_DK_ELC</dc:title>
  <dc:subject>RAMSES data written by RAMSES interface file.</dc:subject>
  <dc:creator>Helge V. Larsen</dc:creator>
  <dc:description>This file is 29-09-2014 12:08:28 
generated by user 'hela' 
from file '2014-09-29 RAMSES interface.xlsb' 
in folder 'C:\Projects\Times DK\Work 34 Ramses interface'.</dc:description>
  <cp:lastModifiedBy>Mikkel Bosack</cp:lastModifiedBy>
  <dcterms:created xsi:type="dcterms:W3CDTF">2014-09-29T10:08:23Z</dcterms:created>
  <dcterms:modified xsi:type="dcterms:W3CDTF">2021-09-08T11:09:21Z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839763820171356</vt:r8>
  </property>
  <property fmtid="{D5CDD505-2E9C-101B-9397-08002B2CF9AE}" pid="3" name="ContentTypeId">
    <vt:lpwstr>0x010100391E4ED4D6B5344984C5B5CBC1A28781</vt:lpwstr>
  </property>
</Properties>
</file>