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768" documentId="8_{BE3C840B-77DA-49C4-A525-6AC6A3D7E48D}" xr6:coauthVersionLast="47" xr6:coauthVersionMax="47" xr10:uidLastSave="{06AB02E9-47EA-4B05-ACE5-D54F4794ADBD}"/>
  <bookViews>
    <workbookView xWindow="-110" yWindow="-110" windowWidth="19420" windowHeight="10420" tabRatio="862" firstSheet="5" activeTab="11" xr2:uid="{00000000-000D-0000-FFFF-FFFF00000000}"/>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54" i="260" l="1"/>
  <c r="I134" i="260"/>
  <c r="I114" i="260"/>
  <c r="I115" i="260"/>
  <c r="I94" i="260"/>
  <c r="I74" i="260"/>
  <c r="I54" i="260"/>
  <c r="I34" i="260"/>
  <c r="I14" i="260"/>
  <c r="V32" i="267" l="1"/>
  <c r="G14" i="260"/>
  <c r="V205" i="260"/>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P111" i="267"/>
  <c r="P112" i="267"/>
  <c r="P113" i="267"/>
  <c r="P114" i="267"/>
  <c r="P115" i="267"/>
  <c r="P116" i="267"/>
  <c r="P117" i="267"/>
  <c r="P118" i="267"/>
  <c r="P119" i="267"/>
  <c r="P120" i="267"/>
  <c r="P121" i="267"/>
  <c r="P122" i="267"/>
  <c r="P123" i="267"/>
  <c r="P124" i="267"/>
  <c r="P110" i="267"/>
  <c r="P89" i="267"/>
  <c r="P90" i="267"/>
  <c r="P91" i="267"/>
  <c r="P92" i="267"/>
  <c r="P93" i="267"/>
  <c r="P94" i="267"/>
  <c r="P95" i="267"/>
  <c r="P96" i="267"/>
  <c r="P97" i="267"/>
  <c r="P98" i="267"/>
  <c r="P99" i="267"/>
  <c r="P100" i="267"/>
  <c r="P101" i="267"/>
  <c r="P102" i="267"/>
  <c r="P88" i="267"/>
  <c r="P67" i="267"/>
  <c r="P68" i="267"/>
  <c r="P69" i="267"/>
  <c r="P70" i="267"/>
  <c r="P71" i="267"/>
  <c r="P72" i="267"/>
  <c r="P73" i="267"/>
  <c r="P74" i="267"/>
  <c r="P75" i="267"/>
  <c r="P76" i="267"/>
  <c r="P77" i="267"/>
  <c r="P78" i="267"/>
  <c r="P79" i="267"/>
  <c r="P80" i="267"/>
  <c r="P66" i="267"/>
  <c r="G122" i="267"/>
  <c r="H122" i="267"/>
  <c r="I122" i="267"/>
  <c r="J122" i="267"/>
  <c r="K122" i="267"/>
  <c r="L122" i="267"/>
  <c r="M122" i="267"/>
  <c r="N122" i="267"/>
  <c r="O122" i="267"/>
  <c r="P45" i="267"/>
  <c r="P46" i="267"/>
  <c r="P47" i="267"/>
  <c r="P48" i="267"/>
  <c r="P49" i="267"/>
  <c r="P50" i="267"/>
  <c r="P51" i="267"/>
  <c r="P52" i="267"/>
  <c r="P53" i="267"/>
  <c r="P54" i="267"/>
  <c r="P55" i="267"/>
  <c r="P56" i="267"/>
  <c r="P57" i="267"/>
  <c r="P58" i="267"/>
  <c r="P44" i="267"/>
  <c r="P37" i="267"/>
  <c r="P36" i="267"/>
  <c r="P35" i="267"/>
  <c r="P34" i="267"/>
  <c r="P33" i="267"/>
  <c r="P32" i="267"/>
  <c r="P31" i="267"/>
  <c r="P30" i="267"/>
  <c r="P29" i="267"/>
  <c r="P25" i="267"/>
  <c r="P24" i="267"/>
  <c r="P23"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C37" i="267"/>
  <c r="D37" i="267"/>
  <c r="AN15" i="267" l="1"/>
  <c r="AN16" i="267" s="1"/>
  <c r="W12" i="267" s="1"/>
  <c r="AM15" i="267"/>
  <c r="AM16" i="267" s="1"/>
  <c r="W11" i="267" s="1"/>
  <c r="AI11" i="267"/>
  <c r="AK11" i="267" s="1"/>
  <c r="AF5" i="267"/>
  <c r="D22" i="269"/>
  <c r="C22" i="269"/>
  <c r="B22" i="269"/>
  <c r="M22" i="269"/>
  <c r="E22" i="269"/>
  <c r="C18" i="269"/>
  <c r="B18" i="269"/>
  <c r="M18" i="269"/>
  <c r="E18" i="269"/>
  <c r="D18" i="269"/>
  <c r="C14" i="269"/>
  <c r="B14" i="269"/>
  <c r="M14" i="269"/>
  <c r="E14" i="269"/>
  <c r="D14" i="269"/>
  <c r="B10" i="269"/>
  <c r="C10" i="269"/>
  <c r="S42" i="231"/>
  <c r="T42" i="231" s="1"/>
  <c r="E42" i="231" s="1"/>
  <c r="D10" i="269"/>
  <c r="M10" i="269"/>
  <c r="E10" i="269"/>
  <c r="P42" i="231" l="1"/>
  <c r="D42" i="231" s="1"/>
  <c r="E111" i="231"/>
  <c r="C21" i="232" s="1"/>
  <c r="D111" i="231"/>
  <c r="B21" i="232" s="1"/>
  <c r="E21" i="232"/>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S52" i="231"/>
  <c r="T52" i="231" s="1"/>
  <c r="E52" i="231" s="1"/>
  <c r="C52" i="269" s="1"/>
  <c r="C60" i="269" s="1"/>
  <c r="C68" i="269" s="1"/>
  <c r="C76" i="269" s="1"/>
  <c r="S53" i="231"/>
  <c r="M52" i="269"/>
  <c r="E52" i="269"/>
  <c r="E60" i="269" s="1"/>
  <c r="E68" i="269" s="1"/>
  <c r="E76" i="269" s="1"/>
  <c r="D52" i="269"/>
  <c r="D60" i="269" s="1"/>
  <c r="D68" i="269" s="1"/>
  <c r="D76" i="269" s="1"/>
  <c r="D51" i="269"/>
  <c r="D59" i="269" s="1"/>
  <c r="D67" i="269" s="1"/>
  <c r="D75" i="269" s="1"/>
  <c r="M51" i="269"/>
  <c r="E51" i="269"/>
  <c r="E59" i="269" s="1"/>
  <c r="E67" i="269" s="1"/>
  <c r="E75" i="269" s="1"/>
  <c r="S51" i="231"/>
  <c r="D32" i="216"/>
  <c r="C32" i="216"/>
  <c r="M50" i="269"/>
  <c r="M49" i="269"/>
  <c r="M48" i="269"/>
  <c r="M47" i="269"/>
  <c r="E23" i="267"/>
  <c r="E24" i="267"/>
  <c r="E25" i="267"/>
  <c r="E26" i="267"/>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E40" i="267" l="1"/>
  <c r="P52" i="231"/>
  <c r="D52" i="231" s="1"/>
  <c r="B52" i="269" s="1"/>
  <c r="B60" i="269" s="1"/>
  <c r="B68" i="269" s="1"/>
  <c r="B76" i="269" s="1"/>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80" i="267"/>
  <c r="D80" i="267"/>
  <c r="E80"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102" i="267"/>
  <c r="D102" i="267"/>
  <c r="E102"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38" i="267"/>
  <c r="D38" i="267"/>
  <c r="C39" i="267"/>
  <c r="D39" i="267"/>
  <c r="O111" i="267"/>
  <c r="O112" i="267"/>
  <c r="O113" i="267"/>
  <c r="O114" i="267"/>
  <c r="O115" i="267"/>
  <c r="O116" i="267"/>
  <c r="O117" i="267"/>
  <c r="O118" i="267"/>
  <c r="O119" i="267"/>
  <c r="O110" i="267"/>
  <c r="N111" i="267"/>
  <c r="N112" i="267"/>
  <c r="N113" i="267"/>
  <c r="N114" i="267"/>
  <c r="N115" i="267"/>
  <c r="N116" i="267"/>
  <c r="N117" i="267"/>
  <c r="N118" i="267"/>
  <c r="N119" i="267"/>
  <c r="N110" i="267"/>
  <c r="M111" i="267"/>
  <c r="M112" i="267"/>
  <c r="M113" i="267"/>
  <c r="M114" i="267"/>
  <c r="M115" i="267"/>
  <c r="M116" i="267"/>
  <c r="M117" i="267"/>
  <c r="M118" i="267"/>
  <c r="M119" i="267"/>
  <c r="M110" i="267"/>
  <c r="L111" i="267"/>
  <c r="L112" i="267"/>
  <c r="L113" i="267"/>
  <c r="L114" i="267"/>
  <c r="L115" i="267"/>
  <c r="L116" i="267"/>
  <c r="L117" i="267"/>
  <c r="L118" i="267"/>
  <c r="L119" i="267"/>
  <c r="L110" i="267"/>
  <c r="K111" i="267"/>
  <c r="K112" i="267"/>
  <c r="K113" i="267"/>
  <c r="K114" i="267"/>
  <c r="K115" i="267"/>
  <c r="K116" i="267"/>
  <c r="K117" i="267"/>
  <c r="K118" i="267"/>
  <c r="K119" i="267"/>
  <c r="K110" i="267"/>
  <c r="J111" i="267"/>
  <c r="J112" i="267"/>
  <c r="J113" i="267"/>
  <c r="J114" i="267"/>
  <c r="J115" i="267"/>
  <c r="J116" i="267"/>
  <c r="J117" i="267"/>
  <c r="J118" i="267"/>
  <c r="J119" i="267"/>
  <c r="J110" i="267"/>
  <c r="I111" i="267"/>
  <c r="I112" i="267"/>
  <c r="I113" i="267"/>
  <c r="I114" i="267"/>
  <c r="I115" i="267"/>
  <c r="I116" i="267"/>
  <c r="I117" i="267"/>
  <c r="I118" i="267"/>
  <c r="I119" i="267"/>
  <c r="I110" i="267"/>
  <c r="H111" i="267"/>
  <c r="H112" i="267"/>
  <c r="H113" i="267"/>
  <c r="H114" i="267"/>
  <c r="H115" i="267"/>
  <c r="H116" i="267"/>
  <c r="H117" i="267"/>
  <c r="H118" i="267"/>
  <c r="H119" i="267"/>
  <c r="H123" i="267"/>
  <c r="H110" i="267"/>
  <c r="G111" i="267"/>
  <c r="G112" i="267"/>
  <c r="G113" i="267"/>
  <c r="G114" i="267"/>
  <c r="G115" i="267"/>
  <c r="G116" i="267"/>
  <c r="G117" i="267"/>
  <c r="G118" i="267"/>
  <c r="G119" i="267"/>
  <c r="G110" i="267"/>
  <c r="F111" i="267"/>
  <c r="F112" i="267"/>
  <c r="F113" i="267"/>
  <c r="F114" i="267"/>
  <c r="F115" i="267"/>
  <c r="F116" i="267"/>
  <c r="F117" i="267"/>
  <c r="F118" i="267"/>
  <c r="F119" i="267"/>
  <c r="F110" i="267"/>
  <c r="O89" i="267"/>
  <c r="O90" i="267"/>
  <c r="O91" i="267"/>
  <c r="O92" i="267"/>
  <c r="O93" i="267"/>
  <c r="O102" i="267"/>
  <c r="O94" i="267"/>
  <c r="O95" i="267"/>
  <c r="O96" i="267"/>
  <c r="O97" i="267"/>
  <c r="O98" i="267"/>
  <c r="O99" i="267"/>
  <c r="O88" i="267"/>
  <c r="N89" i="267"/>
  <c r="N90" i="267"/>
  <c r="N91" i="267"/>
  <c r="N92" i="267"/>
  <c r="N93" i="267"/>
  <c r="N102" i="267"/>
  <c r="N94" i="267"/>
  <c r="N95" i="267"/>
  <c r="N96" i="267"/>
  <c r="N97" i="267"/>
  <c r="N98" i="267"/>
  <c r="N99" i="267"/>
  <c r="N88" i="267"/>
  <c r="M89" i="267"/>
  <c r="M90" i="267"/>
  <c r="M91" i="267"/>
  <c r="M92" i="267"/>
  <c r="M93" i="267"/>
  <c r="M102" i="267"/>
  <c r="M94" i="267"/>
  <c r="M95" i="267"/>
  <c r="M96" i="267"/>
  <c r="M97" i="267"/>
  <c r="M98" i="267"/>
  <c r="M99" i="267"/>
  <c r="M88" i="267"/>
  <c r="L89" i="267"/>
  <c r="L90" i="267"/>
  <c r="L91" i="267"/>
  <c r="L92" i="267"/>
  <c r="L93" i="267"/>
  <c r="L102" i="267"/>
  <c r="L94" i="267"/>
  <c r="L95" i="267"/>
  <c r="L96" i="267"/>
  <c r="L97" i="267"/>
  <c r="L98" i="267"/>
  <c r="L99" i="267"/>
  <c r="L88" i="267"/>
  <c r="K89" i="267"/>
  <c r="K90" i="267"/>
  <c r="K91" i="267"/>
  <c r="K92" i="267"/>
  <c r="K93" i="267"/>
  <c r="K102" i="267"/>
  <c r="K94" i="267"/>
  <c r="K95" i="267"/>
  <c r="K96" i="267"/>
  <c r="K97" i="267"/>
  <c r="K98" i="267"/>
  <c r="K99" i="267"/>
  <c r="K88" i="267"/>
  <c r="J89" i="267"/>
  <c r="J90" i="267"/>
  <c r="J91" i="267"/>
  <c r="J92" i="267"/>
  <c r="J93" i="267"/>
  <c r="J102" i="267"/>
  <c r="J94" i="267"/>
  <c r="J95" i="267"/>
  <c r="J96" i="267"/>
  <c r="J97" i="267"/>
  <c r="J98" i="267"/>
  <c r="J99" i="267"/>
  <c r="J88" i="267"/>
  <c r="I89" i="267"/>
  <c r="I90" i="267"/>
  <c r="I91" i="267"/>
  <c r="I92" i="267"/>
  <c r="I93" i="267"/>
  <c r="I102" i="267"/>
  <c r="I94" i="267"/>
  <c r="I95" i="267"/>
  <c r="I96" i="267"/>
  <c r="I97" i="267"/>
  <c r="I98" i="267"/>
  <c r="I99" i="267"/>
  <c r="I88" i="267"/>
  <c r="H89" i="267"/>
  <c r="H90" i="267"/>
  <c r="H91" i="267"/>
  <c r="H92" i="267"/>
  <c r="H93" i="267"/>
  <c r="H102" i="267"/>
  <c r="H94" i="267"/>
  <c r="H95" i="267"/>
  <c r="H96" i="267"/>
  <c r="H97" i="267"/>
  <c r="H98" i="267"/>
  <c r="H99" i="267"/>
  <c r="H88" i="267"/>
  <c r="G89" i="267"/>
  <c r="G90" i="267"/>
  <c r="G91" i="267"/>
  <c r="G92" i="267"/>
  <c r="G93" i="267"/>
  <c r="G102" i="267"/>
  <c r="G94" i="267"/>
  <c r="G95" i="267"/>
  <c r="G96" i="267"/>
  <c r="G97" i="267"/>
  <c r="G98" i="267"/>
  <c r="G99" i="267"/>
  <c r="G88" i="267"/>
  <c r="F88" i="267"/>
  <c r="F90" i="267"/>
  <c r="F91" i="267"/>
  <c r="F92" i="267"/>
  <c r="F93" i="267"/>
  <c r="F102" i="267"/>
  <c r="F94" i="267"/>
  <c r="F95" i="267"/>
  <c r="F96" i="267"/>
  <c r="F97" i="267"/>
  <c r="F98" i="267"/>
  <c r="F99" i="267"/>
  <c r="F89" i="267"/>
  <c r="O67" i="267"/>
  <c r="O68" i="267"/>
  <c r="O69" i="267"/>
  <c r="O70" i="267"/>
  <c r="O71" i="267"/>
  <c r="O80" i="267"/>
  <c r="O72" i="267"/>
  <c r="O73" i="267"/>
  <c r="O74" i="267"/>
  <c r="O75" i="267"/>
  <c r="O76" i="267"/>
  <c r="O77" i="267"/>
  <c r="O66" i="267"/>
  <c r="N67" i="267"/>
  <c r="N68" i="267"/>
  <c r="N69" i="267"/>
  <c r="N70" i="267"/>
  <c r="N71" i="267"/>
  <c r="N80" i="267"/>
  <c r="N72" i="267"/>
  <c r="N73" i="267"/>
  <c r="N74" i="267"/>
  <c r="N75" i="267"/>
  <c r="N76" i="267"/>
  <c r="N77" i="267"/>
  <c r="N66" i="267"/>
  <c r="M67" i="267"/>
  <c r="M68" i="267"/>
  <c r="M69" i="267"/>
  <c r="M70" i="267"/>
  <c r="M71" i="267"/>
  <c r="M80" i="267"/>
  <c r="M72" i="267"/>
  <c r="M73" i="267"/>
  <c r="M74" i="267"/>
  <c r="M75" i="267"/>
  <c r="M76" i="267"/>
  <c r="M77" i="267"/>
  <c r="M78" i="267"/>
  <c r="M66" i="267"/>
  <c r="L67" i="267"/>
  <c r="L68" i="267"/>
  <c r="L69" i="267"/>
  <c r="L70" i="267"/>
  <c r="L71" i="267"/>
  <c r="L80" i="267"/>
  <c r="L72" i="267"/>
  <c r="L73" i="267"/>
  <c r="L74" i="267"/>
  <c r="L75" i="267"/>
  <c r="L76" i="267"/>
  <c r="L77" i="267"/>
  <c r="L66" i="267"/>
  <c r="K67" i="267"/>
  <c r="K68" i="267"/>
  <c r="K69" i="267"/>
  <c r="K70" i="267"/>
  <c r="K71" i="267"/>
  <c r="K80" i="267"/>
  <c r="K72" i="267"/>
  <c r="K73" i="267"/>
  <c r="K74" i="267"/>
  <c r="K75" i="267"/>
  <c r="K76" i="267"/>
  <c r="K77" i="267"/>
  <c r="K66" i="267"/>
  <c r="J67" i="267"/>
  <c r="J68" i="267"/>
  <c r="J69" i="267"/>
  <c r="J70" i="267"/>
  <c r="J71" i="267"/>
  <c r="J80" i="267"/>
  <c r="J72" i="267"/>
  <c r="J73" i="267"/>
  <c r="J74" i="267"/>
  <c r="J75" i="267"/>
  <c r="J76" i="267"/>
  <c r="J77" i="267"/>
  <c r="J66" i="267"/>
  <c r="I67" i="267"/>
  <c r="I68" i="267"/>
  <c r="I69" i="267"/>
  <c r="I70" i="267"/>
  <c r="I71" i="267"/>
  <c r="I80" i="267"/>
  <c r="I72" i="267"/>
  <c r="I73" i="267"/>
  <c r="I74" i="267"/>
  <c r="I75" i="267"/>
  <c r="I76" i="267"/>
  <c r="I77" i="267"/>
  <c r="I66" i="267"/>
  <c r="H67" i="267"/>
  <c r="H68" i="267"/>
  <c r="H69" i="267"/>
  <c r="H70" i="267"/>
  <c r="H71" i="267"/>
  <c r="H80" i="267"/>
  <c r="H72" i="267"/>
  <c r="H73" i="267"/>
  <c r="H74" i="267"/>
  <c r="H75" i="267"/>
  <c r="H76" i="267"/>
  <c r="H77" i="267"/>
  <c r="H66" i="267"/>
  <c r="G67" i="267"/>
  <c r="G68" i="267"/>
  <c r="G69" i="267"/>
  <c r="G70" i="267"/>
  <c r="G71" i="267"/>
  <c r="G80" i="267"/>
  <c r="G72" i="267"/>
  <c r="G73" i="267"/>
  <c r="G74" i="267"/>
  <c r="G75" i="267"/>
  <c r="G76" i="267"/>
  <c r="G77" i="267"/>
  <c r="G66" i="267"/>
  <c r="F67" i="267"/>
  <c r="F68" i="267"/>
  <c r="F69" i="267"/>
  <c r="F70" i="267"/>
  <c r="F71" i="267"/>
  <c r="F80" i="267"/>
  <c r="F72" i="267"/>
  <c r="F73" i="267"/>
  <c r="F74" i="267"/>
  <c r="F75" i="267"/>
  <c r="F76" i="267"/>
  <c r="F77" i="267"/>
  <c r="F66"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P27" i="267" s="1"/>
  <c r="O24" i="267"/>
  <c r="O25" i="267"/>
  <c r="O26" i="267"/>
  <c r="O28" i="267"/>
  <c r="P28" i="267" s="1"/>
  <c r="O37" i="267"/>
  <c r="O29" i="267"/>
  <c r="O30" i="267"/>
  <c r="O31" i="267"/>
  <c r="O32" i="267"/>
  <c r="O33" i="267"/>
  <c r="O34" i="267"/>
  <c r="O23" i="267"/>
  <c r="N24" i="267"/>
  <c r="N25" i="267"/>
  <c r="N26" i="267"/>
  <c r="N28" i="267"/>
  <c r="N37" i="267"/>
  <c r="N29" i="267"/>
  <c r="N30" i="267"/>
  <c r="N31" i="267"/>
  <c r="N32" i="267"/>
  <c r="N33" i="267"/>
  <c r="N34" i="267"/>
  <c r="N23" i="267"/>
  <c r="M24" i="267"/>
  <c r="M25" i="267"/>
  <c r="M26" i="267"/>
  <c r="M28" i="267"/>
  <c r="M37" i="267"/>
  <c r="M29" i="267"/>
  <c r="M30" i="267"/>
  <c r="M31" i="267"/>
  <c r="M32" i="267"/>
  <c r="M33" i="267"/>
  <c r="M34" i="267"/>
  <c r="M23" i="267"/>
  <c r="L24" i="267"/>
  <c r="L25" i="267"/>
  <c r="L26" i="267"/>
  <c r="L28" i="267"/>
  <c r="L37" i="267"/>
  <c r="L29" i="267"/>
  <c r="L30" i="267"/>
  <c r="L31" i="267"/>
  <c r="L32" i="267"/>
  <c r="L33" i="267"/>
  <c r="L34" i="267"/>
  <c r="L23" i="267"/>
  <c r="K24" i="267"/>
  <c r="K25" i="267"/>
  <c r="K26" i="267"/>
  <c r="K28" i="267"/>
  <c r="K37" i="267"/>
  <c r="K29" i="267"/>
  <c r="K30" i="267"/>
  <c r="K31" i="267"/>
  <c r="K32" i="267"/>
  <c r="K33" i="267"/>
  <c r="K34" i="267"/>
  <c r="K23" i="267"/>
  <c r="J24" i="267"/>
  <c r="J25" i="267"/>
  <c r="J26" i="267"/>
  <c r="J28" i="267"/>
  <c r="J37" i="267"/>
  <c r="J29" i="267"/>
  <c r="J30" i="267"/>
  <c r="J31" i="267"/>
  <c r="J32" i="267"/>
  <c r="J33" i="267"/>
  <c r="J34" i="267"/>
  <c r="J23" i="267"/>
  <c r="I24" i="267"/>
  <c r="I25" i="267"/>
  <c r="I26" i="267"/>
  <c r="I28" i="267"/>
  <c r="I37" i="267"/>
  <c r="I29" i="267"/>
  <c r="I30" i="267"/>
  <c r="I31" i="267"/>
  <c r="I32" i="267"/>
  <c r="I33" i="267"/>
  <c r="I34" i="267"/>
  <c r="I23" i="267"/>
  <c r="H24" i="267"/>
  <c r="H25" i="267"/>
  <c r="H26" i="267"/>
  <c r="H28" i="267"/>
  <c r="H37" i="267"/>
  <c r="H29" i="267"/>
  <c r="H30" i="267"/>
  <c r="H31" i="267"/>
  <c r="H32" i="267"/>
  <c r="H33" i="267"/>
  <c r="H34" i="267"/>
  <c r="H23" i="267"/>
  <c r="G24" i="267"/>
  <c r="G25" i="267"/>
  <c r="G26" i="267"/>
  <c r="G28" i="267"/>
  <c r="G37" i="267"/>
  <c r="G29" i="267"/>
  <c r="G30" i="267"/>
  <c r="G31" i="267"/>
  <c r="G32" i="267"/>
  <c r="G33" i="267"/>
  <c r="G34" i="267"/>
  <c r="G23" i="267"/>
  <c r="F34" i="267"/>
  <c r="F24" i="267"/>
  <c r="F25" i="267"/>
  <c r="F26" i="267"/>
  <c r="F28" i="267"/>
  <c r="F37" i="267"/>
  <c r="F29" i="267"/>
  <c r="F30" i="267"/>
  <c r="F31" i="267"/>
  <c r="F32" i="267"/>
  <c r="F33" i="267"/>
  <c r="F23" i="267"/>
  <c r="O127" i="267"/>
  <c r="O126" i="267"/>
  <c r="O124" i="267"/>
  <c r="O123" i="267"/>
  <c r="O105" i="267"/>
  <c r="O104" i="267"/>
  <c r="O101" i="267"/>
  <c r="O83" i="267"/>
  <c r="O82" i="267"/>
  <c r="O79"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P26" i="267" l="1"/>
  <c r="G56" i="267"/>
  <c r="H56" i="267"/>
  <c r="I57" i="267"/>
  <c r="K56" i="267"/>
  <c r="M57" i="267"/>
  <c r="L57" i="267"/>
  <c r="N56" i="267"/>
  <c r="O56" i="267"/>
  <c r="F35" i="267"/>
  <c r="F56" i="267"/>
  <c r="J56" i="267"/>
  <c r="L56" i="267"/>
  <c r="N57" i="267"/>
  <c r="F57" i="267"/>
  <c r="J57" i="267"/>
  <c r="G57" i="267"/>
  <c r="H57" i="267"/>
  <c r="I56" i="267"/>
  <c r="K57" i="267"/>
  <c r="M56" i="267"/>
  <c r="O57" i="267"/>
  <c r="D97" i="231"/>
  <c r="B7" i="232" s="1"/>
  <c r="M100" i="267"/>
  <c r="O100" i="267"/>
  <c r="K35" i="267"/>
  <c r="N35" i="267"/>
  <c r="O35" i="267"/>
  <c r="H100" i="267"/>
  <c r="L100" i="267"/>
  <c r="I100" i="267"/>
  <c r="E128" i="267"/>
  <c r="G36" i="267"/>
  <c r="J36" i="267"/>
  <c r="N36" i="267"/>
  <c r="O36" i="267"/>
  <c r="F100" i="267"/>
  <c r="J100" i="267"/>
  <c r="N100" i="267"/>
  <c r="G100" i="267"/>
  <c r="K100" i="267"/>
  <c r="F36" i="267"/>
  <c r="H36" i="267"/>
  <c r="I36" i="267"/>
  <c r="K36" i="267"/>
  <c r="M36" i="267"/>
  <c r="L36" i="267"/>
  <c r="C84" i="267"/>
  <c r="Z1" i="260"/>
  <c r="G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O106" i="267" l="1"/>
  <c r="O4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B30" i="221" l="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F16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C30" i="269" l="1"/>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30" i="269" l="1"/>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8"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1" i="267"/>
  <c r="M101" i="267"/>
  <c r="L101" i="267"/>
  <c r="K101" i="267"/>
  <c r="J101" i="267"/>
  <c r="I101" i="267"/>
  <c r="H101" i="267"/>
  <c r="G101" i="267"/>
  <c r="F101" i="267"/>
  <c r="N83" i="267"/>
  <c r="M83" i="267"/>
  <c r="L83" i="267"/>
  <c r="K83" i="267"/>
  <c r="J83" i="267"/>
  <c r="I83" i="267"/>
  <c r="H83" i="267"/>
  <c r="G83" i="267"/>
  <c r="F83" i="267"/>
  <c r="N82" i="267"/>
  <c r="M82" i="267"/>
  <c r="L82" i="267"/>
  <c r="K82" i="267"/>
  <c r="J82" i="267"/>
  <c r="I82" i="267"/>
  <c r="H82" i="267"/>
  <c r="G82" i="267"/>
  <c r="F82" i="267"/>
  <c r="N79" i="267"/>
  <c r="M79" i="267"/>
  <c r="L79" i="267"/>
  <c r="K79" i="267"/>
  <c r="J79" i="267"/>
  <c r="I79" i="267"/>
  <c r="H79" i="267"/>
  <c r="G79" i="267"/>
  <c r="F79" i="267"/>
  <c r="N61" i="267"/>
  <c r="M61" i="267"/>
  <c r="L61" i="267"/>
  <c r="K61" i="267"/>
  <c r="J61" i="267"/>
  <c r="I61" i="267"/>
  <c r="H61" i="267"/>
  <c r="G61" i="267"/>
  <c r="F61" i="267"/>
  <c r="N60" i="267"/>
  <c r="M60" i="267"/>
  <c r="L60" i="267"/>
  <c r="K60" i="267"/>
  <c r="J60" i="267"/>
  <c r="I60" i="267"/>
  <c r="H60" i="267"/>
  <c r="G60" i="267"/>
  <c r="F60"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8" i="267"/>
  <c r="O103" i="267"/>
  <c r="O125" i="267"/>
  <c r="O128" i="267" s="1"/>
  <c r="F78" i="267"/>
  <c r="G78" i="267"/>
  <c r="H78" i="267"/>
  <c r="I78" i="267"/>
  <c r="J78" i="267"/>
  <c r="K78" i="267"/>
  <c r="L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F72" i="221" s="1"/>
  <c r="M84" i="267"/>
  <c r="F45" i="221"/>
  <c r="F41" i="221"/>
  <c r="F5" i="221" s="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54" i="221"/>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19" i="260"/>
  <c r="G59" i="260"/>
  <c r="G99" i="260" s="1"/>
  <c r="C59" i="260"/>
  <c r="C99" i="260" s="1"/>
  <c r="G7" i="269" l="1"/>
  <c r="F42" i="221"/>
  <c r="F6" i="221" s="1"/>
  <c r="F50" i="22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G23" i="221"/>
  <c r="L68" i="264" a="1"/>
  <c r="L68" i="264" s="1"/>
  <c r="X68"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42" i="221"/>
  <c r="G6" i="221" s="1"/>
  <c r="G64" i="221"/>
  <c r="G52" i="221"/>
  <c r="G44" i="221"/>
  <c r="G8" i="221" s="1"/>
  <c r="G56" i="221"/>
  <c r="V33" i="267"/>
  <c r="O18" i="260"/>
  <c r="F66" i="221" l="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G16" i="269"/>
  <c r="F73" i="221"/>
  <c r="Z167" i="260"/>
  <c r="Z169" i="260"/>
  <c r="Z171" i="260"/>
  <c r="AC171" i="260" s="1"/>
  <c r="Z173" i="260"/>
  <c r="AC173" i="260" s="1"/>
  <c r="Z175" i="260"/>
  <c r="AC175" i="260" s="1"/>
  <c r="AA167" i="260"/>
  <c r="AA173" i="260"/>
  <c r="AD173" i="260" s="1"/>
  <c r="Z168" i="260"/>
  <c r="AC168" i="260" s="1"/>
  <c r="Z170" i="260"/>
  <c r="Z172" i="260"/>
  <c r="Z174" i="260"/>
  <c r="AC174" i="260" s="1"/>
  <c r="AA166" i="260"/>
  <c r="AD166" i="260" s="1"/>
  <c r="AA171" i="260"/>
  <c r="AD171" i="260" s="1"/>
  <c r="AA168" i="260"/>
  <c r="AA170" i="260"/>
  <c r="AD170" i="260" s="1"/>
  <c r="AA172" i="260"/>
  <c r="AD172" i="260" s="1"/>
  <c r="AA174" i="260"/>
  <c r="AD174" i="260" s="1"/>
  <c r="Z166" i="260"/>
  <c r="AA169" i="260"/>
  <c r="AD169" i="260" s="1"/>
  <c r="AA175" i="260"/>
  <c r="AD175" i="260" s="1"/>
  <c r="Y167" i="260"/>
  <c r="AB167" i="260" s="1"/>
  <c r="Y168" i="260"/>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Z183" i="260"/>
  <c r="AC183" i="260" s="1"/>
  <c r="Z185" i="260"/>
  <c r="AC185" i="260" s="1"/>
  <c r="AA181" i="260"/>
  <c r="AD181" i="260" s="1"/>
  <c r="Z176" i="260"/>
  <c r="Z178" i="260"/>
  <c r="AC178" i="260" s="1"/>
  <c r="Z180" i="260"/>
  <c r="AC180" i="260" s="1"/>
  <c r="Z182" i="260"/>
  <c r="AC182" i="260" s="1"/>
  <c r="Z184" i="260"/>
  <c r="AA177" i="260"/>
  <c r="AD177" i="260" s="1"/>
  <c r="AA183" i="260"/>
  <c r="AD183" i="260" s="1"/>
  <c r="AA176" i="260"/>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A190" i="260"/>
  <c r="AD190" i="260" s="1"/>
  <c r="AA192" i="260"/>
  <c r="AA194" i="260"/>
  <c r="AD194" i="260" s="1"/>
  <c r="AA191" i="260"/>
  <c r="Y192" i="260"/>
  <c r="Y194" i="260"/>
  <c r="AB194" i="260" s="1"/>
  <c r="Y187" i="260"/>
  <c r="AB187" i="260" s="1"/>
  <c r="Y189" i="260"/>
  <c r="Y186" i="260"/>
  <c r="AB186" i="260" s="1"/>
  <c r="Y188" i="260"/>
  <c r="AB188" i="260" s="1"/>
  <c r="Y191" i="260"/>
  <c r="AB191" i="260" s="1"/>
  <c r="Y193" i="260"/>
  <c r="Y190" i="260"/>
  <c r="Y195" i="260"/>
  <c r="AB195" i="260" s="1"/>
  <c r="Z197" i="260"/>
  <c r="AC197" i="260" s="1"/>
  <c r="Z199" i="260"/>
  <c r="Z201" i="260"/>
  <c r="AC201" i="260" s="1"/>
  <c r="Z203" i="260"/>
  <c r="AC203" i="260" s="1"/>
  <c r="Z205" i="260"/>
  <c r="AC205" i="260" s="1"/>
  <c r="AA199" i="260"/>
  <c r="AA203" i="260"/>
  <c r="AD203" i="260" s="1"/>
  <c r="Z196" i="260"/>
  <c r="AC196" i="260" s="1"/>
  <c r="Z198" i="260"/>
  <c r="Z200" i="260"/>
  <c r="Z202" i="260"/>
  <c r="Z204" i="260"/>
  <c r="AC204" i="260" s="1"/>
  <c r="AA196" i="260"/>
  <c r="AD196" i="260" s="1"/>
  <c r="AA198" i="260"/>
  <c r="AA200" i="260"/>
  <c r="AD200" i="260" s="1"/>
  <c r="AA202" i="260"/>
  <c r="AA204" i="260"/>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Y147" i="260"/>
  <c r="AB147" i="260" s="1"/>
  <c r="I147" i="260" s="1"/>
  <c r="Y146" i="260"/>
  <c r="AB146" i="260" s="1"/>
  <c r="Y27" i="260"/>
  <c r="AB27" i="260" s="1"/>
  <c r="I27" i="260" s="1"/>
  <c r="Y74" i="260"/>
  <c r="AB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Y34" i="260"/>
  <c r="AB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C169" i="260"/>
  <c r="AD167" i="260"/>
  <c r="AC167" i="260"/>
  <c r="AB170" i="260"/>
  <c r="AC170" i="260"/>
  <c r="AD168" i="260"/>
  <c r="AC166" i="260"/>
  <c r="AB168" i="260"/>
  <c r="AC172" i="260"/>
  <c r="AD178" i="260"/>
  <c r="AC184" i="260"/>
  <c r="AB180" i="260"/>
  <c r="AD179" i="260"/>
  <c r="AB181" i="260"/>
  <c r="AC181" i="260"/>
  <c r="AD176" i="260"/>
  <c r="AC176" i="260"/>
  <c r="AB182" i="260"/>
  <c r="V48" i="267"/>
  <c r="AD188" i="260"/>
  <c r="AC186" i="260"/>
  <c r="AD191" i="260"/>
  <c r="AB190" i="260"/>
  <c r="AB189" i="260"/>
  <c r="AC193" i="260"/>
  <c r="AC194" i="260"/>
  <c r="AB193" i="260"/>
  <c r="AC112" i="260"/>
  <c r="J112" i="260" s="1"/>
  <c r="AC123" i="260"/>
  <c r="J123" i="260" s="1"/>
  <c r="AB201" i="260"/>
  <c r="AD197" i="260"/>
  <c r="AD198" i="260"/>
  <c r="AC198" i="260"/>
  <c r="AB198" i="260"/>
  <c r="AD199" i="260"/>
  <c r="AC199" i="260"/>
  <c r="AD204" i="260"/>
  <c r="AC200" i="260"/>
  <c r="H65" i="221"/>
  <c r="H29" i="221" s="1"/>
  <c r="F68" i="221"/>
  <c r="F32" i="221" s="1"/>
  <c r="H68" i="221"/>
  <c r="H32" i="221" s="1"/>
  <c r="G65" i="221"/>
  <c r="G29" i="221" s="1"/>
  <c r="F70" i="221"/>
  <c r="F34" i="221" s="1"/>
  <c r="G68" i="221"/>
  <c r="G32" i="221" s="1"/>
  <c r="F31" i="221"/>
  <c r="H67" i="221"/>
  <c r="H31" i="221" s="1"/>
  <c r="G67" i="221"/>
  <c r="G31" i="221" s="1"/>
  <c r="V46" i="267"/>
  <c r="V47" i="267"/>
  <c r="AD31" i="260"/>
  <c r="K31" i="260" s="1"/>
  <c r="V49" i="267"/>
  <c r="H73" i="221"/>
  <c r="H37" i="221" s="1"/>
  <c r="F35" i="221"/>
  <c r="G73" i="221"/>
  <c r="G37" i="221" s="1"/>
  <c r="G70" i="221"/>
  <c r="G34" i="221" s="1"/>
  <c r="H70" i="221"/>
  <c r="H34" i="221" s="1"/>
  <c r="F37" i="221"/>
  <c r="I8" i="269"/>
  <c r="Y11" i="270" l="1"/>
  <c r="Y15" i="270"/>
  <c r="AB15" i="270" s="1"/>
  <c r="Y19" i="270"/>
  <c r="AB19" i="270" s="1"/>
  <c r="Z7" i="270"/>
  <c r="AC7" i="270" s="1"/>
  <c r="K7" i="270" s="1"/>
  <c r="Z11" i="270"/>
  <c r="Z15" i="270"/>
  <c r="Z19" i="270"/>
  <c r="AC19" i="270" s="1"/>
  <c r="Y7" i="270"/>
  <c r="AB7" i="270" s="1"/>
  <c r="J7" i="270" s="1"/>
  <c r="X7" i="270"/>
  <c r="X19" i="270"/>
  <c r="AA19" i="270" s="1"/>
  <c r="X15" i="270"/>
  <c r="X11" i="270"/>
  <c r="AA11" i="270" s="1"/>
  <c r="Z10" i="270"/>
  <c r="Z14" i="270"/>
  <c r="Z18" i="270"/>
  <c r="AC18" i="270" s="1"/>
  <c r="Z22" i="270"/>
  <c r="AC22" i="270" s="1"/>
  <c r="Y10" i="270"/>
  <c r="Y14" i="270"/>
  <c r="AB14" i="270" s="1"/>
  <c r="Y18" i="270"/>
  <c r="AB18" i="270" s="1"/>
  <c r="Y22" i="270"/>
  <c r="AB22" i="270" s="1"/>
  <c r="X10" i="270"/>
  <c r="X14" i="270"/>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AK61" i="264"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C16" i="270"/>
  <c r="AC15" i="27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I54" i="264" s="1"/>
  <c r="AB11" i="270"/>
  <c r="AC11" i="270"/>
  <c r="AC14" i="270"/>
  <c r="AC10" i="270"/>
  <c r="AB10" i="270"/>
  <c r="AA10" i="270"/>
  <c r="AA14" i="270"/>
  <c r="T32" i="260"/>
  <c r="BE38" i="264"/>
  <c r="BD38" i="264"/>
  <c r="BF38" i="264"/>
  <c r="Z2" i="260"/>
  <c r="H71" i="221"/>
  <c r="H35" i="221" s="1"/>
  <c r="G71" i="221"/>
  <c r="G35" i="221" s="1"/>
  <c r="T146" i="260" l="1"/>
  <c r="T136" i="260"/>
  <c r="T152" i="260"/>
  <c r="Y162" i="260"/>
  <c r="AB162" i="260" s="1"/>
  <c r="Z162" i="260"/>
  <c r="AC162" i="260" s="1"/>
  <c r="AA162" i="260"/>
  <c r="AD162" i="260" s="1"/>
  <c r="T76" i="260"/>
  <c r="T126" i="260"/>
  <c r="T156" i="260"/>
  <c r="T46" i="260"/>
  <c r="T66" i="260"/>
  <c r="T86"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56" i="260"/>
  <c r="I15" i="270"/>
  <c r="AO54" i="264"/>
  <c r="J15" i="270"/>
  <c r="AP54" i="264"/>
  <c r="K15" i="270"/>
  <c r="AQ54" i="264"/>
  <c r="AT54" i="264" s="1"/>
  <c r="AT53" i="264" s="1"/>
  <c r="I16" i="270"/>
  <c r="AO61" i="264"/>
  <c r="J16" i="270"/>
  <c r="AP61" i="264"/>
  <c r="K16" i="270"/>
  <c r="AQ61" i="264"/>
  <c r="T96" i="260"/>
  <c r="T42" i="260"/>
  <c r="I11" i="270"/>
  <c r="AL54" i="264"/>
  <c r="AL53" i="264" s="1"/>
  <c r="AJ54" i="264"/>
  <c r="BE54" i="264" s="1"/>
  <c r="AK54" i="264"/>
  <c r="BF54" i="264" s="1"/>
  <c r="J14" i="270"/>
  <c r="AM75" i="264"/>
  <c r="AM74" i="264" s="1"/>
  <c r="K14" i="270"/>
  <c r="AN75" i="264"/>
  <c r="AN74" i="264" s="1"/>
  <c r="I13" i="270"/>
  <c r="AL68" i="264"/>
  <c r="AL67" i="264" s="1"/>
  <c r="K13" i="270"/>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O74" i="264" l="1"/>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<sst xmlns="http://schemas.openxmlformats.org/spreadsheetml/2006/main" count="4826" uniqueCount="965">
  <si>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</si>
  <si>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</si>
  <si>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</si>
  <si>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</si>
  <si>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</si>
  <si>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</si>
  <si>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</si>
  <si>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</si>
  <si>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</si>
  <si>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</si>
  <si>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</si>
  <si>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</si>
  <si>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</si>
  <si>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</si>
  <si>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</si>
  <si>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</si>
  <si>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</si>
  <si>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</si>
  <si>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</si>
  <si>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</si>
  <si>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</si>
  <si>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</si>
  <si>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</si>
  <si>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</si>
  <si>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</si>
  <si>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</si>
  <si>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</si>
  <si>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</si>
  <si>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</si>
  <si>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</si>
  <si>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</si>
  <si>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</si>
  <si>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</si>
  <si>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</si>
  <si>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</si>
  <si>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</si>
  <si>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</si>
  <si>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</si>
  <si>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</si>
  <si>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</si>
  <si>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</si>
  <si>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</si>
  <si>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</si>
  <si>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</si>
  <si>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</si>
  <si>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</si>
  <si>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</si>
  <si>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</si>
  <si>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</si>
  <si>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</si>
  <si>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</si>
  <si>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</si>
  <si>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</si>
  <si>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</si>
  <si>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</si>
  <si>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</si>
  <si>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</si>
  <si>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</si>
  <si>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</si>
  <si>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</si>
  <si>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</si>
  <si>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</si>
  <si>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</si>
  <si>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</si>
  <si>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</si>
  <si>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</si>
  <si>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</si>
  <si>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</si>
  <si>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</si>
  <si>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</si>
  <si>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</si>
  <si>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</si>
  <si>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</si>
  <si>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</si>
  <si>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</si>
  <si>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</si>
  <si>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</si>
  <si>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</si>
  <si>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</si>
  <si>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</si>
  <si>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</si>
  <si>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</si>
  <si>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</si>
  <si>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</si>
  <si>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</si>
  <si>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</si>
  <si>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</si>
  <si>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</si>
  <si>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</si>
  <si>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</si>
  <si>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</si>
  <si>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</si>
  <si>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</si>
  <si>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</si>
  <si>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</si>
  <si>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</si>
  <si>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</si>
  <si>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</si>
  <si>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</si>
  <si>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</si>
  <si>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</si>
  <si>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</si>
  <si>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</si>
  <si>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</si>
  <si>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</si>
  <si>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</si>
  <si>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</si>
  <si>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</si>
  <si>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</si>
  <si>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</si>
  <si>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</si>
  <si>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</si>
  <si>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</si>
  <si>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</si>
  <si>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</si>
  <si>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</si>
  <si>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</si>
  <si>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</si>
  <si>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</si>
  <si>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</si>
  <si>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</si>
  <si>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</si>
  <si>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</si>
  <si>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</si>
  <si>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</si>
  <si>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</si>
  <si>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</si>
  <si>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</si>
  <si>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</si>
  <si>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</si>
  <si>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</si>
  <si>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</si>
  <si>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</si>
  <si>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</si>
  <si>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</si>
  <si>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</si>
  <si>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</si>
  <si>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</si>
  <si>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</si>
  <si>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</si>
  <si>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</si>
  <si>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</si>
  <si>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</si>
  <si>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</si>
  <si>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</si>
  <si>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</si>
  <si>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</si>
  <si>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</si>
  <si>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</si>
  <si>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</si>
  <si>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</si>
  <si>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</si>
  <si>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</si>
  <si>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</si>
  <si>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</si>
  <si>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</si>
  <si>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</si>
  <si>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</si>
  <si>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</si>
  <si>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</si>
  <si>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</si>
  <si>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</si>
  <si>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</si>
  <si>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</si>
  <si>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</si>
  <si>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</si>
  <si>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</si>
  <si>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</si>
  <si>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</si>
  <si>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</si>
  <si>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</si>
  <si>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</si>
  <si>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</si>
  <si>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</si>
  <si>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</si>
  <si>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</si>
  <si>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</si>
  <si>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</si>
  <si>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</si>
  <si>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</si>
  <si>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</si>
  <si>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</si>
  <si>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</si>
  <si>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</si>
  <si>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</si>
  <si>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</si>
  <si>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</si>
  <si>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</si>
  <si>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</si>
  <si>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</si>
  <si>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</si>
  <si>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</si>
  <si>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</si>
  <si>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</si>
  <si>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</si>
  <si>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</si>
  <si>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</si>
  <si>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</si>
  <si>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</si>
  <si>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</si>
  <si>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</si>
  <si>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</si>
  <si>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</si>
  <si>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</si>
  <si>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</si>
  <si>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</si>
  <si>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</si>
  <si>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</si>
  <si>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</si>
  <si>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</si>
  <si>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</si>
  <si>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</si>
  <si>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</si>
  <si>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</si>
  <si>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</si>
  <si>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</si>
  <si>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</si>
  <si>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</si>
  <si>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</si>
  <si>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</si>
  <si>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</si>
  <si>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</si>
  <si>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</si>
  <si>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</si>
  <si>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</si>
  <si>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</si>
  <si>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</si>
  <si>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</si>
  <si>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</si>
  <si>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</si>
  <si>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</si>
  <si>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</si>
  <si>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</si>
  <si>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</si>
  <si>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</si>
  <si>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</si>
  <si>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</si>
  <si>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AZ2</t>
  </si>
  <si>
    <t>AZ3</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</si>
  <si>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</si>
  <si>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</si>
  <si>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</si>
  <si>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</si>
  <si>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</si>
  <si>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</si>
  <si>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</si>
  <si>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</si>
  <si>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</si>
  <si>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</si>
  <si>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</si>
  <si>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</si>
  <si>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</si>
  <si>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</si>
  <si>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</si>
  <si>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</si>
  <si>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</si>
  <si>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</si>
  <si>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</si>
  <si>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</si>
  <si>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</si>
  <si>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</si>
  <si>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</si>
  <si>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</si>
  <si>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</si>
  <si>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</si>
  <si>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</si>
  <si>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</si>
  <si>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</si>
  <si>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</si>
  <si>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</si>
  <si>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</si>
  <si>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</si>
  <si>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</si>
  <si>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</si>
  <si>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</si>
  <si>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</si>
  <si>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</si>
  <si>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</si>
  <si>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</si>
  <si>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</si>
  <si>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</si>
  <si>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</si>
  <si>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</si>
  <si>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</si>
  <si>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</si>
  <si>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</si>
  <si>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</si>
  <si>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</si>
  <si>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</si>
  <si>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</si>
  <si>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</si>
  <si>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</si>
  <si>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</si>
  <si>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</si>
  <si>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</si>
  <si>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</si>
  <si>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</si>
  <si>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</si>
  <si>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</si>
  <si>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</si>
  <si>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</si>
  <si>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</si>
  <si>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</si>
  <si>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</si>
  <si>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</si>
  <si>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</si>
  <si>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</si>
  <si>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</si>
  <si>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</si>
  <si>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</si>
  <si>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</si>
  <si>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</si>
  <si>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</si>
  <si>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</si>
  <si>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</si>
  <si>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</si>
  <si>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</si>
  <si>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</si>
  <si>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</si>
  <si>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</si>
  <si>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</si>
  <si>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</si>
  <si>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</si>
  <si>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</si>
  <si>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</si>
  <si>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</si>
  <si>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</si>
  <si>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</si>
  <si>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</si>
  <si>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</si>
  <si>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</si>
  <si>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</si>
  <si>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</si>
  <si>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</si>
  <si>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</si>
  <si>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</si>
  <si>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</si>
  <si>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</si>
  <si>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</si>
  <si>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</si>
  <si>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</si>
  <si>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</si>
  <si>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</si>
  <si>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</si>
  <si>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</si>
  <si>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</si>
  <si>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</si>
  <si>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</si>
  <si>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</si>
  <si>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</si>
  <si>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</si>
  <si>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</si>
  <si>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</si>
  <si>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</si>
  <si>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</si>
  <si>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</si>
  <si>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</si>
  <si>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</si>
  <si>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</si>
  <si>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</si>
  <si>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</si>
  <si>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</si>
  <si>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</si>
  <si>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</si>
  <si>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</si>
  <si>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</si>
  <si>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</si>
  <si>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</si>
  <si>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</si>
  <si>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</si>
  <si>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</si>
  <si>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</si>
  <si>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</si>
  <si>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</si>
  <si>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</si>
  <si>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</si>
  <si>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</si>
  <si>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</si>
  <si>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</si>
  <si>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</si>
  <si>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</si>
  <si>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</si>
  <si>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</si>
  <si>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</si>
  <si>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</si>
  <si>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</si>
  <si>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</si>
  <si>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</si>
  <si>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</si>
  <si>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</si>
  <si>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</si>
  <si>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</si>
  <si>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</si>
  <si>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</si>
  <si>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</si>
  <si>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</si>
  <si>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</si>
  <si>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</si>
  <si>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</si>
  <si>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</si>
  <si>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</si>
  <si>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</si>
  <si>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</si>
  <si>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</si>
  <si>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</si>
  <si>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</si>
  <si>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</si>
  <si>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</si>
  <si>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</si>
  <si>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</si>
  <si>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</si>
  <si>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</si>
  <si>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</si>
  <si>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</si>
  <si>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</si>
  <si>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</si>
  <si>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</si>
  <si>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</si>
  <si>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</si>
  <si>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</si>
  <si>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</si>
  <si>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</si>
  <si>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</si>
  <si>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</si>
  <si>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</si>
  <si>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</si>
  <si>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</si>
  <si>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</si>
  <si>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</si>
  <si>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</si>
  <si>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</si>
  <si>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</si>
  <si>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</si>
  <si>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</si>
  <si>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</si>
  <si>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</si>
  <si>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</si>
  <si>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</si>
  <si>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</si>
  <si>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</si>
  <si>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</si>
  <si>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</si>
  <si>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</si>
  <si>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</si>
  <si>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</si>
  <si>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</si>
  <si>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</si>
  <si>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</si>
  <si>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</si>
  <si>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</si>
  <si>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</si>
  <si>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</si>
  <si>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</si>
  <si>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</si>
  <si>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</si>
  <si>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</si>
  <si>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</si>
  <si>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</si>
  <si>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</si>
  <si>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</si>
  <si>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</si>
  <si>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</si>
  <si>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</si>
  <si>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</si>
  <si>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</si>
  <si>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</si>
  <si>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</si>
  <si>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</si>
  <si>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</si>
  <si>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</si>
  <si>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</si>
  <si>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</si>
  <si>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</si>
  <si>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</si>
  <si>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</si>
  <si>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</si>
  <si>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</si>
  <si>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</si>
  <si>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</si>
  <si>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</si>
  <si>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</si>
  <si>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</si>
  <si>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</si>
  <si>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</si>
  <si>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</si>
  <si>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</si>
  <si>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</si>
  <si>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</si>
  <si>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</si>
  <si>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</si>
  <si>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</si>
  <si>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</si>
  <si>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</si>
  <si>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</si>
  <si>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</si>
  <si>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</si>
  <si>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</si>
  <si>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</si>
  <si>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</si>
  <si>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</si>
  <si>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</si>
  <si>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</si>
  <si>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</si>
  <si>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</si>
  <si>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</si>
  <si>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</si>
  <si>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</si>
  <si>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</si>
  <si>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</si>
  <si>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</si>
  <si>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</si>
  <si>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</si>
  <si>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</si>
  <si>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</si>
  <si>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</si>
  <si>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</si>
  <si>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</si>
  <si>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</si>
  <si>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</si>
  <si>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</si>
  <si>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</si>
  <si>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</si>
  <si>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</si>
  <si>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</si>
  <si>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</si>
  <si>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</si>
  <si>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</si>
  <si>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</si>
  <si>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</si>
  <si>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</si>
  <si>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</si>
  <si>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</si>
  <si>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</si>
  <si>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</si>
  <si>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</si>
  <si>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</si>
  <si>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</si>
  <si>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</si>
  <si>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</si>
  <si>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</si>
  <si>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</si>
  <si>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</si>
  <si>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</si>
  <si>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</si>
  <si>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</si>
  <si>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</si>
  <si>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</si>
  <si>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</si>
  <si>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</si>
  <si>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</si>
  <si>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</si>
  <si>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</si>
  <si>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</si>
  <si>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</si>
  <si>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</si>
  <si>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</si>
  <si>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</si>
  <si>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</si>
  <si>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</si>
  <si>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</si>
  <si>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</si>
  <si>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</si>
  <si>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</si>
  <si>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</si>
  <si>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</si>
  <si>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</si>
  <si>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</si>
  <si>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</si>
  <si>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</si>
  <si>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</si>
  <si>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</si>
  <si>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</si>
  <si>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</si>
  <si>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</si>
  <si>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</si>
  <si>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</si>
  <si>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</si>
  <si>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</si>
  <si>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</si>
  <si>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</si>
  <si>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</si>
  <si>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</si>
  <si>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</si>
  <si>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</si>
  <si>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</si>
  <si>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</si>
  <si>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</si>
  <si>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</si>
  <si>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</si>
  <si>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</si>
  <si>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</si>
  <si>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</si>
  <si>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</si>
  <si>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</si>
  <si>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</si>
  <si>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</si>
  <si>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</si>
  <si>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</si>
  <si>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</si>
  <si>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</si>
  <si>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</si>
  <si>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</si>
  <si>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</si>
  <si>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</si>
  <si>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</si>
  <si>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</si>
  <si>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</si>
  <si>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</si>
  <si>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</si>
  <si>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</si>
  <si>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</si>
  <si>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</si>
  <si>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</si>
  <si>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</si>
  <si>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</si>
  <si>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</si>
  <si>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</si>
  <si>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</si>
  <si>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</si>
  <si>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</si>
  <si>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</si>
  <si>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</si>
  <si>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</si>
  <si>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</si>
  <si>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</si>
  <si>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</si>
  <si>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</si>
  <si>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</si>
  <si>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</si>
  <si>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</si>
  <si>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</si>
  <si>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</si>
  <si>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</si>
  <si>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</si>
  <si>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</si>
  <si>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</si>
  <si>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</si>
  <si>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</si>
  <si>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</si>
  <si>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</si>
  <si>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</si>
  <si>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</si>
  <si>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</si>
  <si>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</si>
  <si>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</si>
  <si>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</si>
  <si>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</si>
  <si>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</si>
  <si>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</si>
  <si>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</si>
  <si>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</si>
  <si>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</si>
  <si>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</si>
  <si>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</si>
  <si>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</si>
  <si>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</si>
  <si>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</si>
  <si>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</si>
  <si>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</si>
  <si>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</si>
  <si>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</si>
  <si>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</si>
  <si>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</si>
  <si>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</si>
  <si>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</si>
  <si>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</si>
  <si>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</si>
  <si>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</si>
  <si>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</si>
  <si>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</si>
  <si>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</si>
  <si>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</si>
  <si>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</si>
  <si>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</si>
  <si>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</si>
  <si>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</si>
  <si>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</si>
  <si>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</si>
  <si>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</si>
  <si>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</si>
  <si>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</si>
  <si>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</si>
  <si>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</si>
  <si>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</si>
  <si>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</si>
  <si>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</si>
  <si>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</si>
  <si>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</si>
  <si>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</si>
  <si>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</si>
  <si>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</si>
  <si>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</si>
  <si>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</si>
  <si>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</si>
  <si>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</si>
  <si>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</si>
  <si>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</si>
  <si>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</si>
  <si>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</si>
  <si>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</si>
  <si>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</si>
  <si>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</si>
  <si>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</si>
  <si>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</si>
  <si>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</si>
  <si>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</si>
  <si>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</si>
  <si>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</si>
  <si>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</si>
  <si>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</si>
  <si>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</si>
  <si>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</si>
  <si>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</si>
  <si>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</si>
  <si>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</si>
  <si>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</si>
  <si>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</si>
  <si>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</si>
  <si>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</si>
  <si>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</si>
  <si>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</si>
  <si>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</si>
  <si>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</si>
  <si>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</si>
  <si>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</si>
  <si>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</si>
  <si>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</si>
  <si>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</si>
  <si>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</si>
  <si>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</si>
  <si>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</si>
  <si>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</si>
  <si>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</si>
  <si>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</si>
  <si>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</si>
  <si>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</si>
  <si>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</si>
  <si>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</si>
  <si>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</si>
  <si>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</si>
  <si>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</si>
  <si>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DEMAND~AZ2</t>
  </si>
  <si>
    <t>DEMAND~AZ3</t>
  </si>
  <si>
    <t>Share of residential stock</t>
  </si>
  <si>
    <t>Seperate</t>
  </si>
  <si>
    <t>Multi</t>
  </si>
  <si>
    <t>building type</t>
  </si>
  <si>
    <t>Building location</t>
  </si>
  <si>
    <t>Building location and type</t>
  </si>
  <si>
    <t>STOCK~AZ2</t>
  </si>
  <si>
    <t>STOCK~AZ3</t>
  </si>
  <si>
    <t>EFF~AZ2</t>
  </si>
  <si>
    <t>EFF~AZ3</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</si>
  <si>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</si>
  <si>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</si>
  <si>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</si>
  <si>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</si>
  <si>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</si>
  <si>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</si>
  <si>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</si>
  <si>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</si>
  <si>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</si>
  <si>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</si>
  <si>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</si>
  <si>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</si>
  <si>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</si>
  <si>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</si>
  <si>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</si>
  <si>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</si>
  <si>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</si>
  <si>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</si>
  <si>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</si>
  <si>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</si>
  <si>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</si>
  <si>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</si>
  <si>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</si>
  <si>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</si>
  <si>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</si>
  <si>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</si>
  <si>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</si>
  <si>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</si>
  <si>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</si>
  <si>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</si>
  <si>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</si>
  <si>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</si>
  <si>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</si>
  <si>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</si>
  <si>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</si>
  <si>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</si>
  <si>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</si>
  <si>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</si>
  <si>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</si>
  <si>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</si>
  <si>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</si>
  <si>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</si>
  <si>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</si>
  <si>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</si>
  <si>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</si>
  <si>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</si>
  <si>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</si>
  <si>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</si>
  <si>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</si>
  <si>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</si>
  <si>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</si>
  <si>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</si>
  <si>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</si>
  <si>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</si>
  <si>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</si>
  <si>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</si>
  <si>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</si>
  <si>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</si>
  <si>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</si>
  <si>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</si>
  <si>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</si>
  <si>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</si>
  <si>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</si>
  <si>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</si>
  <si>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</si>
  <si>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</si>
  <si>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</si>
  <si>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</si>
  <si>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</si>
  <si>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</si>
  <si>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</si>
  <si>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</si>
  <si>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</si>
  <si>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</si>
  <si>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</si>
  <si>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</si>
  <si>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</si>
  <si>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</si>
  <si>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</si>
  <si>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</si>
  <si>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</si>
  <si>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</si>
  <si>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</si>
  <si>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</si>
  <si>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</si>
  <si>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</si>
  <si>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</si>
  <si>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</si>
  <si>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</si>
  <si>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</si>
  <si>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</si>
  <si>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</si>
  <si>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</si>
  <si>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</si>
  <si>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</si>
  <si>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</si>
  <si>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NGAD</t>
  </si>
  <si>
    <t>ACTBND~LO~AZ2</t>
  </si>
  <si>
    <t>ACTBND~LO~AZ3</t>
  </si>
  <si>
    <t>ACTBND~LO~AZ3~2100</t>
  </si>
  <si>
    <t>ACTBND~LO~AZ2~0</t>
  </si>
  <si>
    <t>ACTBND~LO~AZ3~0</t>
  </si>
  <si>
    <t>ACTBND~LO~AZ2~2100</t>
  </si>
  <si>
    <t>RESHSAV</t>
  </si>
  <si>
    <t>Residenatial spatial heat savings</t>
  </si>
  <si>
    <t>HSE</t>
  </si>
  <si>
    <t>District heating SubUrban</t>
  </si>
  <si>
    <t>Calibration factor</t>
  </si>
  <si>
    <t>EFF~AZ2~2015</t>
  </si>
  <si>
    <t>EFF~AZ3~2015</t>
  </si>
  <si>
    <t>EFF~AZ2~2018</t>
  </si>
  <si>
    <t>EFF~AZ3~2018</t>
  </si>
  <si>
    <t>STOCK~2015~AZ2</t>
  </si>
  <si>
    <t>STOCK~2015~AZ3</t>
  </si>
  <si>
    <t>STOCK~2017~AZ2</t>
  </si>
  <si>
    <t>STOCK~2017~AZ3</t>
  </si>
  <si>
    <t>ACTBND~LO~AZ2~2015</t>
  </si>
  <si>
    <t>ACTBND~LO~AZ3~2015</t>
  </si>
  <si>
    <t>ACTBND~LO~AZ2~2017</t>
  </si>
  <si>
    <t>ACTBND~LO~AZ3~2017</t>
  </si>
  <si>
    <t>*Calibration factor</t>
  </si>
  <si>
    <t>EFF~AZ2~2019</t>
  </si>
  <si>
    <t>EFF~AZ3~2019</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</si>
  <si>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</si>
  <si>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</si>
  <si>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</si>
  <si>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</si>
  <si>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</si>
  <si>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</si>
  <si>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</si>
  <si>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</si>
  <si>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</si>
  <si>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</si>
  <si>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</si>
  <si>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</si>
  <si>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</si>
  <si>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</si>
  <si>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</si>
  <si>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</si>
  <si>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</si>
  <si>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</si>
  <si>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</si>
  <si>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</si>
  <si>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</si>
  <si>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</si>
  <si>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</si>
  <si>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</si>
  <si>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</si>
  <si>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</si>
  <si>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</si>
  <si>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</si>
  <si>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</si>
  <si>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</si>
  <si>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</si>
  <si>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</si>
  <si>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</si>
  <si>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</si>
  <si>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</si>
  <si>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</si>
  <si>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</si>
  <si>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</si>
  <si>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</si>
  <si>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</si>
  <si>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</si>
  <si>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</si>
  <si>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</si>
  <si>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</si>
  <si>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</si>
  <si>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</si>
  <si>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</si>
  <si>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</si>
  <si>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</si>
  <si>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</si>
  <si>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</si>
  <si>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</si>
  <si>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</si>
  <si>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</si>
  <si>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</si>
  <si>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</si>
  <si>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</si>
  <si>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</si>
  <si>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</si>
  <si>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</si>
  <si>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</si>
  <si>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</si>
  <si>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</si>
  <si>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</si>
  <si>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</si>
  <si>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</si>
  <si>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</si>
  <si>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</si>
  <si>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</si>
  <si>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</si>
  <si>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</si>
  <si>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</si>
  <si>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</si>
  <si>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</si>
  <si>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</si>
  <si>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</si>
  <si>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</si>
  <si>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</si>
  <si>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</si>
  <si>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Antaget samme split for Rural som for AZ</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</si>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</sst>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
      <u/>
      <sz val="10"/>
      <color theme="10"/>
      <name val="Arial"/>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698">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165" fontId="86" fillId="0" borderId="0" xfId="38" applyFont="1" applyFill="1" applyBorder="1"/>
    <xf numFmtId="175"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165" fontId="86" fillId="0" borderId="0" xfId="38" applyFont="1" applyBorder="1"/>
    <xf numFmtId="173"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8"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43"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185" fontId="99" fillId="40" borderId="74" xfId="4348" applyNumberFormat="1"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165"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193"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2" fontId="120" fillId="0" borderId="0" xfId="4350" applyNumberFormat="1" applyFont="1" applyAlignment="1">
      <alignment horizontal="right" vertical="center" shrinkToFit="1"/>
    </xf>
    <xf numFmtId="193"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8" fontId="8" fillId="40" borderId="0" xfId="0" applyNumberFormat="1" applyFont="1" applyFill="1" applyBorder="1"/>
    <xf numFmtId="178" fontId="7" fillId="40" borderId="0" xfId="0" applyNumberFormat="1" applyFont="1" applyFill="1" applyBorder="1" applyAlignment="1">
      <alignment horizontal="left"/>
    </xf>
    <xf numFmtId="178"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8" fontId="0" fillId="91" borderId="0" xfId="0" applyNumberFormat="1" applyFill="1"/>
    <xf numFmtId="178" fontId="0" fillId="91" borderId="0" xfId="0" applyNumberFormat="1" applyFont="1" applyFill="1"/>
    <xf numFmtId="178" fontId="8" fillId="91" borderId="0" xfId="0" applyNumberFormat="1" applyFont="1" applyFill="1" applyBorder="1"/>
    <xf numFmtId="178"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0" fillId="91" borderId="0" xfId="0" applyNumberFormat="1" applyFont="1" applyFill="1" applyBorder="1"/>
    <xf numFmtId="0" fontId="0" fillId="91" borderId="50" xfId="0" applyFill="1" applyBorder="1"/>
    <xf numFmtId="0" fontId="0" fillId="91" borderId="54" xfId="0" applyFill="1" applyBorder="1"/>
    <xf numFmtId="173" fontId="80" fillId="91" borderId="50" xfId="0" applyNumberFormat="1" applyFont="1" applyFill="1" applyBorder="1"/>
    <xf numFmtId="178" fontId="0" fillId="91" borderId="0" xfId="0" applyNumberFormat="1" applyFill="1" applyBorder="1"/>
    <xf numFmtId="178" fontId="7" fillId="91" borderId="0" xfId="0" applyNumberFormat="1" applyFont="1" applyFill="1" applyBorder="1"/>
    <xf numFmtId="178"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8" fontId="8" fillId="91" borderId="0" xfId="38" applyNumberFormat="1" applyFont="1" applyFill="1"/>
    <xf numFmtId="0" fontId="86" fillId="91" borderId="0" xfId="0" applyFont="1" applyFill="1" applyAlignment="1">
      <alignment horizontal="left"/>
    </xf>
    <xf numFmtId="165" fontId="0" fillId="0" borderId="0" xfId="0" applyNumberFormat="1"/>
    <xf numFmtId="178" fontId="7" fillId="91" borderId="83" xfId="0" applyNumberFormat="1" applyFont="1" applyFill="1" applyBorder="1"/>
    <xf numFmtId="178" fontId="0" fillId="91" borderId="83" xfId="0" applyNumberFormat="1" applyFill="1" applyBorder="1"/>
    <xf numFmtId="178" fontId="35" fillId="91" borderId="83" xfId="0" applyNumberFormat="1" applyFont="1" applyFill="1" applyBorder="1"/>
    <xf numFmtId="178"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5"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22" fillId="90" borderId="127" xfId="4350" applyFont="1" applyFill="1" applyBorder="1" applyAlignment="1">
      <alignment horizontal="center" vertical="center"/>
    </xf>
    <xf numFmtId="0" fontId="122" fillId="90" borderId="127" xfId="4350" applyFont="1" applyFill="1" applyBorder="1" applyAlignment="1">
      <alignment horizontal="right" vertic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0" fontId="124" fillId="0" borderId="0" xfId="4351"/>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1" builtinId="8"/>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130</v>
      </c>
      <c r="B3" s="91" t="s">
        <v>110</v>
      </c>
      <c r="C3" s="91" t="s">
        <v>131</v>
      </c>
      <c r="D3" s="91" t="s">
        <v>132</v>
      </c>
      <c r="E3" s="91" t="s">
        <v>133</v>
      </c>
    </row>
    <row r="4" spans="1:6" ht="13">
      <c r="A4" s="291">
        <v>44300</v>
      </c>
      <c r="B4" s="292" t="s">
        <v>201</v>
      </c>
      <c r="C4" s="292"/>
      <c r="D4" s="293"/>
      <c r="E4" s="294" t="s">
        <v>202</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A12" workbookViewId="0">
      <selection activeCell="B20" sqref="B20"/>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836</v>
      </c>
      <c r="C15" s="564" t="s">
        <v>837</v>
      </c>
    </row>
    <row r="16" spans="2:3">
      <c r="B16" s="142" t="s">
        <v>295</v>
      </c>
      <c r="C16" s="564" t="s">
        <v>838</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839</v>
      </c>
      <c r="C22" s="564" t="s">
        <v>843</v>
      </c>
    </row>
    <row r="23" spans="2:3">
      <c r="B23" s="567" t="s">
        <v>840</v>
      </c>
      <c r="C23" s="564" t="s">
        <v>842</v>
      </c>
    </row>
    <row r="24" spans="2:3">
      <c r="B24" s="566" t="s">
        <v>225</v>
      </c>
      <c r="C24" s="564" t="s">
        <v>844</v>
      </c>
    </row>
    <row r="25" spans="2:3">
      <c r="B25" s="566" t="s">
        <v>841</v>
      </c>
      <c r="C25" s="564" t="s">
        <v>845</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3"/>
  <sheetViews>
    <sheetView zoomScale="55" zoomScaleNormal="55" workbookViewId="0">
      <selection activeCell="Q32" sqref="Q32"/>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43" t="s">
        <v>796</v>
      </c>
      <c r="C2" s="543" t="s">
        <v>153</v>
      </c>
      <c r="D2" s="106" t="s">
        <v>815</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0"/>
      <c r="K5" s="127"/>
      <c r="L5" s="296" t="s">
        <v>771</v>
      </c>
      <c r="M5" s="296" t="s">
        <v>772</v>
      </c>
      <c r="N5" s="296" t="s">
        <v>773</v>
      </c>
      <c r="O5" s="296" t="s">
        <v>774</v>
      </c>
      <c r="P5" s="296" t="s">
        <v>795</v>
      </c>
      <c r="Q5" s="296" t="s">
        <v>810</v>
      </c>
      <c r="R5" s="296" t="s">
        <v>813</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767</v>
      </c>
      <c r="M7" s="127" t="s">
        <v>116</v>
      </c>
      <c r="N7" s="127" t="s">
        <v>736</v>
      </c>
      <c r="O7" s="127" t="s">
        <v>772</v>
      </c>
      <c r="P7" s="126"/>
      <c r="Q7" s="126"/>
      <c r="R7" s="126" t="s">
        <v>814</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767</v>
      </c>
      <c r="M8" s="127" t="s">
        <v>116</v>
      </c>
      <c r="N8" s="127" t="s">
        <v>737</v>
      </c>
      <c r="O8" s="127" t="s">
        <v>772</v>
      </c>
      <c r="P8" s="126"/>
      <c r="Q8" s="126"/>
      <c r="R8" s="126" t="s">
        <v>814</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767</v>
      </c>
      <c r="M9" s="127" t="s">
        <v>745</v>
      </c>
      <c r="N9" s="127" t="s">
        <v>736</v>
      </c>
      <c r="O9" s="127" t="s">
        <v>772</v>
      </c>
      <c r="P9" s="126"/>
      <c r="Q9" s="126"/>
      <c r="R9" s="126" t="s">
        <v>814</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767</v>
      </c>
      <c r="M10" s="127" t="s">
        <v>745</v>
      </c>
      <c r="N10" s="127" t="s">
        <v>737</v>
      </c>
      <c r="O10" s="127" t="s">
        <v>772</v>
      </c>
      <c r="P10" s="127"/>
      <c r="Q10" s="127"/>
      <c r="R10" s="126" t="s">
        <v>814</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295</v>
      </c>
      <c r="M11" s="127" t="s">
        <v>116</v>
      </c>
      <c r="N11" s="127" t="s">
        <v>736</v>
      </c>
      <c r="O11" s="127" t="s">
        <v>772</v>
      </c>
      <c r="P11" s="127"/>
      <c r="Q11" s="127"/>
      <c r="R11" s="126" t="s">
        <v>814</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295</v>
      </c>
      <c r="M12" s="127" t="s">
        <v>116</v>
      </c>
      <c r="N12" s="127" t="s">
        <v>737</v>
      </c>
      <c r="O12" s="127" t="s">
        <v>772</v>
      </c>
      <c r="P12" s="127"/>
      <c r="Q12" s="127"/>
      <c r="R12" s="126" t="s">
        <v>814</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295</v>
      </c>
      <c r="M13" s="127" t="s">
        <v>745</v>
      </c>
      <c r="N13" s="127" t="s">
        <v>736</v>
      </c>
      <c r="O13" s="127" t="s">
        <v>772</v>
      </c>
      <c r="P13" s="127"/>
      <c r="Q13" s="127"/>
      <c r="R13" s="126" t="s">
        <v>814</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295</v>
      </c>
      <c r="M14" s="127" t="s">
        <v>745</v>
      </c>
      <c r="N14" s="127" t="s">
        <v>737</v>
      </c>
      <c r="O14" s="127" t="s">
        <v>772</v>
      </c>
      <c r="P14" s="127"/>
      <c r="Q14" s="127"/>
      <c r="R14" s="126" t="s">
        <v>814</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816</v>
      </c>
      <c r="M15" s="127"/>
      <c r="N15" s="127"/>
      <c r="P15" s="127"/>
      <c r="Q15" s="127" t="s">
        <v>17</v>
      </c>
      <c r="R15" s="126" t="s">
        <v>814</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294</v>
      </c>
      <c r="M16" s="127"/>
      <c r="N16" s="127"/>
      <c r="P16" s="127"/>
      <c r="Q16" s="127" t="s">
        <v>17</v>
      </c>
      <c r="R16" s="126" t="s">
        <v>814</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817</v>
      </c>
      <c r="M17" s="127"/>
      <c r="N17" s="127"/>
      <c r="P17" s="127"/>
      <c r="Q17" s="127" t="s">
        <v>17</v>
      </c>
      <c r="R17" s="126" t="s">
        <v>814</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797</v>
      </c>
      <c r="R18" s="127" t="s">
        <v>818</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922</v>
      </c>
      <c r="R19" s="127" t="s">
        <v>923</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798</v>
      </c>
      <c r="R20" s="127" t="s">
        <v>798</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799</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800</v>
      </c>
      <c r="R22" s="127" t="s">
        <v>819</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801</v>
      </c>
      <c r="R23" s="127" t="s">
        <v>820</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802</v>
      </c>
      <c r="R24" s="127" t="s">
        <v>821</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925</v>
      </c>
      <c r="R25" s="127" t="s">
        <v>926</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822</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803</v>
      </c>
      <c r="R27" s="127" t="s">
        <v>823</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804</v>
      </c>
      <c r="R28" s="127" t="s">
        <v>824</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825</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805</v>
      </c>
      <c r="R30" s="127" t="s">
        <v>826</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928</v>
      </c>
      <c r="R31" s="127" t="s">
        <v>929</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933</v>
      </c>
      <c r="R32" s="127" t="s">
        <v>932</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806</v>
      </c>
      <c r="R33" s="127" t="s">
        <v>827</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858</v>
      </c>
      <c r="R34" s="127" t="s">
        <v>859</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807</v>
      </c>
      <c r="R35" s="127" t="s">
        <v>828</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808</v>
      </c>
      <c r="R36" s="127" t="s">
        <v>829</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809</v>
      </c>
      <c r="R37" s="127" t="s">
        <v>830</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767</v>
      </c>
      <c r="M38" s="127" t="s">
        <v>116</v>
      </c>
      <c r="N38" s="127" t="s">
        <v>736</v>
      </c>
      <c r="O38" s="127" t="s">
        <v>811</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767</v>
      </c>
      <c r="M39" s="127" t="s">
        <v>116</v>
      </c>
      <c r="N39" s="127" t="s">
        <v>737</v>
      </c>
      <c r="O39" s="127" t="s">
        <v>811</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767</v>
      </c>
      <c r="M40" s="127" t="s">
        <v>745</v>
      </c>
      <c r="N40" s="127" t="s">
        <v>736</v>
      </c>
      <c r="O40" s="127" t="s">
        <v>811</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767</v>
      </c>
      <c r="M41" s="127" t="s">
        <v>745</v>
      </c>
      <c r="N41" s="127" t="s">
        <v>737</v>
      </c>
      <c r="O41" s="127" t="s">
        <v>811</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767</v>
      </c>
      <c r="M42" s="127" t="s">
        <v>116</v>
      </c>
      <c r="N42" s="127" t="s">
        <v>736</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767</v>
      </c>
      <c r="M43" s="127" t="s">
        <v>116</v>
      </c>
      <c r="N43" s="127" t="s">
        <v>737</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767</v>
      </c>
      <c r="M44" s="127" t="s">
        <v>745</v>
      </c>
      <c r="N44" s="127" t="s">
        <v>736</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767</v>
      </c>
      <c r="M45" s="127" t="s">
        <v>745</v>
      </c>
      <c r="N45" s="127" t="s">
        <v>737</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767</v>
      </c>
      <c r="M46" s="127" t="s">
        <v>116</v>
      </c>
      <c r="N46" s="127" t="s">
        <v>736</v>
      </c>
      <c r="O46" s="127" t="s">
        <v>135</v>
      </c>
      <c r="P46" s="127" t="s">
        <v>775</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767</v>
      </c>
      <c r="M47" s="127" t="s">
        <v>116</v>
      </c>
      <c r="N47" s="127" t="s">
        <v>737</v>
      </c>
      <c r="O47" s="127" t="s">
        <v>135</v>
      </c>
      <c r="P47" s="127" t="s">
        <v>775</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767</v>
      </c>
      <c r="M48" s="127" t="s">
        <v>745</v>
      </c>
      <c r="N48" s="127" t="s">
        <v>736</v>
      </c>
      <c r="O48" s="127" t="s">
        <v>135</v>
      </c>
      <c r="P48" s="127" t="s">
        <v>775</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767</v>
      </c>
      <c r="M49" s="127" t="s">
        <v>745</v>
      </c>
      <c r="N49" s="127" t="s">
        <v>737</v>
      </c>
      <c r="O49" s="127" t="s">
        <v>135</v>
      </c>
      <c r="P49" s="127" t="s">
        <v>775</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767</v>
      </c>
      <c r="M50" s="127" t="s">
        <v>116</v>
      </c>
      <c r="N50" s="127" t="s">
        <v>736</v>
      </c>
      <c r="O50" s="127" t="s">
        <v>135</v>
      </c>
      <c r="P50" s="127" t="s">
        <v>776</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767</v>
      </c>
      <c r="M51" s="127" t="s">
        <v>116</v>
      </c>
      <c r="N51" s="127" t="s">
        <v>737</v>
      </c>
      <c r="O51" s="127" t="s">
        <v>135</v>
      </c>
      <c r="P51" s="127" t="s">
        <v>776</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767</v>
      </c>
      <c r="M52" s="127" t="s">
        <v>745</v>
      </c>
      <c r="N52" s="127" t="s">
        <v>736</v>
      </c>
      <c r="O52" s="127" t="s">
        <v>135</v>
      </c>
      <c r="P52" s="127" t="s">
        <v>776</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767</v>
      </c>
      <c r="M53" s="127" t="s">
        <v>745</v>
      </c>
      <c r="N53" s="127" t="s">
        <v>737</v>
      </c>
      <c r="O53" s="127" t="s">
        <v>135</v>
      </c>
      <c r="P53" s="127" t="s">
        <v>776</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295</v>
      </c>
      <c r="M54" s="127" t="s">
        <v>116</v>
      </c>
      <c r="N54" s="127" t="s">
        <v>736</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295</v>
      </c>
      <c r="M55" s="127" t="s">
        <v>116</v>
      </c>
      <c r="N55" s="127" t="s">
        <v>737</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295</v>
      </c>
      <c r="M56" s="127" t="s">
        <v>745</v>
      </c>
      <c r="N56" s="127" t="s">
        <v>736</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295</v>
      </c>
      <c r="M57" s="127" t="s">
        <v>745</v>
      </c>
      <c r="N57" s="127" t="s">
        <v>737</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767</v>
      </c>
      <c r="M58" s="127" t="s">
        <v>116</v>
      </c>
      <c r="N58" s="127" t="s">
        <v>736</v>
      </c>
      <c r="O58" s="127" t="s">
        <v>812</v>
      </c>
      <c r="P58" s="127" t="s">
        <v>754</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767</v>
      </c>
      <c r="M59" s="127" t="s">
        <v>116</v>
      </c>
      <c r="N59" s="127" t="s">
        <v>736</v>
      </c>
      <c r="O59" s="127" t="s">
        <v>812</v>
      </c>
      <c r="P59" s="127" t="s">
        <v>755</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767</v>
      </c>
      <c r="M60" s="127" t="s">
        <v>116</v>
      </c>
      <c r="N60" s="127" t="s">
        <v>736</v>
      </c>
      <c r="O60" s="127" t="s">
        <v>812</v>
      </c>
      <c r="P60" s="127" t="s">
        <v>756</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767</v>
      </c>
      <c r="M61" s="127" t="s">
        <v>116</v>
      </c>
      <c r="N61" s="127" t="s">
        <v>737</v>
      </c>
      <c r="O61" s="127" t="s">
        <v>812</v>
      </c>
      <c r="P61" s="127" t="s">
        <v>754</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767</v>
      </c>
      <c r="M62" s="127" t="s">
        <v>116</v>
      </c>
      <c r="N62" s="127" t="s">
        <v>737</v>
      </c>
      <c r="O62" s="127" t="s">
        <v>812</v>
      </c>
      <c r="P62" s="127" t="s">
        <v>755</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767</v>
      </c>
      <c r="M63" s="127" t="s">
        <v>116</v>
      </c>
      <c r="N63" s="127" t="s">
        <v>737</v>
      </c>
      <c r="O63" s="127" t="s">
        <v>812</v>
      </c>
      <c r="P63" s="127" t="s">
        <v>756</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767</v>
      </c>
      <c r="M64" s="127" t="s">
        <v>745</v>
      </c>
      <c r="N64" s="127" t="s">
        <v>736</v>
      </c>
      <c r="O64" s="127" t="s">
        <v>812</v>
      </c>
      <c r="P64" s="127" t="s">
        <v>754</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767</v>
      </c>
      <c r="M65" s="127" t="s">
        <v>745</v>
      </c>
      <c r="N65" s="127" t="s">
        <v>736</v>
      </c>
      <c r="O65" s="127" t="s">
        <v>812</v>
      </c>
      <c r="P65" s="127" t="s">
        <v>755</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767</v>
      </c>
      <c r="M66" s="127" t="s">
        <v>745</v>
      </c>
      <c r="N66" s="127" t="s">
        <v>736</v>
      </c>
      <c r="O66" s="127" t="s">
        <v>812</v>
      </c>
      <c r="P66" s="127" t="s">
        <v>756</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767</v>
      </c>
      <c r="M67" s="127" t="s">
        <v>745</v>
      </c>
      <c r="N67" s="127" t="s">
        <v>737</v>
      </c>
      <c r="O67" s="127" t="s">
        <v>812</v>
      </c>
      <c r="P67" s="127" t="s">
        <v>754</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767</v>
      </c>
      <c r="M68" s="127" t="s">
        <v>745</v>
      </c>
      <c r="N68" s="127" t="s">
        <v>737</v>
      </c>
      <c r="O68" s="127" t="s">
        <v>812</v>
      </c>
      <c r="P68" s="127" t="s">
        <v>755</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767</v>
      </c>
      <c r="M69" s="127" t="s">
        <v>745</v>
      </c>
      <c r="N69" s="127" t="s">
        <v>737</v>
      </c>
      <c r="O69" s="127" t="s">
        <v>812</v>
      </c>
      <c r="P69" s="127" t="s">
        <v>756</v>
      </c>
      <c r="Q69" s="509"/>
      <c r="R69" s="509"/>
      <c r="S69" s="509"/>
      <c r="T69" s="509"/>
      <c r="V69" s="509"/>
      <c r="W69" s="509"/>
      <c r="X69" s="509"/>
      <c r="Y69" s="509"/>
      <c r="Z69" s="509"/>
      <c r="AA69" s="509"/>
    </row>
    <row r="70" spans="2:27" ht="16.25"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295</v>
      </c>
      <c r="M70" s="127" t="s">
        <v>116</v>
      </c>
      <c r="N70" s="127" t="s">
        <v>736</v>
      </c>
      <c r="O70" s="127" t="s">
        <v>812</v>
      </c>
      <c r="P70" s="127" t="s">
        <v>754</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295</v>
      </c>
      <c r="M71" s="127" t="s">
        <v>116</v>
      </c>
      <c r="N71" s="127" t="s">
        <v>736</v>
      </c>
      <c r="O71" s="127" t="s">
        <v>812</v>
      </c>
      <c r="P71" s="127" t="s">
        <v>755</v>
      </c>
    </row>
    <row r="72" spans="2:27" ht="16.25"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295</v>
      </c>
      <c r="M72" s="127" t="s">
        <v>116</v>
      </c>
      <c r="N72" s="127" t="s">
        <v>736</v>
      </c>
      <c r="O72" s="127" t="s">
        <v>812</v>
      </c>
      <c r="P72" s="127" t="s">
        <v>756</v>
      </c>
    </row>
    <row r="73" spans="2:27" ht="16.25"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295</v>
      </c>
      <c r="M73" s="127" t="s">
        <v>116</v>
      </c>
      <c r="N73" s="127" t="s">
        <v>737</v>
      </c>
      <c r="O73" s="127" t="s">
        <v>812</v>
      </c>
      <c r="P73" s="127" t="s">
        <v>754</v>
      </c>
    </row>
    <row r="74" spans="2:27" ht="16.25"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295</v>
      </c>
      <c r="M74" s="127" t="s">
        <v>116</v>
      </c>
      <c r="N74" s="127" t="s">
        <v>737</v>
      </c>
      <c r="O74" s="127" t="s">
        <v>812</v>
      </c>
      <c r="P74" s="127" t="s">
        <v>755</v>
      </c>
    </row>
    <row r="75" spans="2:27" ht="16.25"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295</v>
      </c>
      <c r="M75" s="127" t="s">
        <v>116</v>
      </c>
      <c r="N75" s="127" t="s">
        <v>737</v>
      </c>
      <c r="O75" s="127" t="s">
        <v>812</v>
      </c>
      <c r="P75" s="127" t="s">
        <v>756</v>
      </c>
    </row>
    <row r="76" spans="2:27" ht="16.25"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295</v>
      </c>
      <c r="M76" s="127" t="s">
        <v>745</v>
      </c>
      <c r="N76" s="127" t="s">
        <v>736</v>
      </c>
      <c r="O76" s="127" t="s">
        <v>812</v>
      </c>
      <c r="P76" s="127" t="s">
        <v>754</v>
      </c>
    </row>
    <row r="77" spans="2:27" ht="16.25"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295</v>
      </c>
      <c r="M77" s="127" t="s">
        <v>745</v>
      </c>
      <c r="N77" s="127" t="s">
        <v>736</v>
      </c>
      <c r="O77" s="127" t="s">
        <v>812</v>
      </c>
      <c r="P77" s="127" t="s">
        <v>755</v>
      </c>
    </row>
    <row r="78" spans="2:27" ht="16.25"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295</v>
      </c>
      <c r="M78" s="127" t="s">
        <v>745</v>
      </c>
      <c r="N78" s="127" t="s">
        <v>736</v>
      </c>
      <c r="O78" s="127" t="s">
        <v>812</v>
      </c>
      <c r="P78" s="127" t="s">
        <v>756</v>
      </c>
    </row>
    <row r="79" spans="2:27" ht="16.25"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295</v>
      </c>
      <c r="M79" s="127" t="s">
        <v>745</v>
      </c>
      <c r="N79" s="127" t="s">
        <v>737</v>
      </c>
      <c r="O79" s="127" t="s">
        <v>812</v>
      </c>
      <c r="P79" s="127" t="s">
        <v>754</v>
      </c>
    </row>
    <row r="80" spans="2:27" ht="16.25"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295</v>
      </c>
      <c r="M80" s="127" t="s">
        <v>745</v>
      </c>
      <c r="N80" s="127" t="s">
        <v>737</v>
      </c>
      <c r="O80" s="127" t="s">
        <v>812</v>
      </c>
      <c r="P80" s="127" t="s">
        <v>755</v>
      </c>
    </row>
    <row r="81" spans="2:16" ht="16.25"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295</v>
      </c>
      <c r="M81" s="127" t="s">
        <v>745</v>
      </c>
      <c r="N81" s="127" t="s">
        <v>737</v>
      </c>
      <c r="O81" s="127" t="s">
        <v>812</v>
      </c>
      <c r="P81" s="127" t="s">
        <v>756</v>
      </c>
    </row>
    <row r="82" spans="2:16" ht="16.25" customHeight="1">
      <c r="B82" s="70" t="s">
        <v>118</v>
      </c>
      <c r="C82" s="105" t="s">
        <v>119</v>
      </c>
      <c r="D82" s="550" t="s">
        <v>121</v>
      </c>
      <c r="E82" s="550" t="s">
        <v>120</v>
      </c>
      <c r="F82" s="551"/>
      <c r="G82" s="551"/>
      <c r="H82" s="551"/>
      <c r="I82" s="551"/>
      <c r="J82" s="516"/>
    </row>
    <row r="83" spans="2:16">
      <c r="B83" t="s">
        <v>47</v>
      </c>
      <c r="C83" t="s">
        <v>856</v>
      </c>
      <c r="D83" t="s">
        <v>857</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18"/>
  <sheetViews>
    <sheetView topLeftCell="A88" zoomScale="80" zoomScaleNormal="80" workbookViewId="0">
      <selection activeCell="A42" sqref="A42"/>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43" t="s">
        <v>796</v>
      </c>
      <c r="D2" s="543" t="s">
        <v>153</v>
      </c>
      <c r="E2" s="106" t="s">
        <v>815</v>
      </c>
    </row>
    <row r="3" spans="2:19" ht="18">
      <c r="C3" s="543"/>
      <c r="D3" s="543"/>
      <c r="E3" s="106"/>
    </row>
    <row r="4" spans="2:19" ht="13">
      <c r="B4" s="63" t="s">
        <v>18</v>
      </c>
      <c r="C4" s="63"/>
      <c r="D4" s="64"/>
      <c r="E4" s="64"/>
      <c r="F4" s="64"/>
      <c r="G4" s="64"/>
      <c r="H4" s="64"/>
      <c r="I4" s="64"/>
      <c r="J4" s="64"/>
      <c r="K4" s="64"/>
      <c r="L4" s="650"/>
      <c r="M4" s="651"/>
      <c r="N4" s="651"/>
      <c r="O4" s="651"/>
      <c r="P4" s="651"/>
      <c r="Q4" s="651"/>
      <c r="R4" s="651"/>
      <c r="S4" s="651"/>
    </row>
    <row r="5" spans="2:19" ht="39">
      <c r="B5" s="65" t="s">
        <v>19</v>
      </c>
      <c r="C5" s="65" t="s">
        <v>1</v>
      </c>
      <c r="D5" s="65" t="s">
        <v>2</v>
      </c>
      <c r="E5" s="65" t="s">
        <v>3</v>
      </c>
      <c r="F5" s="65" t="s">
        <v>20</v>
      </c>
      <c r="G5" s="65" t="s">
        <v>21</v>
      </c>
      <c r="H5" s="65" t="s">
        <v>22</v>
      </c>
      <c r="I5" s="65" t="s">
        <v>23</v>
      </c>
      <c r="J5" s="65" t="s">
        <v>24</v>
      </c>
      <c r="K5" s="553"/>
      <c r="L5" s="296" t="s">
        <v>831</v>
      </c>
      <c r="M5" s="296" t="s">
        <v>774</v>
      </c>
      <c r="N5" s="296" t="s">
        <v>772</v>
      </c>
      <c r="O5" s="296" t="s">
        <v>773</v>
      </c>
      <c r="P5" s="296" t="s">
        <v>81</v>
      </c>
      <c r="Q5" s="296" t="s">
        <v>795</v>
      </c>
      <c r="R5" s="296" t="s">
        <v>810</v>
      </c>
      <c r="S5" s="296" t="s">
        <v>813</v>
      </c>
    </row>
    <row r="6" spans="2:19" ht="21.5" thickBot="1">
      <c r="B6" s="66" t="s">
        <v>28</v>
      </c>
      <c r="C6" s="66" t="s">
        <v>29</v>
      </c>
      <c r="D6" s="66" t="s">
        <v>30</v>
      </c>
      <c r="E6" s="66" t="s">
        <v>31</v>
      </c>
      <c r="F6" s="66" t="s">
        <v>32</v>
      </c>
      <c r="G6" s="66" t="s">
        <v>33</v>
      </c>
      <c r="H6" s="66" t="s">
        <v>34</v>
      </c>
      <c r="I6" s="66" t="s">
        <v>35</v>
      </c>
      <c r="J6" s="66" t="s">
        <v>36</v>
      </c>
      <c r="K6" s="554"/>
      <c r="L6" s="552" t="s">
        <v>834</v>
      </c>
      <c r="M6" s="552" t="s">
        <v>834</v>
      </c>
      <c r="N6" s="552" t="s">
        <v>834</v>
      </c>
      <c r="O6" s="552" t="s">
        <v>834</v>
      </c>
      <c r="P6" s="552" t="s">
        <v>834</v>
      </c>
      <c r="Q6" s="552" t="s">
        <v>834</v>
      </c>
      <c r="R6" s="552" t="s">
        <v>834</v>
      </c>
      <c r="S6" s="552" t="s">
        <v>834</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814</v>
      </c>
      <c r="M7" s="127" t="s">
        <v>767</v>
      </c>
      <c r="N7" s="127" t="s">
        <v>116</v>
      </c>
      <c r="O7" s="127" t="s">
        <v>736</v>
      </c>
      <c r="Q7" s="106" t="s">
        <v>754</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814</v>
      </c>
      <c r="M8" s="127" t="s">
        <v>767</v>
      </c>
      <c r="N8" s="127" t="s">
        <v>116</v>
      </c>
      <c r="O8" s="127" t="s">
        <v>736</v>
      </c>
      <c r="Q8" s="106" t="s">
        <v>755</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814</v>
      </c>
      <c r="M9" s="127" t="s">
        <v>767</v>
      </c>
      <c r="N9" s="127" t="s">
        <v>116</v>
      </c>
      <c r="O9" s="127" t="s">
        <v>736</v>
      </c>
      <c r="Q9" s="106" t="s">
        <v>756</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814</v>
      </c>
      <c r="M10" s="127" t="s">
        <v>767</v>
      </c>
      <c r="N10" s="127" t="s">
        <v>116</v>
      </c>
      <c r="O10" s="127" t="s">
        <v>736</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814</v>
      </c>
      <c r="M11" s="127" t="s">
        <v>767</v>
      </c>
      <c r="N11" s="127" t="s">
        <v>116</v>
      </c>
      <c r="O11" s="127" t="s">
        <v>737</v>
      </c>
      <c r="Q11" s="106" t="s">
        <v>754</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814</v>
      </c>
      <c r="M12" s="127" t="s">
        <v>767</v>
      </c>
      <c r="N12" s="127" t="s">
        <v>116</v>
      </c>
      <c r="O12" s="127" t="s">
        <v>737</v>
      </c>
      <c r="Q12" s="106" t="s">
        <v>755</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814</v>
      </c>
      <c r="M13" s="127" t="s">
        <v>767</v>
      </c>
      <c r="N13" s="127" t="s">
        <v>116</v>
      </c>
      <c r="O13" s="127" t="s">
        <v>737</v>
      </c>
      <c r="Q13" s="106" t="s">
        <v>756</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814</v>
      </c>
      <c r="M14" s="127" t="s">
        <v>767</v>
      </c>
      <c r="N14" s="127" t="s">
        <v>116</v>
      </c>
      <c r="O14" s="127" t="s">
        <v>737</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814</v>
      </c>
      <c r="M15" s="127" t="s">
        <v>767</v>
      </c>
      <c r="N15" s="127" t="s">
        <v>745</v>
      </c>
      <c r="O15" s="127" t="s">
        <v>736</v>
      </c>
      <c r="Q15" s="106" t="s">
        <v>754</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814</v>
      </c>
      <c r="M16" s="127" t="s">
        <v>767</v>
      </c>
      <c r="N16" s="127" t="s">
        <v>745</v>
      </c>
      <c r="O16" s="127" t="s">
        <v>736</v>
      </c>
      <c r="Q16" s="106" t="s">
        <v>755</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814</v>
      </c>
      <c r="M17" s="127" t="s">
        <v>767</v>
      </c>
      <c r="N17" s="127" t="s">
        <v>745</v>
      </c>
      <c r="O17" s="127" t="s">
        <v>736</v>
      </c>
      <c r="Q17" s="106" t="s">
        <v>756</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814</v>
      </c>
      <c r="M18" s="127" t="s">
        <v>767</v>
      </c>
      <c r="N18" s="127" t="s">
        <v>745</v>
      </c>
      <c r="O18" s="127" t="s">
        <v>736</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814</v>
      </c>
      <c r="M19" s="127" t="s">
        <v>767</v>
      </c>
      <c r="N19" s="127" t="s">
        <v>745</v>
      </c>
      <c r="O19" s="127" t="s">
        <v>737</v>
      </c>
      <c r="Q19" s="106" t="s">
        <v>754</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814</v>
      </c>
      <c r="M20" s="127" t="s">
        <v>767</v>
      </c>
      <c r="N20" s="127" t="s">
        <v>745</v>
      </c>
      <c r="O20" s="127" t="s">
        <v>737</v>
      </c>
      <c r="Q20" s="106" t="s">
        <v>755</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814</v>
      </c>
      <c r="M21" s="127" t="s">
        <v>767</v>
      </c>
      <c r="N21" s="127" t="s">
        <v>745</v>
      </c>
      <c r="O21" s="127" t="s">
        <v>737</v>
      </c>
      <c r="Q21" s="106" t="s">
        <v>756</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814</v>
      </c>
      <c r="M22" s="127" t="s">
        <v>767</v>
      </c>
      <c r="N22" s="127" t="s">
        <v>745</v>
      </c>
      <c r="O22" s="127" t="s">
        <v>737</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814</v>
      </c>
      <c r="M23" s="127" t="s">
        <v>295</v>
      </c>
      <c r="N23" s="127" t="s">
        <v>116</v>
      </c>
      <c r="O23" s="127" t="s">
        <v>736</v>
      </c>
      <c r="Q23" s="106" t="s">
        <v>754</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814</v>
      </c>
      <c r="M24" s="127" t="s">
        <v>295</v>
      </c>
      <c r="N24" s="127" t="s">
        <v>116</v>
      </c>
      <c r="O24" s="127" t="s">
        <v>736</v>
      </c>
      <c r="Q24" s="106" t="s">
        <v>755</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814</v>
      </c>
      <c r="M25" s="127" t="s">
        <v>295</v>
      </c>
      <c r="N25" s="127" t="s">
        <v>116</v>
      </c>
      <c r="O25" s="127" t="s">
        <v>736</v>
      </c>
      <c r="Q25" s="106" t="s">
        <v>756</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814</v>
      </c>
      <c r="M26" s="127" t="s">
        <v>295</v>
      </c>
      <c r="N26" s="127" t="s">
        <v>116</v>
      </c>
      <c r="O26" s="127" t="s">
        <v>736</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814</v>
      </c>
      <c r="M27" s="127" t="s">
        <v>295</v>
      </c>
      <c r="N27" s="127" t="s">
        <v>116</v>
      </c>
      <c r="O27" s="127" t="s">
        <v>737</v>
      </c>
      <c r="Q27" s="106" t="s">
        <v>754</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814</v>
      </c>
      <c r="M28" s="127" t="s">
        <v>295</v>
      </c>
      <c r="N28" s="127" t="s">
        <v>116</v>
      </c>
      <c r="O28" s="127" t="s">
        <v>737</v>
      </c>
      <c r="Q28" s="106" t="s">
        <v>755</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814</v>
      </c>
      <c r="M29" s="127" t="s">
        <v>295</v>
      </c>
      <c r="N29" s="127" t="s">
        <v>116</v>
      </c>
      <c r="O29" s="127" t="s">
        <v>737</v>
      </c>
      <c r="Q29" s="106" t="s">
        <v>756</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814</v>
      </c>
      <c r="M30" s="127" t="s">
        <v>295</v>
      </c>
      <c r="N30" s="127" t="s">
        <v>116</v>
      </c>
      <c r="O30" s="127" t="s">
        <v>737</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814</v>
      </c>
      <c r="M31" s="127" t="s">
        <v>295</v>
      </c>
      <c r="N31" s="127" t="s">
        <v>745</v>
      </c>
      <c r="O31" s="127" t="s">
        <v>736</v>
      </c>
      <c r="Q31" s="106" t="s">
        <v>754</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814</v>
      </c>
      <c r="M32" s="127" t="s">
        <v>295</v>
      </c>
      <c r="N32" s="127" t="s">
        <v>745</v>
      </c>
      <c r="O32" s="127" t="s">
        <v>736</v>
      </c>
      <c r="Q32" s="106" t="s">
        <v>755</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814</v>
      </c>
      <c r="M33" s="127" t="s">
        <v>295</v>
      </c>
      <c r="N33" s="127" t="s">
        <v>745</v>
      </c>
      <c r="O33" s="127" t="s">
        <v>736</v>
      </c>
      <c r="Q33" s="106" t="s">
        <v>756</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814</v>
      </c>
      <c r="M34" s="127" t="s">
        <v>295</v>
      </c>
      <c r="N34" s="127" t="s">
        <v>745</v>
      </c>
      <c r="O34" s="127" t="s">
        <v>736</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814</v>
      </c>
      <c r="M35" s="127" t="s">
        <v>295</v>
      </c>
      <c r="N35" s="127" t="s">
        <v>745</v>
      </c>
      <c r="O35" s="127" t="s">
        <v>737</v>
      </c>
      <c r="Q35" s="106" t="s">
        <v>754</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814</v>
      </c>
      <c r="M36" s="127" t="s">
        <v>295</v>
      </c>
      <c r="N36" s="127" t="s">
        <v>745</v>
      </c>
      <c r="O36" s="127" t="s">
        <v>737</v>
      </c>
      <c r="Q36" s="106" t="s">
        <v>755</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814</v>
      </c>
      <c r="M37" s="127" t="s">
        <v>295</v>
      </c>
      <c r="N37" s="127" t="s">
        <v>745</v>
      </c>
      <c r="O37" s="127" t="s">
        <v>737</v>
      </c>
      <c r="Q37" s="106" t="s">
        <v>756</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814</v>
      </c>
      <c r="M38" s="127" t="s">
        <v>295</v>
      </c>
      <c r="N38" s="127" t="s">
        <v>745</v>
      </c>
      <c r="O38" s="127" t="s">
        <v>737</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832</v>
      </c>
      <c r="M39" s="127" t="s">
        <v>774</v>
      </c>
      <c r="O39" s="127"/>
      <c r="P39" t="str">
        <f t="shared" ref="P39:P46" si="2">RIGHT(S39,LEN(S39)-3)</f>
        <v>LPG</v>
      </c>
      <c r="Q39" s="106" t="s">
        <v>833</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832</v>
      </c>
      <c r="M40" s="127" t="s">
        <v>774</v>
      </c>
      <c r="O40" s="127"/>
      <c r="P40" t="str">
        <f t="shared" si="2"/>
        <v>NGA</v>
      </c>
      <c r="Q40" s="106" t="s">
        <v>833</v>
      </c>
      <c r="R40">
        <v>1</v>
      </c>
      <c r="S40" s="259" t="str">
        <f>Commodities!$C$18</f>
        <v>RESNGA</v>
      </c>
      <c r="T40" t="str">
        <f>VLOOKUP(S40,Commodities!$C$18:$R$37,16,FALSE)</f>
        <v>Natural Gas</v>
      </c>
    </row>
    <row r="41" spans="2:20" s="617" customFormat="1" ht="13">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832</v>
      </c>
      <c r="M41" s="627" t="s">
        <v>774</v>
      </c>
      <c r="O41" s="627"/>
      <c r="P41" s="617" t="str">
        <f>RIGHT(S41,LEN(S41)-3)</f>
        <v>ELCO</v>
      </c>
      <c r="Q41" s="628" t="s">
        <v>833</v>
      </c>
      <c r="R41" s="617">
        <v>1</v>
      </c>
      <c r="S41" s="629" t="str">
        <f>Commodities!$C$31</f>
        <v>RESELCO</v>
      </c>
      <c r="T41" s="617" t="str">
        <f>VLOOKUP(S41,Commodities!$C$18:$R$37,16,FALSE)</f>
        <v>Electricity Cooking</v>
      </c>
    </row>
    <row r="42" spans="2:20" s="617" customFormat="1" ht="13">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832</v>
      </c>
      <c r="M42" s="627" t="s">
        <v>774</v>
      </c>
      <c r="O42" s="627"/>
      <c r="P42" s="617" t="str">
        <f>RIGHT(S42,LEN(S42)-3)</f>
        <v>FIW</v>
      </c>
      <c r="Q42" s="628" t="s">
        <v>833</v>
      </c>
      <c r="R42" s="617">
        <v>1</v>
      </c>
      <c r="S42" s="629" t="str">
        <f>Commodities!$C$24</f>
        <v>RESFIW</v>
      </c>
      <c r="T42" s="617" t="str">
        <f>VLOOKUP(S42,Commodities!$C$18:$R$37,16,FALSE)</f>
        <v>Fire wood</v>
      </c>
    </row>
    <row r="43" spans="2:20" ht="13">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294</v>
      </c>
      <c r="M43" s="127" t="s">
        <v>774</v>
      </c>
      <c r="O43" s="127"/>
      <c r="P43" t="str">
        <f t="shared" si="2"/>
        <v>ELCA</v>
      </c>
      <c r="Q43" s="106" t="s">
        <v>833</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294</v>
      </c>
      <c r="M44" s="127" t="s">
        <v>774</v>
      </c>
      <c r="O44" s="127"/>
      <c r="P44" t="str">
        <f t="shared" si="2"/>
        <v>GSL</v>
      </c>
      <c r="Q44" s="106" t="s">
        <v>833</v>
      </c>
      <c r="R44">
        <v>1</v>
      </c>
      <c r="S44" s="1" t="str">
        <f>Commodities!$C$22</f>
        <v>RESGSL</v>
      </c>
      <c r="T44" t="str">
        <f>VLOOKUP(S44,Commodities!$C$18:$R$37,16,FALSE)</f>
        <v>Gasoline</v>
      </c>
    </row>
    <row r="45" spans="2:20" ht="13">
      <c r="B45" s="77"/>
      <c r="C45" s="77"/>
      <c r="D45" s="133" t="str">
        <f t="shared" si="1"/>
        <v>RWTLPGE1</v>
      </c>
      <c r="E45" s="133" t="str">
        <f t="shared" si="0"/>
        <v>Residential Water Hot Technology   - LPG - Existing 1</v>
      </c>
      <c r="F45" s="133" t="s">
        <v>44</v>
      </c>
      <c r="G45" s="133" t="s">
        <v>65</v>
      </c>
      <c r="H45" s="79" t="s">
        <v>112</v>
      </c>
      <c r="I45" s="83"/>
      <c r="J45" s="77"/>
      <c r="K45" s="77"/>
      <c r="L45" s="133" t="s">
        <v>816</v>
      </c>
      <c r="M45" s="127" t="s">
        <v>774</v>
      </c>
      <c r="O45" s="127"/>
      <c r="P45" t="str">
        <f t="shared" si="2"/>
        <v>LPG</v>
      </c>
      <c r="Q45" s="106" t="s">
        <v>833</v>
      </c>
      <c r="R45">
        <v>1</v>
      </c>
      <c r="S45" s="259" t="str">
        <f>Commodities!$C$20</f>
        <v>RESLPG</v>
      </c>
      <c r="T45" t="str">
        <f>VLOOKUP(S45,Commodities!$C$18:$R$37,16,FALSE)</f>
        <v>LPG</v>
      </c>
    </row>
    <row r="46" spans="2:20" ht="13">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816</v>
      </c>
      <c r="M46" s="555" t="s">
        <v>774</v>
      </c>
      <c r="N46" s="187"/>
      <c r="O46" s="555"/>
      <c r="P46" s="187" t="str">
        <f t="shared" si="2"/>
        <v>NGA</v>
      </c>
      <c r="Q46" s="474" t="s">
        <v>833</v>
      </c>
      <c r="R46" s="187">
        <v>1</v>
      </c>
      <c r="S46" s="423" t="str">
        <f>Commodities!$C$18</f>
        <v>RESNGA</v>
      </c>
      <c r="T46" t="str">
        <f>VLOOKUP(S46,Commodities!$C$18:$R$37,16,FALSE)</f>
        <v>Natural Gas</v>
      </c>
    </row>
    <row r="47" spans="2:20" s="617" customFormat="1" ht="13">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816</v>
      </c>
      <c r="M47" s="637" t="s">
        <v>774</v>
      </c>
      <c r="N47" s="638"/>
      <c r="O47" s="637"/>
      <c r="P47" s="638" t="str">
        <f t="shared" ref="P47" si="9">RIGHT(S47,LEN(S47)-3)</f>
        <v>DSL</v>
      </c>
      <c r="Q47" s="637" t="s">
        <v>833</v>
      </c>
      <c r="R47" s="638">
        <v>1</v>
      </c>
      <c r="S47" s="639" t="str">
        <f>Commodities!$C$21</f>
        <v>RESDSL</v>
      </c>
      <c r="T47" s="617" t="str">
        <f>VLOOKUP(S47,Commodities!$C$18:$R$37,16,FALSE)</f>
        <v>Diesel</v>
      </c>
    </row>
    <row r="48" spans="2:20" s="617" customFormat="1" ht="13">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816</v>
      </c>
      <c r="M48" s="637" t="s">
        <v>774</v>
      </c>
      <c r="N48" s="638"/>
      <c r="O48" s="637"/>
      <c r="P48" s="638" t="str">
        <f t="shared" ref="P48" si="12">RIGHT(S48,LEN(S48)-3)</f>
        <v>SOL</v>
      </c>
      <c r="Q48" s="637" t="s">
        <v>833</v>
      </c>
      <c r="R48" s="638">
        <v>1</v>
      </c>
      <c r="S48" s="639" t="str">
        <f>Commodities!$C$27</f>
        <v>RESSOL</v>
      </c>
      <c r="T48" s="617" t="str">
        <f>VLOOKUP(S48,Commodities!$C$18:$R$37,16,FALSE)</f>
        <v>Solar</v>
      </c>
    </row>
    <row r="49" spans="2:20" s="617" customFormat="1" ht="13">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816</v>
      </c>
      <c r="M49" s="637" t="s">
        <v>774</v>
      </c>
      <c r="N49" s="638"/>
      <c r="O49" s="637"/>
      <c r="P49" s="638" t="str">
        <f t="shared" ref="P49" si="15">RIGHT(S49,LEN(S49)-3)</f>
        <v>ELCH</v>
      </c>
      <c r="Q49" s="637" t="s">
        <v>833</v>
      </c>
      <c r="R49" s="638">
        <v>1</v>
      </c>
      <c r="S49" s="639" t="str">
        <f>Commodities!$C$28</f>
        <v>RESELCH</v>
      </c>
      <c r="T49" s="617" t="str">
        <f>VLOOKUP(S49,Commodities!$C$18:$R$37,16,FALSE)</f>
        <v>Electricity Heating</v>
      </c>
    </row>
    <row r="50" spans="2:20" s="617" customFormat="1" ht="13">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816</v>
      </c>
      <c r="M50" s="637" t="s">
        <v>774</v>
      </c>
      <c r="N50" s="638"/>
      <c r="O50" s="637"/>
      <c r="P50" s="638" t="str">
        <f t="shared" ref="P50" si="18">RIGHT(S50,LEN(S50)-3)</f>
        <v>FIW</v>
      </c>
      <c r="Q50" s="637" t="s">
        <v>833</v>
      </c>
      <c r="R50" s="638">
        <v>1</v>
      </c>
      <c r="S50" s="639" t="str">
        <f>Commodities!$C$24</f>
        <v>RESFIW</v>
      </c>
      <c r="T50" s="617" t="str">
        <f>VLOOKUP(S50,Commodities!$C$18:$R$37,16,FALSE)</f>
        <v>Fire wood</v>
      </c>
    </row>
    <row r="51" spans="2:20" s="617" customFormat="1" ht="13">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816</v>
      </c>
      <c r="M51" s="637" t="s">
        <v>774</v>
      </c>
      <c r="N51" s="638"/>
      <c r="O51" s="637"/>
      <c r="P51" s="638" t="str">
        <f t="shared" ref="P51" si="21">RIGHT(S51,LEN(S51)-3)</f>
        <v>ELCW</v>
      </c>
      <c r="Q51" s="637" t="s">
        <v>833</v>
      </c>
      <c r="R51" s="638">
        <v>1</v>
      </c>
      <c r="S51" s="639" t="str">
        <f>Commodities!$C$32</f>
        <v>RESELCW</v>
      </c>
      <c r="T51" s="617" t="str">
        <f>VLOOKUP(S51,Commodities!$C$18:$R$37,16,FALSE)</f>
        <v>Electricity Water Heating</v>
      </c>
    </row>
    <row r="52" spans="2:20" s="617" customFormat="1" ht="13">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816</v>
      </c>
      <c r="M52" s="637" t="s">
        <v>774</v>
      </c>
      <c r="N52" s="638"/>
      <c r="O52" s="637"/>
      <c r="P52" s="638" t="str">
        <f t="shared" ref="P52" si="24">RIGHT(S52,LEN(S52)-3)</f>
        <v>HCE</v>
      </c>
      <c r="Q52" s="637" t="s">
        <v>833</v>
      </c>
      <c r="R52" s="638">
        <v>1</v>
      </c>
      <c r="S52" s="639" t="str">
        <f>Commodities!$C$33</f>
        <v>RESHCE</v>
      </c>
      <c r="T52" s="617" t="str">
        <f>VLOOKUP(S52,Commodities!$C$18:$R$37,16,FALSE)</f>
        <v>District heating Central</v>
      </c>
    </row>
    <row r="53" spans="2:20" ht="13">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767</v>
      </c>
      <c r="M53" s="127" t="s">
        <v>774</v>
      </c>
      <c r="N53" s="127" t="s">
        <v>116</v>
      </c>
      <c r="O53" s="127" t="s">
        <v>736</v>
      </c>
      <c r="P53" t="str">
        <f>RIGHT(S53,LEN(S53)-3)</f>
        <v>NGA</v>
      </c>
      <c r="Q53" s="106" t="s">
        <v>833</v>
      </c>
      <c r="R53">
        <v>1</v>
      </c>
      <c r="S53" s="230" t="str">
        <f>Commodities!$C$18</f>
        <v>RESNGA</v>
      </c>
      <c r="T53" t="str">
        <f>VLOOKUP(S53,Commodities!$C$18:$R$37,16,FALSE)</f>
        <v>Natural Gas</v>
      </c>
    </row>
    <row r="54" spans="2:20" ht="13">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767</v>
      </c>
      <c r="M54" s="127" t="s">
        <v>774</v>
      </c>
      <c r="N54" s="127" t="s">
        <v>116</v>
      </c>
      <c r="O54" s="127" t="s">
        <v>736</v>
      </c>
      <c r="P54" t="str">
        <f t="shared" ref="P54:P72" si="25">RIGHT(S54,LEN(S54)-3)</f>
        <v>DSL</v>
      </c>
      <c r="Q54" s="106" t="s">
        <v>833</v>
      </c>
      <c r="R54">
        <v>1</v>
      </c>
      <c r="S54" s="230" t="str">
        <f>Commodities!$C$21</f>
        <v>RESDSL</v>
      </c>
      <c r="T54" t="str">
        <f>VLOOKUP(S54,Commodities!$C$18:$R$37,16,FALSE)</f>
        <v>Diesel</v>
      </c>
    </row>
    <row r="55" spans="2:20" ht="13">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767</v>
      </c>
      <c r="M55" s="127" t="s">
        <v>774</v>
      </c>
      <c r="N55" s="127" t="s">
        <v>116</v>
      </c>
      <c r="O55" s="127" t="s">
        <v>736</v>
      </c>
      <c r="P55" t="str">
        <f t="shared" si="25"/>
        <v>WPE</v>
      </c>
      <c r="Q55" s="106" t="s">
        <v>833</v>
      </c>
      <c r="R55">
        <v>1</v>
      </c>
      <c r="S55" s="230" t="str">
        <f>Commodities!$C$23</f>
        <v>RESWPE</v>
      </c>
      <c r="T55" t="str">
        <f>VLOOKUP(S55,Commodities!$C$18:$R$37,16,FALSE)</f>
        <v>Wood pellets</v>
      </c>
    </row>
    <row r="56" spans="2:20" ht="13">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767</v>
      </c>
      <c r="M56" s="127" t="s">
        <v>774</v>
      </c>
      <c r="N56" s="127" t="s">
        <v>116</v>
      </c>
      <c r="O56" s="127" t="s">
        <v>736</v>
      </c>
      <c r="P56" t="str">
        <f t="shared" si="25"/>
        <v>FIW</v>
      </c>
      <c r="Q56" s="106" t="s">
        <v>833</v>
      </c>
      <c r="R56">
        <v>1</v>
      </c>
      <c r="S56" s="230" t="str">
        <f>Commodities!$C$24</f>
        <v>RESFIW</v>
      </c>
      <c r="T56" t="str">
        <f>VLOOKUP(S56,Commodities!$C$18:$R$37,16,FALSE)</f>
        <v>Fire wood</v>
      </c>
    </row>
    <row r="57" spans="2:20" s="617" customFormat="1" ht="13">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767</v>
      </c>
      <c r="M57" s="627" t="s">
        <v>774</v>
      </c>
      <c r="N57" s="627" t="s">
        <v>116</v>
      </c>
      <c r="O57" s="627" t="s">
        <v>736</v>
      </c>
      <c r="P57" s="617" t="str">
        <f t="shared" si="25"/>
        <v>COA</v>
      </c>
      <c r="Q57" s="628" t="s">
        <v>833</v>
      </c>
      <c r="R57" s="617">
        <v>1</v>
      </c>
      <c r="S57" s="631" t="str">
        <f>Commodities!$C$25</f>
        <v>RESCOA</v>
      </c>
      <c r="T57" s="617" t="str">
        <f>VLOOKUP(S57,Commodities!$C$18:$R$37,16,FALSE)</f>
        <v>Coal</v>
      </c>
    </row>
    <row r="58" spans="2:20" ht="13">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767</v>
      </c>
      <c r="M58" s="127" t="s">
        <v>774</v>
      </c>
      <c r="N58" s="127" t="s">
        <v>116</v>
      </c>
      <c r="O58" s="127" t="s">
        <v>736</v>
      </c>
      <c r="P58" t="str">
        <f t="shared" si="25"/>
        <v>SOL</v>
      </c>
      <c r="Q58" s="106" t="s">
        <v>833</v>
      </c>
      <c r="R58">
        <v>1</v>
      </c>
      <c r="S58" s="230" t="str">
        <f>Commodities!$C$27</f>
        <v>RESSOL</v>
      </c>
      <c r="T58" t="str">
        <f>VLOOKUP(S58,Commodities!$C$18:$R$37,16,FALSE)</f>
        <v>Solar</v>
      </c>
    </row>
    <row r="59" spans="2:20" ht="13">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767</v>
      </c>
      <c r="M59" s="127" t="s">
        <v>774</v>
      </c>
      <c r="N59" s="127" t="s">
        <v>116</v>
      </c>
      <c r="O59" s="127" t="s">
        <v>736</v>
      </c>
      <c r="P59" t="str">
        <f t="shared" si="25"/>
        <v>ELCH</v>
      </c>
      <c r="Q59" s="106" t="s">
        <v>833</v>
      </c>
      <c r="R59">
        <v>1</v>
      </c>
      <c r="S59" s="230" t="str">
        <f>Commodities!$C$28</f>
        <v>RESELCH</v>
      </c>
      <c r="T59" t="str">
        <f>VLOOKUP(S59,Commodities!$C$18:$R$37,16,FALSE)</f>
        <v>Electricity Heating</v>
      </c>
    </row>
    <row r="60" spans="2:20" ht="13">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767</v>
      </c>
      <c r="M60" s="127" t="s">
        <v>774</v>
      </c>
      <c r="N60" s="127" t="s">
        <v>116</v>
      </c>
      <c r="O60" s="127" t="s">
        <v>736</v>
      </c>
      <c r="P60" t="str">
        <f t="shared" si="25"/>
        <v>ELCH</v>
      </c>
      <c r="Q60" s="106" t="s">
        <v>833</v>
      </c>
      <c r="R60">
        <v>2</v>
      </c>
      <c r="S60" s="230" t="s">
        <v>142</v>
      </c>
      <c r="T60" t="str">
        <f>VLOOKUP(S60,Commodities!$C$18:$R$37,16,FALSE)</f>
        <v>Electricity Heating</v>
      </c>
    </row>
    <row r="61" spans="2:20" ht="13">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767</v>
      </c>
      <c r="M61" s="127" t="s">
        <v>774</v>
      </c>
      <c r="N61" s="127" t="s">
        <v>116</v>
      </c>
      <c r="O61" s="127" t="s">
        <v>736</v>
      </c>
      <c r="P61" t="str">
        <f t="shared" si="25"/>
        <v>HCE</v>
      </c>
      <c r="Q61" s="106" t="s">
        <v>833</v>
      </c>
      <c r="R61">
        <v>1</v>
      </c>
      <c r="S61" s="230" t="str">
        <f>Commodities!$C$33</f>
        <v>RESHCE</v>
      </c>
      <c r="T61" t="str">
        <f>VLOOKUP(S61,Commodities!$C$18:$R$37,16,FALSE)</f>
        <v>District heating Central</v>
      </c>
    </row>
    <row r="62" spans="2:20" ht="13">
      <c r="B62" s="72"/>
      <c r="C62" s="72"/>
      <c r="D62" s="71" t="str">
        <f t="shared" si="1"/>
        <v>RHTUDLPGE1</v>
      </c>
      <c r="E62" s="88" t="str">
        <f t="shared" si="0"/>
        <v>Residential Heating Technology Urban Detached - LPG - Existing 1</v>
      </c>
      <c r="F62" s="71" t="s">
        <v>44</v>
      </c>
      <c r="G62" s="71" t="s">
        <v>65</v>
      </c>
      <c r="H62" s="75" t="s">
        <v>112</v>
      </c>
      <c r="I62" s="84"/>
      <c r="J62" s="70"/>
      <c r="K62" s="77"/>
      <c r="L62" s="133" t="s">
        <v>767</v>
      </c>
      <c r="M62" s="127" t="s">
        <v>774</v>
      </c>
      <c r="N62" s="127" t="s">
        <v>116</v>
      </c>
      <c r="O62" s="127" t="s">
        <v>736</v>
      </c>
      <c r="P62" t="str">
        <f t="shared" si="25"/>
        <v>LPG</v>
      </c>
      <c r="Q62" s="106" t="s">
        <v>833</v>
      </c>
      <c r="R62">
        <v>1</v>
      </c>
      <c r="S62" s="256" t="str">
        <f>Commodities!$C$20</f>
        <v>RESLPG</v>
      </c>
      <c r="T62" t="str">
        <f>VLOOKUP(S62,Commodities!$C$18:$R$37,16,FALSE)</f>
        <v>LPG</v>
      </c>
    </row>
    <row r="63" spans="2:20" ht="13">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767</v>
      </c>
      <c r="M63" s="127" t="s">
        <v>774</v>
      </c>
      <c r="N63" s="127" t="s">
        <v>116</v>
      </c>
      <c r="O63" s="127" t="s">
        <v>737</v>
      </c>
      <c r="P63" t="str">
        <f t="shared" si="25"/>
        <v>NGA</v>
      </c>
      <c r="Q63" s="106" t="s">
        <v>833</v>
      </c>
      <c r="R63">
        <v>1</v>
      </c>
      <c r="S63" s="230" t="str">
        <f>Commodities!$C$18</f>
        <v>RESNGA</v>
      </c>
      <c r="T63" t="str">
        <f>VLOOKUP(S63,Commodities!$C$18:$R$37,16,FALSE)</f>
        <v>Natural Gas</v>
      </c>
    </row>
    <row r="64" spans="2:20" ht="13">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767</v>
      </c>
      <c r="M64" s="127" t="s">
        <v>774</v>
      </c>
      <c r="N64" s="127" t="s">
        <v>116</v>
      </c>
      <c r="O64" s="127" t="s">
        <v>737</v>
      </c>
      <c r="P64" t="str">
        <f t="shared" si="25"/>
        <v>DSL</v>
      </c>
      <c r="Q64" s="106" t="s">
        <v>833</v>
      </c>
      <c r="R64">
        <v>1</v>
      </c>
      <c r="S64" s="230" t="str">
        <f>Commodities!$C$21</f>
        <v>RESDSL</v>
      </c>
      <c r="T64" t="str">
        <f>VLOOKUP(S64,Commodities!$C$18:$R$37,16,FALSE)</f>
        <v>Diesel</v>
      </c>
    </row>
    <row r="65" spans="2:20" ht="13">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767</v>
      </c>
      <c r="M65" s="127" t="s">
        <v>774</v>
      </c>
      <c r="N65" s="127" t="s">
        <v>116</v>
      </c>
      <c r="O65" s="127" t="s">
        <v>737</v>
      </c>
      <c r="P65" t="str">
        <f t="shared" si="25"/>
        <v>WPE</v>
      </c>
      <c r="Q65" s="106" t="s">
        <v>833</v>
      </c>
      <c r="R65">
        <v>1</v>
      </c>
      <c r="S65" s="230" t="str">
        <f>Commodities!$C$23</f>
        <v>RESWPE</v>
      </c>
      <c r="T65" t="str">
        <f>VLOOKUP(S65,Commodities!$C$18:$R$37,16,FALSE)</f>
        <v>Wood pellets</v>
      </c>
    </row>
    <row r="66" spans="2:20" ht="13">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767</v>
      </c>
      <c r="M66" s="127" t="s">
        <v>774</v>
      </c>
      <c r="N66" s="127" t="s">
        <v>116</v>
      </c>
      <c r="O66" s="127" t="s">
        <v>737</v>
      </c>
      <c r="P66" t="str">
        <f t="shared" si="25"/>
        <v>FIW</v>
      </c>
      <c r="Q66" s="106" t="s">
        <v>833</v>
      </c>
      <c r="R66">
        <v>1</v>
      </c>
      <c r="S66" s="230" t="str">
        <f>Commodities!$C$24</f>
        <v>RESFIW</v>
      </c>
      <c r="T66" t="str">
        <f>VLOOKUP(S66,Commodities!$C$18:$R$37,16,FALSE)</f>
        <v>Fire wood</v>
      </c>
    </row>
    <row r="67" spans="2:20" ht="13">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767</v>
      </c>
      <c r="M67" s="127" t="s">
        <v>774</v>
      </c>
      <c r="N67" s="127" t="s">
        <v>116</v>
      </c>
      <c r="O67" s="127" t="s">
        <v>737</v>
      </c>
      <c r="P67" t="str">
        <f t="shared" si="25"/>
        <v>COA</v>
      </c>
      <c r="Q67" s="106" t="s">
        <v>833</v>
      </c>
      <c r="R67">
        <v>1</v>
      </c>
      <c r="S67" s="230" t="str">
        <f>Commodities!$C$25</f>
        <v>RESCOA</v>
      </c>
      <c r="T67" t="str">
        <f>VLOOKUP(S67,Commodities!$C$18:$R$37,16,FALSE)</f>
        <v>Coal</v>
      </c>
    </row>
    <row r="68" spans="2:20" ht="13">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767</v>
      </c>
      <c r="M68" s="127" t="s">
        <v>774</v>
      </c>
      <c r="N68" s="127" t="s">
        <v>116</v>
      </c>
      <c r="O68" s="127" t="s">
        <v>737</v>
      </c>
      <c r="P68" t="str">
        <f t="shared" si="25"/>
        <v>SOL</v>
      </c>
      <c r="Q68" s="106" t="s">
        <v>833</v>
      </c>
      <c r="R68">
        <v>1</v>
      </c>
      <c r="S68" s="230" t="str">
        <f>Commodities!$C$27</f>
        <v>RESSOL</v>
      </c>
      <c r="T68" t="str">
        <f>VLOOKUP(S68,Commodities!$C$18:$R$37,16,FALSE)</f>
        <v>Solar</v>
      </c>
    </row>
    <row r="69" spans="2:20" ht="13">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767</v>
      </c>
      <c r="M69" s="127" t="s">
        <v>774</v>
      </c>
      <c r="N69" s="127" t="s">
        <v>116</v>
      </c>
      <c r="O69" s="127" t="s">
        <v>737</v>
      </c>
      <c r="P69" t="str">
        <f t="shared" si="25"/>
        <v>ELCH</v>
      </c>
      <c r="Q69" s="106" t="s">
        <v>833</v>
      </c>
      <c r="R69">
        <v>1</v>
      </c>
      <c r="S69" s="230" t="str">
        <f>Commodities!$C$28</f>
        <v>RESELCH</v>
      </c>
      <c r="T69" t="str">
        <f>VLOOKUP(S69,Commodities!$C$18:$R$37,16,FALSE)</f>
        <v>Electricity Heating</v>
      </c>
    </row>
    <row r="70" spans="2:20" ht="13">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767</v>
      </c>
      <c r="M70" s="127" t="s">
        <v>774</v>
      </c>
      <c r="N70" s="127" t="s">
        <v>116</v>
      </c>
      <c r="O70" s="127" t="s">
        <v>737</v>
      </c>
      <c r="P70" t="str">
        <f t="shared" si="25"/>
        <v>ELCH</v>
      </c>
      <c r="Q70" s="106" t="s">
        <v>833</v>
      </c>
      <c r="R70">
        <v>2</v>
      </c>
      <c r="S70" s="230" t="s">
        <v>142</v>
      </c>
      <c r="T70" t="str">
        <f>VLOOKUP(S70,Commodities!$C$18:$R$37,16,FALSE)</f>
        <v>Electricity Heating</v>
      </c>
    </row>
    <row r="71" spans="2:20" ht="13">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767</v>
      </c>
      <c r="M71" s="127" t="s">
        <v>774</v>
      </c>
      <c r="N71" s="127" t="s">
        <v>116</v>
      </c>
      <c r="O71" s="127" t="s">
        <v>737</v>
      </c>
      <c r="P71" t="str">
        <f t="shared" si="25"/>
        <v>HCE</v>
      </c>
      <c r="Q71" s="106" t="s">
        <v>833</v>
      </c>
      <c r="R71">
        <v>1</v>
      </c>
      <c r="S71" s="230" t="str">
        <f>Commodities!$C$33</f>
        <v>RESHCE</v>
      </c>
      <c r="T71" t="str">
        <f>VLOOKUP(S71,Commodities!$C$18:$R$37,16,FALSE)</f>
        <v>District heating Central</v>
      </c>
    </row>
    <row r="72" spans="2:20" ht="13">
      <c r="B72" s="72"/>
      <c r="C72" s="72"/>
      <c r="D72" s="71" t="str">
        <f t="shared" si="1"/>
        <v>RHTRDLPGE1</v>
      </c>
      <c r="E72" s="88" t="str">
        <f t="shared" si="0"/>
        <v>Residential Heating Technology Rural Detached - LPG - Existing 1</v>
      </c>
      <c r="F72" s="71" t="s">
        <v>44</v>
      </c>
      <c r="G72" s="71" t="s">
        <v>65</v>
      </c>
      <c r="H72" s="75" t="s">
        <v>112</v>
      </c>
      <c r="I72" s="84"/>
      <c r="J72" s="70"/>
      <c r="K72" s="77"/>
      <c r="L72" s="133" t="s">
        <v>767</v>
      </c>
      <c r="M72" s="127" t="s">
        <v>774</v>
      </c>
      <c r="N72" s="127" t="s">
        <v>116</v>
      </c>
      <c r="O72" s="127" t="s">
        <v>737</v>
      </c>
      <c r="P72" t="str">
        <f t="shared" si="25"/>
        <v>LPG</v>
      </c>
      <c r="Q72" s="106" t="s">
        <v>833</v>
      </c>
      <c r="R72">
        <v>1</v>
      </c>
      <c r="S72" s="256" t="str">
        <f>Commodities!$C$20</f>
        <v>RESLPG</v>
      </c>
      <c r="T72" t="str">
        <f>VLOOKUP(S72,Commodities!$C$18:$R$37,16,FALSE)</f>
        <v>LPG</v>
      </c>
    </row>
    <row r="73" spans="2:20" ht="13">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767</v>
      </c>
      <c r="M73" s="127" t="s">
        <v>774</v>
      </c>
      <c r="N73" s="127" t="s">
        <v>745</v>
      </c>
      <c r="O73" s="127" t="s">
        <v>736</v>
      </c>
      <c r="P73" t="str">
        <f>RIGHT(S73,LEN(S73)-3)</f>
        <v>NGA</v>
      </c>
      <c r="Q73" s="106" t="s">
        <v>833</v>
      </c>
      <c r="R73">
        <v>1</v>
      </c>
      <c r="S73" s="230" t="str">
        <f>Commodities!$C$18</f>
        <v>RESNGA</v>
      </c>
      <c r="T73" t="str">
        <f>VLOOKUP(S73,Commodities!$C$18:$R$37,16,FALSE)</f>
        <v>Natural Gas</v>
      </c>
    </row>
    <row r="74" spans="2:20" ht="13">
      <c r="B74" s="69"/>
      <c r="C74" s="69"/>
      <c r="D74" s="68" t="str">
        <f t="shared" si="1"/>
        <v>RHTUMDSLE1</v>
      </c>
      <c r="E74" s="86" t="str">
        <f t="shared" si="0"/>
        <v>Residential Heating Technology Urban Multi - Diesel - Existing 1</v>
      </c>
      <c r="F74" s="68" t="s">
        <v>44</v>
      </c>
      <c r="G74" s="68" t="s">
        <v>65</v>
      </c>
      <c r="H74" s="79" t="s">
        <v>112</v>
      </c>
      <c r="I74" s="64"/>
      <c r="J74" s="64"/>
      <c r="K74" s="64"/>
      <c r="L74" s="133" t="s">
        <v>767</v>
      </c>
      <c r="M74" s="127" t="s">
        <v>774</v>
      </c>
      <c r="N74" s="127" t="s">
        <v>745</v>
      </c>
      <c r="O74" s="127" t="s">
        <v>736</v>
      </c>
      <c r="P74" t="str">
        <f t="shared" ref="P74:P92" si="26">RIGHT(S74,LEN(S74)-3)</f>
        <v>DSL</v>
      </c>
      <c r="Q74" s="106" t="s">
        <v>833</v>
      </c>
      <c r="R74">
        <v>1</v>
      </c>
      <c r="S74" s="230" t="str">
        <f>Commodities!$C$21</f>
        <v>RESDSL</v>
      </c>
      <c r="T74" t="str">
        <f>VLOOKUP(S74,Commodities!$C$18:$R$37,16,FALSE)</f>
        <v>Diesel</v>
      </c>
    </row>
    <row r="75" spans="2:20" ht="13">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767</v>
      </c>
      <c r="M75" s="127" t="s">
        <v>774</v>
      </c>
      <c r="N75" s="127" t="s">
        <v>745</v>
      </c>
      <c r="O75" s="127" t="s">
        <v>736</v>
      </c>
      <c r="P75" t="str">
        <f t="shared" si="26"/>
        <v>WPE</v>
      </c>
      <c r="Q75" s="106" t="s">
        <v>833</v>
      </c>
      <c r="R75">
        <v>1</v>
      </c>
      <c r="S75" s="230" t="str">
        <f>Commodities!$C$23</f>
        <v>RESWPE</v>
      </c>
      <c r="T75" t="str">
        <f>VLOOKUP(S75,Commodities!$C$18:$R$37,16,FALSE)</f>
        <v>Wood pellets</v>
      </c>
    </row>
    <row r="76" spans="2:20" ht="13">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767</v>
      </c>
      <c r="M76" s="127" t="s">
        <v>774</v>
      </c>
      <c r="N76" s="127" t="s">
        <v>745</v>
      </c>
      <c r="O76" s="127" t="s">
        <v>736</v>
      </c>
      <c r="P76" t="str">
        <f t="shared" si="26"/>
        <v>FIW</v>
      </c>
      <c r="Q76" s="106" t="s">
        <v>833</v>
      </c>
      <c r="R76">
        <v>1</v>
      </c>
      <c r="S76" s="230" t="str">
        <f>Commodities!$C$24</f>
        <v>RESFIW</v>
      </c>
      <c r="T76" t="str">
        <f>VLOOKUP(S76,Commodities!$C$18:$R$37,16,FALSE)</f>
        <v>Fire wood</v>
      </c>
    </row>
    <row r="77" spans="2:20" ht="13">
      <c r="B77" s="69"/>
      <c r="C77" s="69"/>
      <c r="D77" s="68" t="str">
        <f t="shared" si="1"/>
        <v>RHTUMCOAE1</v>
      </c>
      <c r="E77" s="86" t="str">
        <f t="shared" si="0"/>
        <v>Residential Heating Technology Urban Multi - Coal - Existing 1</v>
      </c>
      <c r="F77" s="68" t="s">
        <v>44</v>
      </c>
      <c r="G77" s="68" t="s">
        <v>65</v>
      </c>
      <c r="H77" s="79" t="s">
        <v>112</v>
      </c>
      <c r="I77" s="64"/>
      <c r="J77" s="64"/>
      <c r="K77" s="64"/>
      <c r="L77" s="133" t="s">
        <v>767</v>
      </c>
      <c r="M77" s="127" t="s">
        <v>774</v>
      </c>
      <c r="N77" s="127" t="s">
        <v>745</v>
      </c>
      <c r="O77" s="127" t="s">
        <v>736</v>
      </c>
      <c r="P77" t="str">
        <f t="shared" si="26"/>
        <v>COA</v>
      </c>
      <c r="Q77" s="106" t="s">
        <v>833</v>
      </c>
      <c r="R77">
        <v>1</v>
      </c>
      <c r="S77" s="230" t="str">
        <f>Commodities!$C$25</f>
        <v>RESCOA</v>
      </c>
      <c r="T77" t="str">
        <f>VLOOKUP(S77,Commodities!$C$18:$R$37,16,FALSE)</f>
        <v>Coal</v>
      </c>
    </row>
    <row r="78" spans="2:20" ht="13">
      <c r="B78" s="69"/>
      <c r="C78" s="69"/>
      <c r="D78" s="68" t="str">
        <f t="shared" si="1"/>
        <v>RHTUMSOLE1</v>
      </c>
      <c r="E78" s="87" t="str">
        <f t="shared" si="0"/>
        <v>Residential Heating Technology Urban Multi - Solar - Existing 1</v>
      </c>
      <c r="F78" s="68" t="s">
        <v>44</v>
      </c>
      <c r="G78" s="68" t="s">
        <v>65</v>
      </c>
      <c r="H78" s="79" t="s">
        <v>112</v>
      </c>
      <c r="I78" s="64"/>
      <c r="J78" s="64"/>
      <c r="K78" s="64"/>
      <c r="L78" s="133" t="s">
        <v>767</v>
      </c>
      <c r="M78" s="127" t="s">
        <v>774</v>
      </c>
      <c r="N78" s="127" t="s">
        <v>745</v>
      </c>
      <c r="O78" s="127" t="s">
        <v>736</v>
      </c>
      <c r="P78" t="str">
        <f t="shared" si="26"/>
        <v>SOL</v>
      </c>
      <c r="Q78" s="106" t="s">
        <v>833</v>
      </c>
      <c r="R78">
        <v>1</v>
      </c>
      <c r="S78" s="230" t="str">
        <f>Commodities!$C$27</f>
        <v>RESSOL</v>
      </c>
      <c r="T78" t="str">
        <f>VLOOKUP(S78,Commodities!$C$18:$R$37,16,FALSE)</f>
        <v>Solar</v>
      </c>
    </row>
    <row r="79" spans="2:20" ht="13">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767</v>
      </c>
      <c r="M79" s="127" t="s">
        <v>774</v>
      </c>
      <c r="N79" s="127" t="s">
        <v>745</v>
      </c>
      <c r="O79" s="127" t="s">
        <v>736</v>
      </c>
      <c r="P79" t="str">
        <f t="shared" si="26"/>
        <v>ELCH</v>
      </c>
      <c r="Q79" s="106" t="s">
        <v>833</v>
      </c>
      <c r="R79">
        <v>1</v>
      </c>
      <c r="S79" s="230" t="str">
        <f>Commodities!$C$28</f>
        <v>RESELCH</v>
      </c>
      <c r="T79" t="str">
        <f>VLOOKUP(S79,Commodities!$C$18:$R$37,16,FALSE)</f>
        <v>Electricity Heating</v>
      </c>
    </row>
    <row r="80" spans="2:20" ht="13">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767</v>
      </c>
      <c r="M80" s="127" t="s">
        <v>774</v>
      </c>
      <c r="N80" s="127" t="s">
        <v>745</v>
      </c>
      <c r="O80" s="127" t="s">
        <v>736</v>
      </c>
      <c r="P80" t="str">
        <f t="shared" si="26"/>
        <v>ELCH</v>
      </c>
      <c r="Q80" s="106" t="s">
        <v>833</v>
      </c>
      <c r="R80">
        <v>2</v>
      </c>
      <c r="S80" s="230" t="s">
        <v>142</v>
      </c>
      <c r="T80" t="str">
        <f>VLOOKUP(S80,Commodities!$C$18:$R$37,16,FALSE)</f>
        <v>Electricity Heating</v>
      </c>
    </row>
    <row r="81" spans="2:20" ht="13">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767</v>
      </c>
      <c r="M81" s="127" t="s">
        <v>774</v>
      </c>
      <c r="N81" s="127" t="s">
        <v>745</v>
      </c>
      <c r="O81" s="127" t="s">
        <v>736</v>
      </c>
      <c r="P81" t="str">
        <f t="shared" si="26"/>
        <v>HCE</v>
      </c>
      <c r="Q81" s="106" t="s">
        <v>833</v>
      </c>
      <c r="R81">
        <v>1</v>
      </c>
      <c r="S81" s="230" t="str">
        <f>Commodities!$C$33</f>
        <v>RESHCE</v>
      </c>
      <c r="T81" t="str">
        <f>VLOOKUP(S81,Commodities!$C$18:$R$37,16,FALSE)</f>
        <v>District heating Central</v>
      </c>
    </row>
    <row r="82" spans="2:20" ht="13">
      <c r="B82" s="72"/>
      <c r="C82" s="72"/>
      <c r="D82" s="71" t="str">
        <f t="shared" si="28"/>
        <v>RHTUMLPGE1</v>
      </c>
      <c r="E82" s="88" t="str">
        <f t="shared" si="27"/>
        <v>Residential Heating Technology Urban Multi - LPG - Existing 1</v>
      </c>
      <c r="F82" s="71" t="s">
        <v>44</v>
      </c>
      <c r="G82" s="71" t="s">
        <v>65</v>
      </c>
      <c r="H82" s="75" t="s">
        <v>112</v>
      </c>
      <c r="I82" s="84"/>
      <c r="J82" s="70"/>
      <c r="K82" s="77"/>
      <c r="L82" s="133" t="s">
        <v>767</v>
      </c>
      <c r="M82" s="127" t="s">
        <v>774</v>
      </c>
      <c r="N82" s="127" t="s">
        <v>745</v>
      </c>
      <c r="O82" s="127" t="s">
        <v>736</v>
      </c>
      <c r="P82" t="str">
        <f t="shared" si="26"/>
        <v>LPG</v>
      </c>
      <c r="Q82" s="106" t="s">
        <v>833</v>
      </c>
      <c r="R82">
        <v>1</v>
      </c>
      <c r="S82" s="256" t="str">
        <f>Commodities!$C$20</f>
        <v>RESLPG</v>
      </c>
      <c r="T82" t="str">
        <f>VLOOKUP(S82,Commodities!$C$18:$R$37,16,FALSE)</f>
        <v>LPG</v>
      </c>
    </row>
    <row r="83" spans="2:20" ht="13">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767</v>
      </c>
      <c r="M83" s="127" t="s">
        <v>774</v>
      </c>
      <c r="N83" s="127" t="s">
        <v>745</v>
      </c>
      <c r="O83" s="127" t="s">
        <v>737</v>
      </c>
      <c r="P83" t="str">
        <f t="shared" si="26"/>
        <v>NGA</v>
      </c>
      <c r="Q83" s="106" t="s">
        <v>833</v>
      </c>
      <c r="R83">
        <v>1</v>
      </c>
      <c r="S83" s="230" t="str">
        <f>Commodities!$C$18</f>
        <v>RESNGA</v>
      </c>
      <c r="T83" t="str">
        <f>VLOOKUP(S83,Commodities!$C$18:$R$37,16,FALSE)</f>
        <v>Natural Gas</v>
      </c>
    </row>
    <row r="84" spans="2:20" ht="13">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767</v>
      </c>
      <c r="M84" s="127" t="s">
        <v>774</v>
      </c>
      <c r="N84" s="127" t="s">
        <v>745</v>
      </c>
      <c r="O84" s="127" t="s">
        <v>737</v>
      </c>
      <c r="P84" t="str">
        <f t="shared" si="26"/>
        <v>DSL</v>
      </c>
      <c r="Q84" s="106" t="s">
        <v>833</v>
      </c>
      <c r="R84">
        <v>1</v>
      </c>
      <c r="S84" s="230" t="str">
        <f>Commodities!$C$21</f>
        <v>RESDSL</v>
      </c>
      <c r="T84" t="str">
        <f>VLOOKUP(S84,Commodities!$C$18:$R$37,16,FALSE)</f>
        <v>Diesel</v>
      </c>
    </row>
    <row r="85" spans="2:20" ht="13">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767</v>
      </c>
      <c r="M85" s="127" t="s">
        <v>774</v>
      </c>
      <c r="N85" s="127" t="s">
        <v>745</v>
      </c>
      <c r="O85" s="127" t="s">
        <v>737</v>
      </c>
      <c r="P85" t="str">
        <f t="shared" si="26"/>
        <v>WPE</v>
      </c>
      <c r="Q85" s="106" t="s">
        <v>833</v>
      </c>
      <c r="R85">
        <v>1</v>
      </c>
      <c r="S85" s="230" t="str">
        <f>Commodities!$C$23</f>
        <v>RESWPE</v>
      </c>
      <c r="T85" t="str">
        <f>VLOOKUP(S85,Commodities!$C$18:$R$37,16,FALSE)</f>
        <v>Wood pellets</v>
      </c>
    </row>
    <row r="86" spans="2:20" ht="13">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767</v>
      </c>
      <c r="M86" s="127" t="s">
        <v>774</v>
      </c>
      <c r="N86" s="127" t="s">
        <v>745</v>
      </c>
      <c r="O86" s="127" t="s">
        <v>737</v>
      </c>
      <c r="P86" t="str">
        <f t="shared" si="26"/>
        <v>FIW</v>
      </c>
      <c r="Q86" s="106" t="s">
        <v>833</v>
      </c>
      <c r="R86">
        <v>1</v>
      </c>
      <c r="S86" s="230" t="str">
        <f>Commodities!$C$24</f>
        <v>RESFIW</v>
      </c>
      <c r="T86" t="str">
        <f>VLOOKUP(S86,Commodities!$C$18:$R$37,16,FALSE)</f>
        <v>Fire wood</v>
      </c>
    </row>
    <row r="87" spans="2:20" ht="13">
      <c r="B87" s="69"/>
      <c r="C87" s="69"/>
      <c r="D87" s="68" t="str">
        <f t="shared" si="28"/>
        <v>RHTRMCOAE1</v>
      </c>
      <c r="E87" s="86" t="str">
        <f t="shared" si="27"/>
        <v>Residential Heating Technology Rural Multi - Coal - Existing 1</v>
      </c>
      <c r="F87" s="68" t="s">
        <v>44</v>
      </c>
      <c r="G87" s="68" t="s">
        <v>65</v>
      </c>
      <c r="H87" s="79" t="s">
        <v>112</v>
      </c>
      <c r="I87" s="64"/>
      <c r="J87" s="64"/>
      <c r="K87" s="64"/>
      <c r="L87" s="133" t="s">
        <v>767</v>
      </c>
      <c r="M87" s="127" t="s">
        <v>774</v>
      </c>
      <c r="N87" s="127" t="s">
        <v>745</v>
      </c>
      <c r="O87" s="127" t="s">
        <v>737</v>
      </c>
      <c r="P87" t="str">
        <f t="shared" si="26"/>
        <v>COA</v>
      </c>
      <c r="Q87" s="106" t="s">
        <v>833</v>
      </c>
      <c r="R87">
        <v>1</v>
      </c>
      <c r="S87" s="230" t="str">
        <f>Commodities!$C$25</f>
        <v>RESCOA</v>
      </c>
      <c r="T87" t="str">
        <f>VLOOKUP(S87,Commodities!$C$18:$R$37,16,FALSE)</f>
        <v>Coal</v>
      </c>
    </row>
    <row r="88" spans="2:20" ht="13">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767</v>
      </c>
      <c r="M88" s="127" t="s">
        <v>774</v>
      </c>
      <c r="N88" s="127" t="s">
        <v>745</v>
      </c>
      <c r="O88" s="127" t="s">
        <v>737</v>
      </c>
      <c r="P88" t="str">
        <f t="shared" si="26"/>
        <v>SOL</v>
      </c>
      <c r="Q88" s="106" t="s">
        <v>833</v>
      </c>
      <c r="R88">
        <v>1</v>
      </c>
      <c r="S88" s="230" t="str">
        <f>Commodities!$C$27</f>
        <v>RESSOL</v>
      </c>
      <c r="T88" t="str">
        <f>VLOOKUP(S88,Commodities!$C$18:$R$37,16,FALSE)</f>
        <v>Solar</v>
      </c>
    </row>
    <row r="89" spans="2:20" ht="13">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767</v>
      </c>
      <c r="M89" s="127" t="s">
        <v>774</v>
      </c>
      <c r="N89" s="127" t="s">
        <v>745</v>
      </c>
      <c r="O89" s="127" t="s">
        <v>737</v>
      </c>
      <c r="P89" t="str">
        <f t="shared" si="26"/>
        <v>ELCH</v>
      </c>
      <c r="Q89" s="106" t="s">
        <v>833</v>
      </c>
      <c r="R89">
        <v>1</v>
      </c>
      <c r="S89" s="230" t="str">
        <f>Commodities!$C$28</f>
        <v>RESELCH</v>
      </c>
      <c r="T89" t="str">
        <f>VLOOKUP(S89,Commodities!$C$18:$R$37,16,FALSE)</f>
        <v>Electricity Heating</v>
      </c>
    </row>
    <row r="90" spans="2:20" ht="13">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767</v>
      </c>
      <c r="M90" s="127" t="s">
        <v>774</v>
      </c>
      <c r="N90" s="127" t="s">
        <v>745</v>
      </c>
      <c r="O90" s="127" t="s">
        <v>737</v>
      </c>
      <c r="P90" t="str">
        <f t="shared" si="26"/>
        <v>ELCH</v>
      </c>
      <c r="Q90" s="106" t="s">
        <v>833</v>
      </c>
      <c r="R90">
        <v>2</v>
      </c>
      <c r="S90" s="230" t="s">
        <v>142</v>
      </c>
      <c r="T90" t="str">
        <f>VLOOKUP(S90,Commodities!$C$18:$R$37,16,FALSE)</f>
        <v>Electricity Heating</v>
      </c>
    </row>
    <row r="91" spans="2:20" ht="13">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767</v>
      </c>
      <c r="M91" s="127" t="s">
        <v>774</v>
      </c>
      <c r="N91" s="127" t="s">
        <v>745</v>
      </c>
      <c r="O91" s="127" t="s">
        <v>737</v>
      </c>
      <c r="P91" t="str">
        <f t="shared" si="26"/>
        <v>HCE</v>
      </c>
      <c r="Q91" s="106" t="s">
        <v>833</v>
      </c>
      <c r="R91">
        <v>1</v>
      </c>
      <c r="S91" s="230" t="str">
        <f>Commodities!$C$33</f>
        <v>RESHCE</v>
      </c>
      <c r="T91" t="str">
        <f>VLOOKUP(S91,Commodities!$C$18:$R$37,16,FALSE)</f>
        <v>District heating Central</v>
      </c>
    </row>
    <row r="92" spans="2:20" ht="13">
      <c r="B92" s="72"/>
      <c r="C92" s="72"/>
      <c r="D92" s="71" t="str">
        <f t="shared" si="28"/>
        <v>RHTRMLPGE1</v>
      </c>
      <c r="E92" s="88" t="str">
        <f t="shared" si="27"/>
        <v>Residential Heating Technology Rural Multi - LPG - Existing 1</v>
      </c>
      <c r="F92" s="71" t="s">
        <v>44</v>
      </c>
      <c r="G92" s="71" t="s">
        <v>65</v>
      </c>
      <c r="H92" s="75" t="s">
        <v>112</v>
      </c>
      <c r="I92" s="84"/>
      <c r="J92" s="70"/>
      <c r="K92" s="77"/>
      <c r="L92" s="133" t="s">
        <v>767</v>
      </c>
      <c r="M92" s="127" t="s">
        <v>774</v>
      </c>
      <c r="N92" s="127" t="s">
        <v>745</v>
      </c>
      <c r="O92" s="127" t="s">
        <v>737</v>
      </c>
      <c r="P92" t="str">
        <f t="shared" si="26"/>
        <v>LPG</v>
      </c>
      <c r="Q92" s="106" t="s">
        <v>833</v>
      </c>
      <c r="R92">
        <v>1</v>
      </c>
      <c r="S92" s="256" t="str">
        <f>Commodities!$C$20</f>
        <v>RESLPG</v>
      </c>
      <c r="T92" t="str">
        <f>VLOOKUP(S92,Commodities!$C$18:$R$37,16,FALSE)</f>
        <v>LPG</v>
      </c>
    </row>
    <row r="93" spans="2:20" ht="13">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295</v>
      </c>
      <c r="M93" s="127" t="s">
        <v>774</v>
      </c>
      <c r="N93" s="127" t="s">
        <v>745</v>
      </c>
      <c r="O93" s="127" t="s">
        <v>736</v>
      </c>
      <c r="P93" t="str">
        <f t="shared" ref="P93:P96" si="30">RIGHT(S93,LEN(S93)-3)</f>
        <v>ELCA</v>
      </c>
      <c r="Q93" s="106" t="s">
        <v>833</v>
      </c>
      <c r="R93">
        <v>1</v>
      </c>
      <c r="S93" s="256" t="str">
        <f>Commodities!$C$30</f>
        <v>RESELCA</v>
      </c>
      <c r="T93" t="str">
        <f>VLOOKUP(S93,Commodities!$C$18:$R$37,16,FALSE)</f>
        <v>Electricity Appliances</v>
      </c>
    </row>
    <row r="94" spans="2:20" ht="13">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295</v>
      </c>
      <c r="M94" s="127" t="s">
        <v>774</v>
      </c>
      <c r="N94" s="127" t="s">
        <v>745</v>
      </c>
      <c r="O94" s="127" t="s">
        <v>737</v>
      </c>
      <c r="P94" t="str">
        <f t="shared" si="30"/>
        <v>ELCA</v>
      </c>
      <c r="Q94" s="106" t="s">
        <v>833</v>
      </c>
      <c r="R94">
        <v>1</v>
      </c>
      <c r="S94" s="256" t="str">
        <f>Commodities!$C$30</f>
        <v>RESELCA</v>
      </c>
      <c r="T94" t="str">
        <f>VLOOKUP(S94,Commodities!$C$18:$R$37,16,FALSE)</f>
        <v>Electricity Appliances</v>
      </c>
    </row>
    <row r="95" spans="2:20" ht="13">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295</v>
      </c>
      <c r="M95" s="127" t="s">
        <v>774</v>
      </c>
      <c r="N95" s="127" t="s">
        <v>116</v>
      </c>
      <c r="O95" s="127" t="s">
        <v>736</v>
      </c>
      <c r="P95" t="str">
        <f t="shared" si="30"/>
        <v>ELCA</v>
      </c>
      <c r="Q95" s="106" t="s">
        <v>833</v>
      </c>
      <c r="R95">
        <v>1</v>
      </c>
      <c r="S95" s="256" t="str">
        <f>Commodities!$C$30</f>
        <v>RESELCA</v>
      </c>
      <c r="T95" t="str">
        <f>VLOOKUP(S95,Commodities!$C$18:$R$37,16,FALSE)</f>
        <v>Electricity Appliances</v>
      </c>
    </row>
    <row r="96" spans="2:20" ht="13">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295</v>
      </c>
      <c r="M96" s="127" t="s">
        <v>774</v>
      </c>
      <c r="N96" s="127" t="s">
        <v>116</v>
      </c>
      <c r="O96" s="127" t="s">
        <v>737</v>
      </c>
      <c r="P96" t="str">
        <f t="shared" si="30"/>
        <v>ELCA</v>
      </c>
      <c r="Q96" s="106" t="s">
        <v>833</v>
      </c>
      <c r="R96">
        <v>1</v>
      </c>
      <c r="S96" s="256" t="str">
        <f>Commodities!$C$30</f>
        <v>RESELCA</v>
      </c>
      <c r="T96" t="str">
        <f>VLOOKUP(S96,Commodities!$C$18:$R$37,16,FALSE)</f>
        <v>Electricity Appliances</v>
      </c>
    </row>
    <row r="97" spans="2:19" ht="13">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7"/>
  <sheetViews>
    <sheetView topLeftCell="A7" zoomScaleNormal="100" workbookViewId="0">
      <selection activeCell="C21" sqref="C21"/>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Processes!D98</f>
        <v>FT-RESNGA</v>
      </c>
      <c r="C6" s="193" t="str">
        <f>Processes!E98</f>
        <v>Fuel Technology Residential      Natural Gas</v>
      </c>
      <c r="D6" s="193" t="s">
        <v>849</v>
      </c>
      <c r="E6" s="193" t="str">
        <f>Commodities!C18</f>
        <v>RESNGA</v>
      </c>
      <c r="F6" s="194">
        <v>1</v>
      </c>
      <c r="G6" s="193">
        <v>50</v>
      </c>
      <c r="H6" s="279"/>
      <c r="I6" s="279"/>
    </row>
    <row r="7" spans="2:9" s="617" customFormat="1" ht="13" thickBot="1">
      <c r="B7" s="621" t="str">
        <f>Processes!D97</f>
        <v>FT-RESBGA</v>
      </c>
      <c r="C7" s="621" t="str">
        <f>Processes!E97</f>
        <v>Fuel Technology Residential      Biogas</v>
      </c>
      <c r="D7" s="621" t="s">
        <v>922</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848</v>
      </c>
      <c r="E17" s="1" t="str">
        <f>Commodities!C28</f>
        <v>RESELCH</v>
      </c>
      <c r="F17" s="21">
        <v>1</v>
      </c>
      <c r="G17" s="1">
        <v>50</v>
      </c>
      <c r="H17" s="280"/>
      <c r="I17" s="280"/>
    </row>
    <row r="18" spans="2:9">
      <c r="B18" s="1" t="str">
        <f>Processes!D108</f>
        <v>FT-RESLCC</v>
      </c>
      <c r="C18" s="1" t="str">
        <f>Processes!E108</f>
        <v>Fuel Technology for Residential      Electricity Cooling</v>
      </c>
      <c r="D18" s="1" t="s">
        <v>848</v>
      </c>
      <c r="E18" s="1" t="str">
        <f>Commodities!C29</f>
        <v>RESELCC</v>
      </c>
      <c r="F18" s="21">
        <v>1</v>
      </c>
      <c r="G18" s="1">
        <v>50</v>
      </c>
      <c r="H18" s="280"/>
      <c r="I18" s="280"/>
    </row>
    <row r="19" spans="2:9">
      <c r="B19" s="1" t="str">
        <f>Processes!D109</f>
        <v>FT-RESLCA</v>
      </c>
      <c r="C19" s="1" t="str">
        <f>Processes!E109</f>
        <v>Fuel Technology for Residential      Electricity Appliances</v>
      </c>
      <c r="D19" s="1" t="s">
        <v>848</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848</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848</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846</v>
      </c>
      <c r="E22" s="3" t="str">
        <f>Commodities!C33</f>
        <v>RESHCE</v>
      </c>
      <c r="F22" s="520">
        <v>1</v>
      </c>
      <c r="G22" s="1">
        <v>50</v>
      </c>
      <c r="H22" s="280"/>
      <c r="I22" s="280"/>
    </row>
    <row r="23" spans="2:9">
      <c r="B23" s="187" t="str">
        <f>Processes!D113</f>
        <v>FT-RESHDE</v>
      </c>
      <c r="C23" s="187" t="str">
        <f>Processes!E113</f>
        <v>Fuel Technology Residential      District heating Decentral</v>
      </c>
      <c r="D23" s="474" t="s">
        <v>847</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769</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770</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D4" zoomScale="80" zoomScaleNormal="80" workbookViewId="0">
      <selection activeCell="U10" sqref="U10"/>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937</v>
      </c>
      <c r="Y4" s="439" t="s">
        <v>237</v>
      </c>
      <c r="Z4" s="440" t="s">
        <v>238</v>
      </c>
      <c r="AA4" s="438" t="s">
        <v>937</v>
      </c>
      <c r="AB4" s="439" t="s">
        <v>237</v>
      </c>
      <c r="AC4" s="440" t="s">
        <v>238</v>
      </c>
    </row>
    <row r="5" spans="2:30" ht="26">
      <c r="B5" s="238" t="s">
        <v>2</v>
      </c>
      <c r="C5" s="238" t="s">
        <v>26</v>
      </c>
      <c r="D5" s="422" t="s">
        <v>784</v>
      </c>
      <c r="E5" s="422" t="s">
        <v>785</v>
      </c>
      <c r="F5" s="238" t="s">
        <v>14</v>
      </c>
      <c r="G5" s="238" t="s">
        <v>15</v>
      </c>
      <c r="H5" s="422" t="s">
        <v>108</v>
      </c>
      <c r="I5" s="239" t="s">
        <v>938</v>
      </c>
      <c r="J5" s="239" t="s">
        <v>749</v>
      </c>
      <c r="K5" s="239" t="s">
        <v>750</v>
      </c>
      <c r="L5" s="240" t="s">
        <v>939</v>
      </c>
      <c r="M5" s="240" t="s">
        <v>751</v>
      </c>
      <c r="N5" s="240" t="s">
        <v>752</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783</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Processes!D93</f>
        <v>RCTUMELCAE1</v>
      </c>
      <c r="C7" s="233" t="str">
        <f>Processes!E93</f>
        <v>Residential Cooling Technology Urban Multi - Electricity Appliances - Existing 1</v>
      </c>
      <c r="D7" s="227" t="s">
        <v>736</v>
      </c>
      <c r="E7" s="227" t="s">
        <v>116</v>
      </c>
      <c r="F7" s="230" t="str">
        <f>Commodities!$C$29</f>
        <v>RESELCC</v>
      </c>
      <c r="G7" s="230" t="str">
        <f>Commodities!$C$54</f>
        <v>RESCUDB</v>
      </c>
      <c r="H7" s="230">
        <v>2010</v>
      </c>
      <c r="I7" s="250">
        <f>ROUNDUP(AA7/($O7*$P7)*$I$2,1)</f>
        <v>607.4</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1.8776486399999999</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5">
      <c r="B8" s="233" t="str">
        <f>Processes!D94</f>
        <v>RCTRMELCAE1</v>
      </c>
      <c r="C8" s="233" t="str">
        <f>Processes!E94</f>
        <v>Residential Cooling Technology Rural Multi - Electricity Appliances - Existing 1</v>
      </c>
      <c r="D8" s="233" t="s">
        <v>737</v>
      </c>
      <c r="E8" s="233" t="s">
        <v>116</v>
      </c>
      <c r="F8" s="230" t="str">
        <f>Commodities!$C$29</f>
        <v>RESELCC</v>
      </c>
      <c r="G8" s="259" t="str">
        <f>Commodities!$C$55</f>
        <v>RESCRDB</v>
      </c>
      <c r="H8" s="259">
        <v>2010</v>
      </c>
      <c r="I8" s="250">
        <f t="shared" ref="I8:I14" si="4">ROUNDUP(AA8/($O8*$P8)*$I$2,1)</f>
        <v>461.3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1.426118848</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1.426118848</v>
      </c>
      <c r="AB8" s="251">
        <f t="shared" si="3"/>
        <v>0</v>
      </c>
      <c r="AC8" s="446">
        <f t="shared" si="3"/>
        <v>0</v>
      </c>
    </row>
    <row r="9" spans="2:30" ht="14.5">
      <c r="B9" s="233" t="str">
        <f>Processes!D95</f>
        <v>RCTUDELCAE1</v>
      </c>
      <c r="C9" s="233" t="str">
        <f>Processes!E95</f>
        <v>Residential Cooling Technology Urban Detached - Electricity Appliances - Existing 1</v>
      </c>
      <c r="D9" s="227" t="s">
        <v>736</v>
      </c>
      <c r="E9" s="227" t="s">
        <v>786</v>
      </c>
      <c r="F9" s="230" t="str">
        <f>Commodities!$C$29</f>
        <v>RESELCC</v>
      </c>
      <c r="G9" s="259" t="str">
        <f>Commodities!$C$56</f>
        <v>RESCUMB</v>
      </c>
      <c r="H9" s="259">
        <v>2010</v>
      </c>
      <c r="I9" s="250">
        <f t="shared" si="4"/>
        <v>357.20000000000005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1.1042362239999999</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5">
      <c r="B10" s="233" t="str">
        <f>Processes!D96</f>
        <v>RCTRDELCAE1</v>
      </c>
      <c r="C10" s="233" t="str">
        <f>Processes!E96</f>
        <v>Residential Cooling Technology Rural Detached - Electricity Appliances - Existing 1</v>
      </c>
      <c r="D10" s="233" t="s">
        <v>737</v>
      </c>
      <c r="E10" s="233" t="s">
        <v>786</v>
      </c>
      <c r="F10" s="230" t="str">
        <f>Commodities!$C$29</f>
        <v>RESELCC</v>
      </c>
      <c r="G10" s="259" t="str">
        <f>Commodities!$C$57</f>
        <v>RESCRMB</v>
      </c>
      <c r="H10" s="259">
        <v>2010</v>
      </c>
      <c r="I10" s="250">
        <f t="shared" si="4"/>
        <v>20.3</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563.70000000000005</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1.7426312399999999</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1.7426312399999999</v>
      </c>
      <c r="AB11" s="251">
        <f t="shared" si="3"/>
        <v>0</v>
      </c>
      <c r="AC11" s="446">
        <f t="shared" si="3"/>
        <v>0</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428.1</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1.323569918</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1.323569918</v>
      </c>
      <c r="AB12" s="251">
        <f t="shared" si="3"/>
        <v>0</v>
      </c>
      <c r="AC12" s="446">
        <f t="shared" si="3"/>
        <v>0</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331.5</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1.0248331340000001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18.8</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605.20000000000005</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1.8710273399999999</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459.70000000000005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1.421089813</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1.421089813</v>
      </c>
      <c r="AB16" s="251">
        <f t="shared" si="11"/>
        <v>0</v>
      </c>
      <c r="AC16" s="446">
        <f t="shared" si="12"/>
        <v>0</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355.90000000000003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1.100342269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20.200000000000003</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1.8710273399999999</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1.421089813</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1.421089813</v>
      </c>
      <c r="AB20" s="251">
        <f t="shared" si="11"/>
        <v>0</v>
      </c>
      <c r="AC20" s="446">
        <f t="shared" si="12"/>
        <v>0</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1.100342269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7"/>
      <c r="E25" s="233"/>
      <c r="F25" s="230"/>
      <c r="G25" s="230"/>
      <c r="H25" s="230"/>
      <c r="I25" s="263"/>
      <c r="J25" s="263"/>
      <c r="K25" s="263"/>
      <c r="L25" s="264"/>
      <c r="M25" s="264"/>
      <c r="N25" s="264"/>
      <c r="O25" s="265"/>
      <c r="P25" s="264" t="s">
        <v>758</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topLeftCell="Y145" zoomScale="55" zoomScaleNormal="55" workbookViewId="0">
      <selection activeCell="AO162" sqref="AO162"/>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1.453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767</v>
      </c>
      <c r="C1" s="227" t="s">
        <v>835</v>
      </c>
      <c r="F1" s="228"/>
      <c r="G1" s="229" t="s">
        <v>181</v>
      </c>
      <c r="H1" s="229"/>
      <c r="I1" s="271">
        <v>1.05</v>
      </c>
      <c r="J1" s="271"/>
      <c r="K1" s="271"/>
      <c r="O1" s="231"/>
      <c r="U1" s="233"/>
      <c r="V1" s="295"/>
      <c r="W1" s="233"/>
      <c r="X1" s="233"/>
      <c r="Y1" s="233" t="s">
        <v>789</v>
      </c>
      <c r="Z1" s="612">
        <f>SUM('Data manipulation'!F23:F34)/1000</f>
        <v>2450.8724340000003</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12">
        <f>SUM(Y6:AA45)</f>
        <v>2450.8724339999999</v>
      </c>
      <c r="AD2" s="227"/>
    </row>
    <row r="3" spans="2:53" ht="13.5" thickBot="1">
      <c r="H3" s="234" t="s">
        <v>8</v>
      </c>
      <c r="J3" s="234"/>
      <c r="K3" s="234"/>
      <c r="L3" s="234"/>
      <c r="M3" s="234"/>
      <c r="N3" s="234"/>
      <c r="O3" s="235"/>
      <c r="P3" s="227"/>
      <c r="Q3" s="233"/>
      <c r="R3" s="233"/>
      <c r="S3" s="233"/>
      <c r="T3" s="268"/>
      <c r="U3" s="233"/>
      <c r="V3" s="233"/>
      <c r="W3" s="267">
        <v>3.5999999999999999E-3</v>
      </c>
      <c r="X3" s="233"/>
      <c r="Y3" s="438" t="s">
        <v>937</v>
      </c>
      <c r="Z3" s="439" t="s">
        <v>237</v>
      </c>
      <c r="AA3" s="440" t="s">
        <v>238</v>
      </c>
      <c r="AB3" s="438" t="s">
        <v>937</v>
      </c>
      <c r="AC3" s="439" t="s">
        <v>237</v>
      </c>
      <c r="AD3" s="440" t="s">
        <v>238</v>
      </c>
      <c r="AG3" s="236"/>
      <c r="AH3" s="237"/>
      <c r="AI3" s="237"/>
      <c r="AJ3" s="237"/>
      <c r="AK3" s="237"/>
      <c r="AL3" s="237"/>
    </row>
    <row r="4" spans="2:53">
      <c r="B4" s="238" t="s">
        <v>2</v>
      </c>
      <c r="C4" s="238" t="s">
        <v>26</v>
      </c>
      <c r="D4" s="422" t="s">
        <v>784</v>
      </c>
      <c r="E4" s="422" t="s">
        <v>785</v>
      </c>
      <c r="F4" s="238" t="s">
        <v>14</v>
      </c>
      <c r="G4" s="238" t="s">
        <v>15</v>
      </c>
      <c r="H4" s="422" t="s">
        <v>108</v>
      </c>
      <c r="I4" s="239" t="s">
        <v>938</v>
      </c>
      <c r="J4" s="239" t="s">
        <v>749</v>
      </c>
      <c r="K4" s="239" t="s">
        <v>750</v>
      </c>
      <c r="L4" s="240" t="s">
        <v>939</v>
      </c>
      <c r="M4" s="240" t="s">
        <v>751</v>
      </c>
      <c r="N4" s="240" t="s">
        <v>752</v>
      </c>
      <c r="O4" s="238" t="s">
        <v>0</v>
      </c>
      <c r="P4" s="238" t="s">
        <v>184</v>
      </c>
      <c r="Q4" s="239" t="s">
        <v>107</v>
      </c>
      <c r="R4" s="227" t="s">
        <v>873</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783</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736</v>
      </c>
      <c r="E6" s="227" t="s">
        <v>116</v>
      </c>
      <c r="F6" s="230" t="str">
        <f>Commodities!$C$18&amp;","&amp;Commodities!$C$36&amp;","&amp;Commodities!$C$19</f>
        <v>RESNGA,RESSNG,RESBGA</v>
      </c>
      <c r="G6" s="230" t="str">
        <f>Commodities!$C$42</f>
        <v>RESHUDB</v>
      </c>
      <c r="H6" s="230">
        <v>2010</v>
      </c>
      <c r="I6" s="250">
        <f>ROUNDUP(AB6/($O6*$P6)*$R6,1)</f>
        <v>42592.799999999996</v>
      </c>
      <c r="J6" s="250">
        <f>ROUNDUP(AC6/($O6*$P6)*$R6,1)</f>
        <v>0</v>
      </c>
      <c r="K6" s="250">
        <f>ROUNDUP(AD6/($O6*$P6)*$R6,1)</f>
        <v>0</v>
      </c>
      <c r="L6" s="461">
        <v>0.72</v>
      </c>
      <c r="M6" s="461">
        <v>0.72</v>
      </c>
      <c r="N6" s="461">
        <v>0.72</v>
      </c>
      <c r="O6" s="244">
        <f>31.536/1000</f>
        <v>3.1536000000000002E-2</v>
      </c>
      <c r="P6" s="460">
        <v>0.2</v>
      </c>
      <c r="Q6" s="245">
        <v>22</v>
      </c>
      <c r="R6" s="227">
        <v>1.05</v>
      </c>
      <c r="T6" s="268">
        <f>SUM(I6:K6)*O6*P6/L6</f>
        <v>373.11292800000001</v>
      </c>
      <c r="U6" s="268"/>
      <c r="V6" s="602"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355.34494211999993</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255.84835832639993</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736</v>
      </c>
      <c r="E7" s="227" t="s">
        <v>116</v>
      </c>
      <c r="F7" s="230" t="str">
        <f>Commodities!$C$21&amp;","&amp;Commodities!$C$37</f>
        <v>RESDSL,RESDSB</v>
      </c>
      <c r="G7" s="230" t="str">
        <f>Commodities!$C$42</f>
        <v>RESHUDB</v>
      </c>
      <c r="H7" s="230">
        <v>2010</v>
      </c>
      <c r="I7" s="250">
        <f t="shared" ref="I7:I14" si="2">ROUNDUP(AB7/($O7*$P7)*$R7,1)</f>
        <v>50965.5</v>
      </c>
      <c r="J7" s="250">
        <f t="shared" ref="J7:J13" si="3">ROUNDUP(AC7/($O7*$P7)*$R7,1)</f>
        <v>0</v>
      </c>
      <c r="K7" s="250">
        <f t="shared" ref="K7:K13" si="4">ROUNDUP(AD7/($O7*$P7)*$R7,1)</f>
        <v>0</v>
      </c>
      <c r="L7" s="462">
        <v>0.71</v>
      </c>
      <c r="M7" s="462">
        <v>0.71</v>
      </c>
      <c r="N7" s="462">
        <v>0.71</v>
      </c>
      <c r="O7" s="244">
        <f>31.536/1000</f>
        <v>3.1536000000000002E-2</v>
      </c>
      <c r="P7" s="460">
        <v>0.2</v>
      </c>
      <c r="Q7" s="245">
        <v>20</v>
      </c>
      <c r="R7" s="227">
        <v>1.05</v>
      </c>
      <c r="T7" s="268">
        <f t="shared" ref="T7:T70" si="5">SUM(I7:K7)*O7*P7/L7</f>
        <v>452.74591774647899</v>
      </c>
      <c r="V7" s="602" t="str">
        <f>'Data manipulation'!$B$35</f>
        <v>Oil products</v>
      </c>
      <c r="W7" s="254" t="s">
        <v>757</v>
      </c>
      <c r="X7" s="246">
        <v>2010</v>
      </c>
      <c r="Y7" s="434">
        <f>_xlfn.IFNA(INDEX('Data manipulation'!$C$23:$O$39,MATCH($V7,'Data manipulation'!$B$23:$B$39,0),MATCH($X7,'Data manipulation'!$C$22:$O$22,0))/1000,0)*SUMIFS('Regional split'!$F$4:$F$6,'Regional split'!$B$4:$B$6,Y$3)*SUMIFS('Data manipulation'!$V$39:$V$42,'Data manipulation'!$X$39:$X$42,$E7,'Data manipulation'!$Y$39:$Y$42,$D7)</f>
        <v>431.18643035999997</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306.14236555559995</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736</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1.05</v>
      </c>
      <c r="T8" s="268">
        <f t="shared" si="5"/>
        <v>0</v>
      </c>
      <c r="U8" s="268"/>
      <c r="V8" s="602" t="s">
        <v>206</v>
      </c>
      <c r="W8" s="254" t="s">
        <v>927</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736</v>
      </c>
      <c r="E9" s="227" t="s">
        <v>116</v>
      </c>
      <c r="F9" s="230" t="str">
        <f>Commodities!$C$24</f>
        <v>RESFIW</v>
      </c>
      <c r="G9" s="230" t="str">
        <f>Commodities!$C$42</f>
        <v>RESHUDB</v>
      </c>
      <c r="H9" s="230">
        <v>2010</v>
      </c>
      <c r="I9" s="250">
        <f t="shared" si="2"/>
        <v>12096.6</v>
      </c>
      <c r="J9" s="250">
        <f t="shared" si="3"/>
        <v>0</v>
      </c>
      <c r="K9" s="250">
        <f t="shared" si="4"/>
        <v>0</v>
      </c>
      <c r="L9" s="462">
        <v>0.65000022993955098</v>
      </c>
      <c r="M9" s="462">
        <v>0.65000022993955098</v>
      </c>
      <c r="N9" s="462">
        <v>0.65000022993955098</v>
      </c>
      <c r="O9" s="244">
        <f t="shared" si="7"/>
        <v>3.1536000000000002E-2</v>
      </c>
      <c r="P9" s="460">
        <v>0.2</v>
      </c>
      <c r="Q9" s="245">
        <v>20</v>
      </c>
      <c r="R9" s="227">
        <v>1.05</v>
      </c>
      <c r="T9" s="268">
        <f t="shared" si="5"/>
        <v>117.37792081565171</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736</v>
      </c>
      <c r="E10" s="233" t="s">
        <v>116</v>
      </c>
      <c r="F10" s="230" t="str">
        <f>Commodities!$C$25</f>
        <v>RESCOA</v>
      </c>
      <c r="G10" s="230" t="str">
        <f>Commodities!$C$42</f>
        <v>RESHUDB</v>
      </c>
      <c r="H10" s="230">
        <v>2010</v>
      </c>
      <c r="I10" s="250">
        <f t="shared" si="2"/>
        <v>2033.1</v>
      </c>
      <c r="J10" s="250">
        <f t="shared" si="3"/>
        <v>0</v>
      </c>
      <c r="K10" s="250">
        <f t="shared" si="4"/>
        <v>0</v>
      </c>
      <c r="L10" s="462">
        <v>0.7</v>
      </c>
      <c r="M10" s="462">
        <v>0.7</v>
      </c>
      <c r="N10" s="462">
        <v>0.7</v>
      </c>
      <c r="O10" s="244">
        <f t="shared" si="7"/>
        <v>3.1536000000000002E-2</v>
      </c>
      <c r="P10" s="460">
        <v>0.2</v>
      </c>
      <c r="Q10" s="245">
        <v>20</v>
      </c>
      <c r="R10" s="227">
        <v>1.05</v>
      </c>
      <c r="T10" s="268">
        <f t="shared" si="5"/>
        <v>18.318811885714286</v>
      </c>
      <c r="U10" s="268"/>
      <c r="V10" s="602" t="str">
        <f>'Data manipulation'!$B$23</f>
        <v>Solid fossil fuels, peat, peat products, oil shale and oil sands</v>
      </c>
      <c r="W10" s="254" t="s">
        <v>924</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BA10" s="252"/>
    </row>
    <row r="11" spans="2:53" ht="15" customHeight="1">
      <c r="B11" s="233" t="str">
        <f>Processes!D58</f>
        <v>RHTUDSOLE1</v>
      </c>
      <c r="C11" s="233" t="str">
        <f>Processes!E58</f>
        <v>Residential Heating Technology Urban Detached - Solar - Existing 1</v>
      </c>
      <c r="D11" s="233" t="s">
        <v>736</v>
      </c>
      <c r="E11" s="233" t="s">
        <v>116</v>
      </c>
      <c r="F11" s="230" t="str">
        <f>Commodities!$C$27</f>
        <v>RESSOL</v>
      </c>
      <c r="G11" s="230" t="str">
        <f>Commodities!$C$42</f>
        <v>RESHUDB</v>
      </c>
      <c r="H11" s="230">
        <v>2010</v>
      </c>
      <c r="I11" s="250">
        <f t="shared" si="2"/>
        <v>177.2</v>
      </c>
      <c r="J11" s="250">
        <f t="shared" si="3"/>
        <v>0</v>
      </c>
      <c r="K11" s="250">
        <f t="shared" si="4"/>
        <v>0</v>
      </c>
      <c r="L11" s="462">
        <v>1</v>
      </c>
      <c r="M11" s="462">
        <v>1</v>
      </c>
      <c r="N11" s="462">
        <v>1</v>
      </c>
      <c r="O11" s="244">
        <f t="shared" si="7"/>
        <v>3.1536000000000002E-2</v>
      </c>
      <c r="P11" s="460">
        <v>0.2</v>
      </c>
      <c r="Q11" s="245">
        <v>20</v>
      </c>
      <c r="R11" s="227">
        <v>1.05</v>
      </c>
      <c r="T11" s="268">
        <f t="shared" si="5"/>
        <v>1.1176358399999999</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736</v>
      </c>
      <c r="E12" s="233" t="s">
        <v>116</v>
      </c>
      <c r="F12" s="230" t="str">
        <f>Commodities!$C$28</f>
        <v>RESELCH</v>
      </c>
      <c r="G12" s="230" t="str">
        <f>Commodities!$C$42</f>
        <v>RESHUDB</v>
      </c>
      <c r="H12" s="230">
        <v>2010</v>
      </c>
      <c r="I12" s="250">
        <f t="shared" si="2"/>
        <v>2853.5</v>
      </c>
      <c r="J12" s="250">
        <f t="shared" si="3"/>
        <v>0</v>
      </c>
      <c r="K12" s="250">
        <f t="shared" si="4"/>
        <v>0</v>
      </c>
      <c r="L12" s="462">
        <v>1</v>
      </c>
      <c r="M12" s="462">
        <v>1</v>
      </c>
      <c r="N12" s="462">
        <v>1</v>
      </c>
      <c r="O12" s="244">
        <f t="shared" si="7"/>
        <v>3.1536000000000002E-2</v>
      </c>
      <c r="P12" s="460">
        <v>0.2</v>
      </c>
      <c r="Q12" s="245">
        <v>30</v>
      </c>
      <c r="R12" s="227">
        <v>1.05</v>
      </c>
      <c r="T12" s="268">
        <f t="shared" si="5"/>
        <v>17.997595200000003</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736</v>
      </c>
      <c r="E13" s="233" t="s">
        <v>116</v>
      </c>
      <c r="F13" s="230" t="str">
        <f>Commodities!$C$28</f>
        <v>RESELCH</v>
      </c>
      <c r="G13" s="230" t="str">
        <f>Commodities!$C$42</f>
        <v>RESHUDB</v>
      </c>
      <c r="H13" s="230">
        <v>2010</v>
      </c>
      <c r="I13" s="250">
        <f t="shared" si="2"/>
        <v>3116.7</v>
      </c>
      <c r="J13" s="250">
        <f t="shared" si="3"/>
        <v>0</v>
      </c>
      <c r="K13" s="250">
        <f t="shared" si="4"/>
        <v>0</v>
      </c>
      <c r="L13" s="462">
        <v>2.3149999999999999</v>
      </c>
      <c r="M13" s="462">
        <v>2.3149999999999999</v>
      </c>
      <c r="N13" s="462">
        <v>2.3149999999999999</v>
      </c>
      <c r="O13" s="244">
        <f t="shared" si="7"/>
        <v>3.1536000000000002E-2</v>
      </c>
      <c r="P13" s="460">
        <v>0.2</v>
      </c>
      <c r="Q13" s="245">
        <v>30</v>
      </c>
      <c r="R13" s="227">
        <v>1.05</v>
      </c>
      <c r="T13" s="268">
        <f t="shared" si="5"/>
        <v>8.491425589632831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5">
      <c r="B14" s="233" t="str">
        <f>Processes!D61</f>
        <v>RHTUDHCEE1</v>
      </c>
      <c r="C14" s="233" t="str">
        <f>Processes!E61</f>
        <v>Residential Heating Technology Urban Detached - District heating Central - Existing 1</v>
      </c>
      <c r="D14" s="233" t="s">
        <v>736</v>
      </c>
      <c r="E14" s="233" t="s">
        <v>116</v>
      </c>
      <c r="F14" s="230" t="str">
        <f>Commodities!$C$33</f>
        <v>RESHCE</v>
      </c>
      <c r="G14" s="230" t="str">
        <f>Commodities!$C$38</f>
        <v>RESHUDX</v>
      </c>
      <c r="H14" s="230">
        <v>2010</v>
      </c>
      <c r="I14" s="250">
        <f t="shared" si="2"/>
        <v>11758.2</v>
      </c>
      <c r="J14" s="572">
        <v>0</v>
      </c>
      <c r="K14" s="572">
        <v>0</v>
      </c>
      <c r="L14" s="462">
        <v>0.95</v>
      </c>
      <c r="M14" s="462">
        <v>0.95</v>
      </c>
      <c r="N14" s="462">
        <v>0.95</v>
      </c>
      <c r="O14" s="244">
        <f t="shared" si="7"/>
        <v>3.1536000000000002E-2</v>
      </c>
      <c r="P14" s="460">
        <v>0.2</v>
      </c>
      <c r="Q14" s="245">
        <v>30</v>
      </c>
      <c r="R14" s="227">
        <v>1.05</v>
      </c>
      <c r="T14" s="268">
        <f t="shared" si="5"/>
        <v>78.064546357894756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736</v>
      </c>
      <c r="E15" s="535" t="s">
        <v>116</v>
      </c>
      <c r="F15" s="256" t="str">
        <f>Commodities!$C$20</f>
        <v>RESLPG</v>
      </c>
      <c r="G15" s="256" t="str">
        <f>G13</f>
        <v>RESHUDB</v>
      </c>
      <c r="H15" s="423">
        <v>2010</v>
      </c>
      <c r="I15" s="297">
        <f t="shared" ref="I15" si="8">ROUNDUP(AB15/($O15*$P15)*$R15,1)</f>
        <v>2050.2999999999997</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1.05</v>
      </c>
      <c r="T15" s="268">
        <f t="shared" si="5"/>
        <v>13.612265431578948</v>
      </c>
      <c r="U15" s="268"/>
      <c r="V15" s="602" t="str">
        <f>'Data manipulation'!$B$25</f>
        <v>Liquefied natural gas</v>
      </c>
      <c r="W15" s="428" t="s">
        <v>798</v>
      </c>
      <c r="X15" s="431">
        <v>2010</v>
      </c>
      <c r="Y15" s="435">
        <f>_xlfn.IFNA(INDEX('Data manipulation'!$C$23:$O$39,MATCH($V15,'Data manipulation'!$B$23:$B$39,0),MATCH($X15,'Data manipulation'!$C$22:$O$22,0))/1000,0)*SUMIFS('Regional split'!$F$4:$F$6,'Regional split'!$B$4:$B$6,Y$3)*SUMIFS('Data manipulation'!$V$39:$V$42,'Data manipulation'!$X$39:$X$42,$E15,'Data manipulation'!$Y$39:$Y$42,$D15)</f>
        <v>12.963795179999998</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12.315605420999997</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737</v>
      </c>
      <c r="E16" s="233" t="s">
        <v>116</v>
      </c>
      <c r="F16" s="230" t="str">
        <f>Commodities!$C$18&amp;","&amp;Commodities!$C$36</f>
        <v>RESNGA,RESSNG</v>
      </c>
      <c r="G16" s="259" t="str">
        <f>Commodities!$C$43</f>
        <v>RESHRDB</v>
      </c>
      <c r="H16" s="259">
        <v>2010</v>
      </c>
      <c r="I16" s="250">
        <f>ROUNDUP(AB16/($O16*$P16)*$R16,1)</f>
        <v>35495.4</v>
      </c>
      <c r="J16" s="250">
        <f>ROUNDUP(AC16/($O16*$P16)*$R16,1)</f>
        <v>0</v>
      </c>
      <c r="K16" s="250">
        <f>ROUNDUP(AD16/($O16*$P16)*$R16,1)</f>
        <v>0</v>
      </c>
      <c r="L16" s="462">
        <v>0.79</v>
      </c>
      <c r="M16" s="462">
        <v>0.79</v>
      </c>
      <c r="N16" s="462">
        <v>0.79</v>
      </c>
      <c r="O16" s="244">
        <f t="shared" si="7"/>
        <v>3.1536000000000002E-2</v>
      </c>
      <c r="P16" s="460">
        <v>0.2</v>
      </c>
      <c r="Q16" s="245">
        <v>25</v>
      </c>
      <c r="R16" s="227">
        <v>1.05</v>
      </c>
      <c r="T16" s="268">
        <f t="shared" si="5"/>
        <v>283.38808465822785</v>
      </c>
      <c r="U16" s="268"/>
      <c r="V16" s="602"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269.89294413399995</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213.21542586585997</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737</v>
      </c>
      <c r="E17" s="233" t="s">
        <v>116</v>
      </c>
      <c r="F17" s="230" t="str">
        <f>Commodities!$C$21&amp;","&amp;Commodities!$C$37</f>
        <v>RESDSL,RESDSB</v>
      </c>
      <c r="G17" s="259" t="str">
        <f>Commodities!$C$43</f>
        <v>RESHRDB</v>
      </c>
      <c r="H17" s="259">
        <v>2010</v>
      </c>
      <c r="I17" s="250">
        <f t="shared" ref="I17:I23" si="11">ROUNDUP(AB17/($O17*$P17)*$R17,1)</f>
        <v>43071.199999999997</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1.05</v>
      </c>
      <c r="T17" s="268">
        <f t="shared" si="5"/>
        <v>343.87173751898735</v>
      </c>
      <c r="V17" s="602" t="str">
        <f>'Data manipulation'!$B$35</f>
        <v>Oil products</v>
      </c>
      <c r="W17" s="254" t="s">
        <v>757</v>
      </c>
      <c r="X17" s="246">
        <v>2010</v>
      </c>
      <c r="Y17" s="434">
        <f>_xlfn.IFNA(INDEX('Data manipulation'!$C$23:$O$39,MATCH($V17,'Data manipulation'!$B$23:$B$39,0),MATCH($X17,'Data manipulation'!$C$22:$O$22,0))/1000,0)*SUMIFS('Regional split'!$F$4:$F$6,'Regional split'!$B$4:$B$6,Y$3)*SUMIFS('Data manipulation'!$V$39:$V$42,'Data manipulation'!$X$39:$X$42,$E17,'Data manipulation'!$Y$39:$Y$42,$D17)</f>
        <v>327.49636020200001</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258.72212455958004</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737</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1.05</v>
      </c>
      <c r="T18" s="268">
        <f t="shared" si="5"/>
        <v>0</v>
      </c>
      <c r="U18" s="268"/>
      <c r="V18" s="602" t="s">
        <v>206</v>
      </c>
      <c r="W18" s="254" t="s">
        <v>927</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737</v>
      </c>
      <c r="E19" s="233" t="s">
        <v>116</v>
      </c>
      <c r="F19" s="230" t="str">
        <f>Commodities!$C$24</f>
        <v>RESFIW</v>
      </c>
      <c r="G19" s="259" t="str">
        <f>Commodities!$C$43</f>
        <v>RESHRDB</v>
      </c>
      <c r="H19" s="259">
        <v>2010</v>
      </c>
      <c r="I19" s="250">
        <f t="shared" si="11"/>
        <v>9470.3000000000011</v>
      </c>
      <c r="J19" s="250">
        <f t="shared" si="12"/>
        <v>0</v>
      </c>
      <c r="K19" s="250">
        <f t="shared" si="13"/>
        <v>0</v>
      </c>
      <c r="L19" s="462">
        <v>0.67</v>
      </c>
      <c r="M19" s="462">
        <v>0.67</v>
      </c>
      <c r="N19" s="462">
        <v>0.67</v>
      </c>
      <c r="O19" s="244">
        <f>31.536/1000</f>
        <v>3.1536000000000002E-2</v>
      </c>
      <c r="P19" s="460">
        <v>0.2</v>
      </c>
      <c r="Q19" s="245">
        <v>20</v>
      </c>
      <c r="R19" s="227">
        <v>1.05</v>
      </c>
      <c r="T19" s="268">
        <f t="shared" si="5"/>
        <v>89.150859940298531</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737</v>
      </c>
      <c r="E20" s="233" t="s">
        <v>116</v>
      </c>
      <c r="F20" s="230" t="str">
        <f>Commodities!$C$25</f>
        <v>RESCOA</v>
      </c>
      <c r="G20" s="259" t="str">
        <f>Commodities!$C$43</f>
        <v>RESHRDB</v>
      </c>
      <c r="H20" s="259">
        <v>2010</v>
      </c>
      <c r="I20" s="250">
        <f t="shared" si="11"/>
        <v>1588.3</v>
      </c>
      <c r="J20" s="250">
        <f t="shared" si="12"/>
        <v>0</v>
      </c>
      <c r="K20" s="250">
        <f t="shared" si="13"/>
        <v>0</v>
      </c>
      <c r="L20" s="462">
        <v>0.72</v>
      </c>
      <c r="M20" s="462">
        <v>0.72</v>
      </c>
      <c r="N20" s="462">
        <v>0.72</v>
      </c>
      <c r="O20" s="244">
        <f t="shared" si="7"/>
        <v>3.1536000000000002E-2</v>
      </c>
      <c r="P20" s="460">
        <v>0.2</v>
      </c>
      <c r="Q20" s="245">
        <v>20</v>
      </c>
      <c r="R20" s="227">
        <v>1.05</v>
      </c>
      <c r="T20" s="268">
        <f t="shared" si="5"/>
        <v>13.913508000000002</v>
      </c>
      <c r="U20" s="268"/>
      <c r="V20" s="602" t="str">
        <f>'Data manipulation'!$B$23</f>
        <v>Solid fossil fuels, peat, peat products, oil shale and oil sands</v>
      </c>
      <c r="W20" s="254" t="s">
        <v>924</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737</v>
      </c>
      <c r="E21" s="233" t="s">
        <v>116</v>
      </c>
      <c r="F21" s="230" t="str">
        <f>Commodities!$C$27</f>
        <v>RESSOL</v>
      </c>
      <c r="G21" s="259" t="str">
        <f>Commodities!$C$43</f>
        <v>RESHRDB</v>
      </c>
      <c r="H21" s="259">
        <v>2010</v>
      </c>
      <c r="I21" s="250">
        <f t="shared" si="11"/>
        <v>134.6</v>
      </c>
      <c r="J21" s="250">
        <f t="shared" si="12"/>
        <v>0</v>
      </c>
      <c r="K21" s="250">
        <f t="shared" si="13"/>
        <v>0</v>
      </c>
      <c r="L21" s="462">
        <v>1</v>
      </c>
      <c r="M21" s="462">
        <v>1</v>
      </c>
      <c r="N21" s="462">
        <v>1</v>
      </c>
      <c r="O21" s="244">
        <f t="shared" si="7"/>
        <v>3.1536000000000002E-2</v>
      </c>
      <c r="P21" s="460">
        <v>0.2</v>
      </c>
      <c r="Q21" s="245">
        <v>20</v>
      </c>
      <c r="R21" s="227">
        <v>1.05</v>
      </c>
      <c r="T21" s="268">
        <f t="shared" si="5"/>
        <v>0.84894912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737</v>
      </c>
      <c r="E22" s="233" t="s">
        <v>116</v>
      </c>
      <c r="F22" s="230" t="str">
        <f>Commodities!$C$28</f>
        <v>RESELCH</v>
      </c>
      <c r="G22" s="259" t="str">
        <f>Commodities!$C$43</f>
        <v>RESHRDB</v>
      </c>
      <c r="H22" s="259">
        <v>2010</v>
      </c>
      <c r="I22" s="250">
        <f t="shared" si="11"/>
        <v>2167.2999999999997</v>
      </c>
      <c r="J22" s="250">
        <f t="shared" si="12"/>
        <v>0</v>
      </c>
      <c r="K22" s="250">
        <f t="shared" si="13"/>
        <v>0</v>
      </c>
      <c r="L22" s="462">
        <v>1</v>
      </c>
      <c r="M22" s="462">
        <v>1</v>
      </c>
      <c r="N22" s="462">
        <v>1</v>
      </c>
      <c r="O22" s="244">
        <f t="shared" si="7"/>
        <v>3.1536000000000002E-2</v>
      </c>
      <c r="P22" s="460">
        <v>0.2</v>
      </c>
      <c r="Q22" s="245">
        <v>30</v>
      </c>
      <c r="R22" s="227">
        <v>1.05</v>
      </c>
      <c r="T22" s="268">
        <f t="shared" si="5"/>
        <v>13.66959456</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737</v>
      </c>
      <c r="E23" s="233" t="s">
        <v>116</v>
      </c>
      <c r="F23" s="230" t="str">
        <f>Commodities!$C$28</f>
        <v>RESELCH</v>
      </c>
      <c r="G23" s="259" t="str">
        <f>Commodities!$C$43</f>
        <v>RESHRDB</v>
      </c>
      <c r="H23" s="259">
        <v>2010</v>
      </c>
      <c r="I23" s="250">
        <f t="shared" si="11"/>
        <v>2367.1999999999998</v>
      </c>
      <c r="J23" s="250">
        <f t="shared" si="12"/>
        <v>0</v>
      </c>
      <c r="K23" s="250">
        <f t="shared" si="13"/>
        <v>0</v>
      </c>
      <c r="L23" s="462">
        <v>2.3149999999999999</v>
      </c>
      <c r="M23" s="462">
        <v>2.3149999999999999</v>
      </c>
      <c r="N23" s="462">
        <v>2.3149999999999999</v>
      </c>
      <c r="O23" s="244">
        <f t="shared" si="7"/>
        <v>3.1536000000000002E-2</v>
      </c>
      <c r="P23" s="460">
        <v>0.2</v>
      </c>
      <c r="Q23" s="245">
        <v>30</v>
      </c>
      <c r="R23" s="227">
        <v>1.05</v>
      </c>
      <c r="T23" s="268">
        <f t="shared" si="5"/>
        <v>6.4494185053995681</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737</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1.05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737</v>
      </c>
      <c r="E25" s="536" t="s">
        <v>116</v>
      </c>
      <c r="F25" s="537" t="str">
        <f>F15</f>
        <v>RESLPG</v>
      </c>
      <c r="G25" s="425" t="str">
        <f>G23</f>
        <v>RESHRDB</v>
      </c>
      <c r="H25" s="425">
        <v>2010</v>
      </c>
      <c r="I25" s="297">
        <f t="shared" ref="I25" si="14">ROUNDUP(AB25/($O25*$P25)*$R25,1)</f>
        <v>1606.3999999999999</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1.05</v>
      </c>
      <c r="T25" s="268">
        <f t="shared" si="5"/>
        <v>10.338659265306124</v>
      </c>
      <c r="U25" s="268"/>
      <c r="V25" s="602" t="str">
        <f>'Data manipulation'!$B$25</f>
        <v>Liquefied natural gas</v>
      </c>
      <c r="W25" s="428" t="s">
        <v>798</v>
      </c>
      <c r="X25" s="428">
        <v>2010</v>
      </c>
      <c r="Y25" s="436">
        <f>_xlfn.IFNA(INDEX('Data manipulation'!$C$23:$O$39,MATCH($V25,'Data manipulation'!$B$23:$B$39,0),MATCH($X25,'Data manipulation'!$C$22:$O$22,0))/1000,0)*SUMIFS('Regional split'!$F$4:$F$6,'Regional split'!$B$4:$B$6,Y$3)*SUMIFS('Data manipulation'!$V$39:$V$42,'Data manipulation'!$X$39:$X$42,$E25,'Data manipulation'!$Y$39:$Y$42,$D25)</f>
        <v>9.8463111009999995</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9.6493848789799994</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736</v>
      </c>
      <c r="E26" s="227" t="s">
        <v>786</v>
      </c>
      <c r="F26" s="230" t="str">
        <f>Commodities!$C$18&amp;","&amp;Commodities!$C$36</f>
        <v>RESNGA,RESSNG</v>
      </c>
      <c r="G26" s="230" t="str">
        <f>Commodities!$C$44</f>
        <v>RESHUMB</v>
      </c>
      <c r="H26" s="230">
        <v>2010</v>
      </c>
      <c r="I26" s="250">
        <f>ROUNDUP(AB26/($O26*$P26)*$R26,1)</f>
        <v>25048.6</v>
      </c>
      <c r="J26" s="250">
        <f>ROUNDUP(AC26/($O26*$P26)*$R26,1)</f>
        <v>0</v>
      </c>
      <c r="K26" s="250">
        <f>ROUNDUP(AD26/($O26*$P26)*$R26,1)</f>
        <v>0</v>
      </c>
      <c r="L26" s="461">
        <v>0.72</v>
      </c>
      <c r="M26" s="461">
        <v>0.72</v>
      </c>
      <c r="N26" s="461">
        <v>0.72</v>
      </c>
      <c r="O26" s="244">
        <f>31.536/1000</f>
        <v>3.1536000000000002E-2</v>
      </c>
      <c r="P26" s="460">
        <v>0.2</v>
      </c>
      <c r="Q26" s="245">
        <v>22</v>
      </c>
      <c r="R26" s="227">
        <v>1.05</v>
      </c>
      <c r="T26" s="268">
        <f t="shared" si="5"/>
        <v>219.42573600000003</v>
      </c>
      <c r="U26" s="268"/>
      <c r="V26" s="602"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208.97666834199998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150.46320120623997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736</v>
      </c>
      <c r="E27" s="227" t="s">
        <v>786</v>
      </c>
      <c r="F27" s="230" t="str">
        <f>Commodities!$C$21&amp;","&amp;Commodities!$C$37</f>
        <v>RESDSL,RESDSB</v>
      </c>
      <c r="G27" s="230" t="str">
        <f>Commodities!$C$44</f>
        <v>RESHUMB</v>
      </c>
      <c r="H27" s="230">
        <v>2010</v>
      </c>
      <c r="I27" s="250">
        <f t="shared" ref="I27:I34" si="20">ROUNDUP(AB27/($O27*$P27)*$R27,1)</f>
        <v>29972.6</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1.05</v>
      </c>
      <c r="T27" s="268">
        <f t="shared" si="5"/>
        <v>266.25800383098596</v>
      </c>
      <c r="V27" s="602" t="str">
        <f>'Data manipulation'!$B$35</f>
        <v>Oil products</v>
      </c>
      <c r="W27" s="254" t="s">
        <v>757</v>
      </c>
      <c r="X27" s="246">
        <v>2010</v>
      </c>
      <c r="Y27" s="434">
        <f>_xlfn.IFNA(INDEX('Data manipulation'!$C$23:$O$39,MATCH($V27,'Data manipulation'!$B$23:$B$39,0),MATCH($X27,'Data manipulation'!$C$22:$O$22,0))/1000,0)*SUMIFS('Regional split'!$F$4:$F$6,'Regional split'!$B$4:$B$6,Y$3)*SUMIFS('Data manipulation'!$V$39:$V$42,'Data manipulation'!$X$39:$X$42,$E27,'Data manipulation'!$Y$39:$Y$42,$D27)</f>
        <v>253.57868642599999</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180.04086736245998</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736</v>
      </c>
      <c r="E28" s="227" t="s">
        <v>786</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1.05</v>
      </c>
      <c r="T28" s="268">
        <f t="shared" si="5"/>
        <v>0</v>
      </c>
      <c r="U28" s="268"/>
      <c r="V28" s="602" t="s">
        <v>206</v>
      </c>
      <c r="W28" s="254" t="s">
        <v>927</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736</v>
      </c>
      <c r="E29" s="227" t="s">
        <v>786</v>
      </c>
      <c r="F29" s="230" t="str">
        <f>Commodities!$C$24</f>
        <v>RESFIW</v>
      </c>
      <c r="G29" s="230" t="str">
        <f>Commodities!$C$44</f>
        <v>RESHUMB</v>
      </c>
      <c r="H29" s="230">
        <v>2010</v>
      </c>
      <c r="I29" s="250">
        <f t="shared" si="20"/>
        <v>7114</v>
      </c>
      <c r="J29" s="250">
        <f t="shared" si="21"/>
        <v>0</v>
      </c>
      <c r="K29" s="250">
        <f t="shared" si="22"/>
        <v>0</v>
      </c>
      <c r="L29" s="462">
        <v>0.65000022993955098</v>
      </c>
      <c r="M29" s="462">
        <v>0.65000022993955098</v>
      </c>
      <c r="N29" s="462">
        <v>0.65000022993955098</v>
      </c>
      <c r="O29" s="244">
        <f t="shared" si="23"/>
        <v>3.1536000000000002E-2</v>
      </c>
      <c r="P29" s="460">
        <v>0.2</v>
      </c>
      <c r="Q29" s="245">
        <v>20</v>
      </c>
      <c r="R29" s="227">
        <v>1.05</v>
      </c>
      <c r="T29" s="268">
        <f t="shared" si="5"/>
        <v>69.029853734317584</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736</v>
      </c>
      <c r="E30" s="233" t="s">
        <v>786</v>
      </c>
      <c r="F30" s="230" t="str">
        <f>Commodities!$C$25</f>
        <v>RESCOA</v>
      </c>
      <c r="G30" s="230" t="str">
        <f>Commodities!$C$44</f>
        <v>RESHUMB</v>
      </c>
      <c r="H30" s="230">
        <v>2010</v>
      </c>
      <c r="I30" s="250">
        <f t="shared" si="20"/>
        <v>1195.6999999999998</v>
      </c>
      <c r="J30" s="250">
        <f t="shared" si="21"/>
        <v>0</v>
      </c>
      <c r="K30" s="250">
        <f t="shared" si="22"/>
        <v>0</v>
      </c>
      <c r="L30" s="462">
        <v>0.7</v>
      </c>
      <c r="M30" s="462">
        <v>0.7</v>
      </c>
      <c r="N30" s="462">
        <v>0.7</v>
      </c>
      <c r="O30" s="244">
        <f t="shared" si="23"/>
        <v>3.1536000000000002E-2</v>
      </c>
      <c r="P30" s="460">
        <v>0.2</v>
      </c>
      <c r="Q30" s="245">
        <v>20</v>
      </c>
      <c r="R30" s="227">
        <v>1.05</v>
      </c>
      <c r="T30" s="268">
        <f t="shared" si="5"/>
        <v>10.773598628571428</v>
      </c>
      <c r="U30" s="268"/>
      <c r="V30" s="602" t="str">
        <f>'Data manipulation'!$B$23</f>
        <v>Solid fossil fuels, peat, peat products, oil shale and oil sands</v>
      </c>
      <c r="W30" s="254" t="s">
        <v>924</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736</v>
      </c>
      <c r="E31" s="233" t="s">
        <v>786</v>
      </c>
      <c r="F31" s="230" t="str">
        <f>Commodities!$C$27</f>
        <v>RESSOL</v>
      </c>
      <c r="G31" s="230" t="str">
        <f>Commodities!$C$44</f>
        <v>RESHUMB</v>
      </c>
      <c r="H31" s="230">
        <v>2010</v>
      </c>
      <c r="I31" s="250">
        <f t="shared" si="20"/>
        <v>104.19999999999999</v>
      </c>
      <c r="J31" s="250">
        <f t="shared" si="21"/>
        <v>0</v>
      </c>
      <c r="K31" s="250">
        <f t="shared" si="22"/>
        <v>0</v>
      </c>
      <c r="L31" s="462">
        <v>1</v>
      </c>
      <c r="M31" s="462">
        <v>1</v>
      </c>
      <c r="N31" s="462">
        <v>1</v>
      </c>
      <c r="O31" s="244">
        <f t="shared" si="23"/>
        <v>3.1536000000000002E-2</v>
      </c>
      <c r="P31" s="460">
        <v>0.2</v>
      </c>
      <c r="Q31" s="245">
        <v>20</v>
      </c>
      <c r="R31" s="227">
        <v>1.05</v>
      </c>
      <c r="T31" s="268">
        <f t="shared" si="5"/>
        <v>0.65721023999999995</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736</v>
      </c>
      <c r="E32" s="233" t="s">
        <v>786</v>
      </c>
      <c r="F32" s="230" t="str">
        <f>Commodities!$C$28</f>
        <v>RESELCH</v>
      </c>
      <c r="G32" s="230" t="str">
        <f>Commodities!$C$44</f>
        <v>RESHUMB</v>
      </c>
      <c r="H32" s="230">
        <v>2010</v>
      </c>
      <c r="I32" s="250">
        <f t="shared" si="20"/>
        <v>1678.1</v>
      </c>
      <c r="J32" s="250">
        <f t="shared" si="21"/>
        <v>0</v>
      </c>
      <c r="K32" s="250">
        <f t="shared" si="22"/>
        <v>0</v>
      </c>
      <c r="L32" s="462">
        <v>1</v>
      </c>
      <c r="M32" s="462">
        <v>1</v>
      </c>
      <c r="N32" s="462">
        <v>1</v>
      </c>
      <c r="O32" s="244">
        <f t="shared" si="23"/>
        <v>3.1536000000000002E-2</v>
      </c>
      <c r="P32" s="460">
        <v>0.2</v>
      </c>
      <c r="Q32" s="245">
        <v>30</v>
      </c>
      <c r="R32" s="227">
        <v>1.05</v>
      </c>
      <c r="T32" s="268">
        <f t="shared" si="5"/>
        <v>10.584112320000001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736</v>
      </c>
      <c r="E33" s="233" t="s">
        <v>786</v>
      </c>
      <c r="F33" s="230" t="str">
        <f>Commodities!$C$28</f>
        <v>RESELCH</v>
      </c>
      <c r="G33" s="230" t="str">
        <f>Commodities!$C$44</f>
        <v>RESHUMB</v>
      </c>
      <c r="H33" s="230">
        <v>2010</v>
      </c>
      <c r="I33" s="250">
        <f t="shared" si="20"/>
        <v>1832.8999999999999</v>
      </c>
      <c r="J33" s="250">
        <f t="shared" si="21"/>
        <v>0</v>
      </c>
      <c r="K33" s="250">
        <f t="shared" si="22"/>
        <v>0</v>
      </c>
      <c r="L33" s="462">
        <v>2.3149999999999999</v>
      </c>
      <c r="M33" s="462">
        <v>2.3149999999999999</v>
      </c>
      <c r="N33" s="462">
        <v>2.3149999999999999</v>
      </c>
      <c r="O33" s="244">
        <f t="shared" si="23"/>
        <v>3.1536000000000002E-2</v>
      </c>
      <c r="P33" s="460">
        <v>0.2</v>
      </c>
      <c r="Q33" s="245">
        <v>30</v>
      </c>
      <c r="R33" s="227">
        <v>1.05</v>
      </c>
      <c r="T33" s="268">
        <f t="shared" si="5"/>
        <v>4.993722194384449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5">
      <c r="B34" s="233" t="str">
        <f>Processes!D81</f>
        <v>RHTUMHCEE1</v>
      </c>
      <c r="C34" s="233" t="str">
        <f>Processes!E81</f>
        <v>Residential Heating Technology Urban Multi - District heating Central - Existing 1</v>
      </c>
      <c r="D34" s="233" t="s">
        <v>736</v>
      </c>
      <c r="E34" s="233" t="s">
        <v>786</v>
      </c>
      <c r="F34" s="230" t="str">
        <f>Commodities!$C$33</f>
        <v>RESHCE</v>
      </c>
      <c r="G34" s="230" t="str">
        <f>Commodities!$C$40</f>
        <v>RESHUMX</v>
      </c>
      <c r="H34" s="230">
        <v>2010</v>
      </c>
      <c r="I34" s="250">
        <f t="shared" si="20"/>
        <v>6914.9000000000005</v>
      </c>
      <c r="J34" s="572">
        <v>0</v>
      </c>
      <c r="K34" s="572">
        <v>0</v>
      </c>
      <c r="L34" s="462">
        <v>0.95</v>
      </c>
      <c r="M34" s="462">
        <v>0.95</v>
      </c>
      <c r="N34" s="462">
        <v>0.95</v>
      </c>
      <c r="O34" s="244">
        <f t="shared" si="23"/>
        <v>3.1536000000000002E-2</v>
      </c>
      <c r="P34" s="460">
        <v>0.2</v>
      </c>
      <c r="Q34" s="245">
        <v>30</v>
      </c>
      <c r="R34" s="227">
        <v>1.05</v>
      </c>
      <c r="T34" s="268">
        <f t="shared" si="5"/>
        <v>45.909112926315807</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736</v>
      </c>
      <c r="E35" s="535" t="s">
        <v>786</v>
      </c>
      <c r="F35" s="256" t="str">
        <f>Commodities!$C$20</f>
        <v>RESLPG</v>
      </c>
      <c r="G35" s="256" t="str">
        <f>G33</f>
        <v>RESHUMB</v>
      </c>
      <c r="H35" s="423">
        <v>2010</v>
      </c>
      <c r="I35" s="297">
        <f t="shared" ref="I35" si="24">ROUNDUP(AB35/($O35*$P35)*$R35,1)</f>
        <v>1205.8</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1.05</v>
      </c>
      <c r="T35" s="268">
        <f t="shared" si="5"/>
        <v>8.0054965894736849</v>
      </c>
      <c r="U35" s="268"/>
      <c r="V35" s="602" t="str">
        <f>'Data manipulation'!$B$25</f>
        <v>Liquefied natural gas</v>
      </c>
      <c r="W35" s="428" t="s">
        <v>798</v>
      </c>
      <c r="X35" s="431">
        <v>2010</v>
      </c>
      <c r="Y35" s="435">
        <f>_xlfn.IFNA(INDEX('Data manipulation'!$C$23:$O$39,MATCH($V35,'Data manipulation'!$B$23:$B$39,0),MATCH($X35,'Data manipulation'!$C$22:$O$22,0))/1000,0)*SUMIFS('Regional split'!$F$4:$F$6,'Regional split'!$B$4:$B$6,Y$3)*SUMIFS('Data manipulation'!$V$39:$V$42,'Data manipulation'!$X$39:$X$42,$E35,'Data manipulation'!$Y$39:$Y$42,$D35)</f>
        <v>7.623946213</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7.2427489023499998</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737</v>
      </c>
      <c r="E36" s="233" t="s">
        <v>786</v>
      </c>
      <c r="F36" s="230" t="str">
        <f>Commodities!$C$18&amp;","&amp;Commodities!$C$36</f>
        <v>RESNGA,RESSNG</v>
      </c>
      <c r="G36" s="259" t="str">
        <f>Commodities!$C$45</f>
        <v>RESHRMB</v>
      </c>
      <c r="H36" s="259">
        <v>2010</v>
      </c>
      <c r="I36" s="250">
        <f>ROUNDUP(AB36/($O36*$P36)*$R36,1)</f>
        <v>1557.8</v>
      </c>
      <c r="J36" s="250">
        <f>ROUNDUP(AC36/($O36*$P36)*$R36,1)</f>
        <v>0</v>
      </c>
      <c r="K36" s="250">
        <f>ROUNDUP(AD36/($O36*$P36)*$R36,1)</f>
        <v>0</v>
      </c>
      <c r="L36" s="462">
        <v>0.79</v>
      </c>
      <c r="M36" s="462">
        <v>0.79</v>
      </c>
      <c r="N36" s="462">
        <v>0.79</v>
      </c>
      <c r="O36" s="244">
        <f t="shared" si="23"/>
        <v>3.1536000000000002E-2</v>
      </c>
      <c r="P36" s="460">
        <v>0.2</v>
      </c>
      <c r="Q36" s="245">
        <v>25</v>
      </c>
      <c r="R36" s="227">
        <v>1.05</v>
      </c>
      <c r="T36" s="268">
        <f t="shared" si="5"/>
        <v>12.437159696202531</v>
      </c>
      <c r="U36" s="268"/>
      <c r="V36" s="602"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11.844831403999999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9.3574168091600001</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737</v>
      </c>
      <c r="E37" s="233" t="s">
        <v>786</v>
      </c>
      <c r="F37" s="230" t="str">
        <f>Commodities!$C$21&amp;","&amp;Commodities!$C$37</f>
        <v>RESDSL,RESDSB</v>
      </c>
      <c r="G37" s="259" t="str">
        <f>Commodities!$C$45</f>
        <v>RESHRMB</v>
      </c>
      <c r="H37" s="259">
        <v>2010</v>
      </c>
      <c r="I37" s="250">
        <f t="shared" ref="I37:I43" si="27">ROUNDUP(AB37/($O37*$P37)*$R37,1)</f>
        <v>1890.3</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1.05</v>
      </c>
      <c r="T37" s="268">
        <f t="shared" si="5"/>
        <v>15.091772354430379</v>
      </c>
      <c r="V37" s="602" t="str">
        <f>'Data manipulation'!$B$35</f>
        <v>Oil products</v>
      </c>
      <c r="W37" s="254" t="s">
        <v>757</v>
      </c>
      <c r="X37" s="246">
        <v>2010</v>
      </c>
      <c r="Y37" s="434">
        <f>_xlfn.IFNA(INDEX('Data manipulation'!$C$23:$O$39,MATCH($V37,'Data manipulation'!$B$23:$B$39,0),MATCH($X37,'Data manipulation'!$C$22:$O$22,0))/1000,0)*SUMIFS('Regional split'!$F$4:$F$6,'Regional split'!$B$4:$B$6,Y$3)*SUMIFS('Data manipulation'!$V$39:$V$42,'Data manipulation'!$X$39:$X$42,$E37,'Data manipulation'!$Y$39:$Y$42,$D37)</f>
        <v>14.372881012000001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11.354575999480002</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737</v>
      </c>
      <c r="E38" s="233" t="s">
        <v>786</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1.05</v>
      </c>
      <c r="T38" s="268">
        <f t="shared" si="5"/>
        <v>0</v>
      </c>
      <c r="U38" s="268"/>
      <c r="V38" s="602" t="s">
        <v>206</v>
      </c>
      <c r="W38" s="254" t="s">
        <v>927</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737</v>
      </c>
      <c r="E39" s="233" t="s">
        <v>786</v>
      </c>
      <c r="F39" s="230" t="str">
        <f>Commodities!$C$24</f>
        <v>RESFIW</v>
      </c>
      <c r="G39" s="259" t="str">
        <f>Commodities!$C$45</f>
        <v>RESHRMB</v>
      </c>
      <c r="H39" s="259">
        <v>2010</v>
      </c>
      <c r="I39" s="250">
        <f t="shared" si="27"/>
        <v>415.70000000000005</v>
      </c>
      <c r="J39" s="250">
        <f t="shared" si="28"/>
        <v>0</v>
      </c>
      <c r="K39" s="250">
        <f t="shared" si="29"/>
        <v>0</v>
      </c>
      <c r="L39" s="462">
        <v>0.67</v>
      </c>
      <c r="M39" s="462">
        <v>0.67</v>
      </c>
      <c r="N39" s="462">
        <v>0.67</v>
      </c>
      <c r="O39" s="244">
        <f>31.536/1000</f>
        <v>3.1536000000000002E-2</v>
      </c>
      <c r="P39" s="460">
        <v>0.2</v>
      </c>
      <c r="Q39" s="245">
        <v>20</v>
      </c>
      <c r="R39" s="227">
        <v>1.05</v>
      </c>
      <c r="T39" s="268">
        <f t="shared" si="5"/>
        <v>3.9132881194029858</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737</v>
      </c>
      <c r="E40" s="233" t="s">
        <v>786</v>
      </c>
      <c r="F40" s="230" t="str">
        <f>Commodities!$C$25</f>
        <v>RESCOA</v>
      </c>
      <c r="G40" s="259" t="str">
        <f>Commodities!$C$45</f>
        <v>RESHRMB</v>
      </c>
      <c r="H40" s="259">
        <v>2010</v>
      </c>
      <c r="I40" s="250">
        <f t="shared" si="27"/>
        <v>69.8</v>
      </c>
      <c r="J40" s="250">
        <f t="shared" si="28"/>
        <v>0</v>
      </c>
      <c r="K40" s="250">
        <f t="shared" si="29"/>
        <v>0</v>
      </c>
      <c r="L40" s="462">
        <v>0.72</v>
      </c>
      <c r="M40" s="462">
        <v>0.72</v>
      </c>
      <c r="N40" s="462">
        <v>0.72</v>
      </c>
      <c r="O40" s="244">
        <f t="shared" si="23"/>
        <v>3.1536000000000002E-2</v>
      </c>
      <c r="P40" s="460">
        <v>0.2</v>
      </c>
      <c r="Q40" s="245">
        <v>20</v>
      </c>
      <c r="R40" s="227">
        <v>1.05</v>
      </c>
      <c r="T40" s="268">
        <f t="shared" si="5"/>
        <v>0.61144799999999999</v>
      </c>
      <c r="U40" s="268"/>
      <c r="V40" s="602" t="str">
        <f>'Data manipulation'!$B$23</f>
        <v>Solid fossil fuels, peat, peat products, oil shale and oil sands</v>
      </c>
      <c r="W40" s="254" t="s">
        <v>924</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737</v>
      </c>
      <c r="E41" s="233" t="s">
        <v>786</v>
      </c>
      <c r="F41" s="230" t="str">
        <f>Commodities!$C$27</f>
        <v>RESSOL</v>
      </c>
      <c r="G41" s="259" t="str">
        <f>Commodities!$C$45</f>
        <v>RESHRMB</v>
      </c>
      <c r="H41" s="259">
        <v>2010</v>
      </c>
      <c r="I41" s="250">
        <f t="shared" si="27"/>
        <v>6</v>
      </c>
      <c r="J41" s="250">
        <f t="shared" si="28"/>
        <v>0</v>
      </c>
      <c r="K41" s="250">
        <f t="shared" si="29"/>
        <v>0</v>
      </c>
      <c r="L41" s="462">
        <v>1</v>
      </c>
      <c r="M41" s="462">
        <v>1</v>
      </c>
      <c r="N41" s="462">
        <v>1</v>
      </c>
      <c r="O41" s="244">
        <f t="shared" si="23"/>
        <v>3.1536000000000002E-2</v>
      </c>
      <c r="P41" s="460">
        <v>0.2</v>
      </c>
      <c r="Q41" s="245">
        <v>20</v>
      </c>
      <c r="R41" s="227">
        <v>1.05</v>
      </c>
      <c r="T41" s="268">
        <f t="shared" si="5"/>
        <v>3.78432E-2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737</v>
      </c>
      <c r="E42" s="233" t="s">
        <v>786</v>
      </c>
      <c r="F42" s="230" t="str">
        <f>Commodities!$C$28</f>
        <v>RESELCH</v>
      </c>
      <c r="G42" s="259" t="str">
        <f>Commodities!$C$45</f>
        <v>RESHRMB</v>
      </c>
      <c r="H42" s="259">
        <v>2010</v>
      </c>
      <c r="I42" s="250">
        <f t="shared" si="27"/>
        <v>95.199999999999989</v>
      </c>
      <c r="J42" s="250">
        <f t="shared" si="28"/>
        <v>0</v>
      </c>
      <c r="K42" s="250">
        <f t="shared" si="29"/>
        <v>0</v>
      </c>
      <c r="L42" s="462">
        <v>1</v>
      </c>
      <c r="M42" s="462">
        <v>1</v>
      </c>
      <c r="N42" s="462">
        <v>1</v>
      </c>
      <c r="O42" s="244">
        <f t="shared" si="23"/>
        <v>3.1536000000000002E-2</v>
      </c>
      <c r="P42" s="460">
        <v>0.2</v>
      </c>
      <c r="Q42" s="245">
        <v>30</v>
      </c>
      <c r="R42" s="227">
        <v>1.05</v>
      </c>
      <c r="T42" s="268">
        <f t="shared" si="5"/>
        <v>0.60044544</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737</v>
      </c>
      <c r="E43" s="233" t="s">
        <v>786</v>
      </c>
      <c r="F43" s="230" t="str">
        <f>Commodities!$C$28</f>
        <v>RESELCH</v>
      </c>
      <c r="G43" s="259" t="str">
        <f>Commodities!$C$45</f>
        <v>RESHRMB</v>
      </c>
      <c r="H43" s="259">
        <v>2010</v>
      </c>
      <c r="I43" s="250">
        <f t="shared" si="27"/>
        <v>103.89999999999999</v>
      </c>
      <c r="J43" s="250">
        <f t="shared" si="28"/>
        <v>0</v>
      </c>
      <c r="K43" s="250">
        <f t="shared" si="29"/>
        <v>0</v>
      </c>
      <c r="L43" s="462">
        <v>2.3149999999999999</v>
      </c>
      <c r="M43" s="462">
        <v>2.3149999999999999</v>
      </c>
      <c r="N43" s="462">
        <v>2.3149999999999999</v>
      </c>
      <c r="O43" s="244">
        <f t="shared" si="23"/>
        <v>3.1536000000000002E-2</v>
      </c>
      <c r="P43" s="460">
        <v>0.2</v>
      </c>
      <c r="Q43" s="245">
        <v>30</v>
      </c>
      <c r="R43" s="227">
        <v>1.05</v>
      </c>
      <c r="T43" s="268">
        <f t="shared" si="5"/>
        <v>0.28307476457883374</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V43" s="260"/>
      <c r="BA43" s="252"/>
    </row>
    <row r="44" spans="2:53" ht="15" customHeight="1">
      <c r="B44" s="233" t="str">
        <f>Processes!D91</f>
        <v>RHTRMHCEE1</v>
      </c>
      <c r="C44" s="233" t="str">
        <f>Processes!E91</f>
        <v>Residential Heating Technology Rural Multi - District heating Central - Existing 1</v>
      </c>
      <c r="D44" s="233" t="s">
        <v>737</v>
      </c>
      <c r="E44" s="233" t="s">
        <v>786</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1.05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737</v>
      </c>
      <c r="E45" s="538" t="s">
        <v>786</v>
      </c>
      <c r="F45" s="537" t="str">
        <f>F35</f>
        <v>RESLPG</v>
      </c>
      <c r="G45" s="425" t="str">
        <f>G43</f>
        <v>RESHRMB</v>
      </c>
      <c r="H45" s="425">
        <v>2010</v>
      </c>
      <c r="I45" s="297">
        <f t="shared" ref="I45" si="30">ROUNDUP(AB45/($O45*$P45)*$R45,1)</f>
        <v>70.599999999999994</v>
      </c>
      <c r="J45" s="297">
        <f t="shared" ref="J45" si="31">ROUNDUP(AC45/($O45*$P45)*$R45,1)</f>
        <v>0</v>
      </c>
      <c r="K45" s="297">
        <f t="shared" ref="K45" si="32">ROUNDUP(AD45/($O45*$P45)*$R45,1)</f>
        <v>0</v>
      </c>
      <c r="L45" s="464">
        <v>0.98</v>
      </c>
      <c r="M45" s="464">
        <v>0.98</v>
      </c>
      <c r="N45" s="464">
        <v>0.98</v>
      </c>
      <c r="O45" s="426">
        <f t="shared" si="23"/>
        <v>3.1536000000000002E-2</v>
      </c>
      <c r="P45" s="460">
        <v>0.2</v>
      </c>
      <c r="Q45" s="427">
        <v>30</v>
      </c>
      <c r="R45" s="227">
        <v>1.05</v>
      </c>
      <c r="T45" s="268">
        <f t="shared" si="5"/>
        <v>0.45437583673469384</v>
      </c>
      <c r="U45" s="268"/>
      <c r="V45" s="602" t="str">
        <f>'Data manipulation'!$B$25</f>
        <v>Liquefied natural gas</v>
      </c>
      <c r="W45" s="428" t="s">
        <v>798</v>
      </c>
      <c r="X45" s="428">
        <v>2010</v>
      </c>
      <c r="Y45" s="436">
        <f>_xlfn.IFNA(INDEX('Data manipulation'!$C$23:$O$39,MATCH($V45,'Data manipulation'!$B$23:$B$39,0),MATCH($X45,'Data manipulation'!$C$22:$O$22,0))/1000,0)*SUMIFS('Regional split'!$F$4:$F$6,'Regional split'!$B$4:$B$6,Y$3)*SUMIFS('Data manipulation'!$V$39:$V$42,'Data manipulation'!$X$39:$X$42,$E45,'Data manipulation'!$Y$39:$Y$42,$D45)</f>
        <v>0.43212650600000002</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0.42348397588000003</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35552.1</v>
      </c>
      <c r="J46" s="250">
        <f>ROUNDUP(AC46/($O46*$P46)*$R46,1)</f>
        <v>0</v>
      </c>
      <c r="K46" s="250">
        <f>ROUNDUP(AD46/($O46*$P46)*$R46,1)</f>
        <v>0</v>
      </c>
      <c r="L46" s="462">
        <v>0.72</v>
      </c>
      <c r="M46" s="462">
        <v>0.72</v>
      </c>
      <c r="N46" s="462">
        <v>0.72</v>
      </c>
      <c r="O46" s="244">
        <f>31.536/1000</f>
        <v>3.1536000000000002E-2</v>
      </c>
      <c r="P46" s="460">
        <v>0.2</v>
      </c>
      <c r="Q46" s="245">
        <v>22</v>
      </c>
      <c r="R46" s="227">
        <v>1.0900000000000001</v>
      </c>
      <c r="T46" s="268">
        <f t="shared" si="5"/>
        <v>311.43639600000006</v>
      </c>
      <c r="U46" s="268"/>
      <c r="V46" s="602"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285.72124308000002</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205.71929501760002</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4" si="37">ROUNDUP(AB47/($O47*$P47)*$R47,1)</f>
        <v>42077</v>
      </c>
      <c r="J47" s="250">
        <f t="shared" ref="J47:J53" si="38">ROUNDUP(AC47/($O47*$P47)*$R47,1)</f>
        <v>0</v>
      </c>
      <c r="K47" s="250">
        <f t="shared" ref="K47:K53" si="39">ROUNDUP(AD47/($O47*$P47)*$R47,1)</f>
        <v>0</v>
      </c>
      <c r="L47" s="462">
        <v>0.71</v>
      </c>
      <c r="M47" s="462">
        <v>0.71</v>
      </c>
      <c r="N47" s="462">
        <v>0.71</v>
      </c>
      <c r="O47" s="244">
        <f>31.536/1000</f>
        <v>3.1536000000000002E-2</v>
      </c>
      <c r="P47" s="460">
        <v>0.2</v>
      </c>
      <c r="Q47" s="245">
        <v>20</v>
      </c>
      <c r="R47" s="227">
        <v>1.0900000000000001</v>
      </c>
      <c r="T47" s="268">
        <f t="shared" si="5"/>
        <v>373.78599211267613</v>
      </c>
      <c r="V47" s="602" t="str">
        <f>'Data manipulation'!$B$35</f>
        <v>Oil products</v>
      </c>
      <c r="W47" s="254" t="s">
        <v>757</v>
      </c>
      <c r="X47" s="246">
        <v>2015</v>
      </c>
      <c r="Y47" s="434">
        <f>_xlfn.IFNA(INDEX('Data manipulation'!$C$23:$O$39,MATCH($V47,'Data manipulation'!$B$23:$B$39,0),MATCH($X47,'Data manipulation'!$C$22:$O$22,0))/1000,0)*SUMIFS('Regional split'!$F$4:$F$6,'Regional split'!$B$4:$B$6,Y$3)*SUMIFS('Data manipulation'!$V$39:$V$42,'Data manipulation'!$X$39:$X$42,$E47,'Data manipulation'!$Y$39:$Y$42,$D47)</f>
        <v>342.92224175999996</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243.47479164959995</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2">
        <v>0.61</v>
      </c>
      <c r="M48" s="462">
        <v>0.61</v>
      </c>
      <c r="N48" s="462">
        <v>0.61</v>
      </c>
      <c r="O48" s="244">
        <f t="shared" ref="O48:O65" si="42">31.536/1000</f>
        <v>3.1536000000000002E-2</v>
      </c>
      <c r="P48" s="460">
        <v>0.2</v>
      </c>
      <c r="Q48" s="245">
        <v>20</v>
      </c>
      <c r="R48" s="227">
        <v>1.0900000000000001</v>
      </c>
      <c r="T48" s="268">
        <f t="shared" si="5"/>
        <v>0</v>
      </c>
      <c r="U48" s="268"/>
      <c r="V48" s="602" t="s">
        <v>206</v>
      </c>
      <c r="W48" s="254" t="s">
        <v>927</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9815.1</v>
      </c>
      <c r="J49" s="250">
        <f t="shared" si="38"/>
        <v>0</v>
      </c>
      <c r="K49" s="250">
        <f t="shared" si="39"/>
        <v>0</v>
      </c>
      <c r="L49" s="462">
        <v>0.65000022993955098</v>
      </c>
      <c r="M49" s="462">
        <v>0.65000022993955098</v>
      </c>
      <c r="N49" s="462">
        <v>0.65000022993955098</v>
      </c>
      <c r="O49" s="244">
        <f t="shared" si="42"/>
        <v>3.1536000000000002E-2</v>
      </c>
      <c r="P49" s="460">
        <v>0.2</v>
      </c>
      <c r="Q49" s="245">
        <v>20</v>
      </c>
      <c r="R49" s="227">
        <v>1.0900000000000001</v>
      </c>
      <c r="T49" s="268">
        <f t="shared" si="5"/>
        <v>95.239656647132492</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1206.3</v>
      </c>
      <c r="J50" s="250">
        <f t="shared" si="38"/>
        <v>0</v>
      </c>
      <c r="K50" s="250">
        <f t="shared" si="39"/>
        <v>0</v>
      </c>
      <c r="L50" s="462">
        <v>0.7</v>
      </c>
      <c r="M50" s="462">
        <v>0.7</v>
      </c>
      <c r="N50" s="462">
        <v>0.7</v>
      </c>
      <c r="O50" s="244">
        <f t="shared" si="42"/>
        <v>3.1536000000000002E-2</v>
      </c>
      <c r="P50" s="460">
        <v>0.2</v>
      </c>
      <c r="Q50" s="245">
        <v>20</v>
      </c>
      <c r="R50" s="227">
        <v>1.0900000000000001</v>
      </c>
      <c r="T50" s="268">
        <f t="shared" si="5"/>
        <v>10.869107657142859</v>
      </c>
      <c r="U50" s="268"/>
      <c r="V50" s="602" t="str">
        <f>'Data manipulation'!$B$23</f>
        <v>Solid fossil fuels, peat, peat products, oil shale and oil sands</v>
      </c>
      <c r="W50" s="254" t="s">
        <v>924</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251.9</v>
      </c>
      <c r="J51" s="250">
        <f t="shared" si="38"/>
        <v>0</v>
      </c>
      <c r="K51" s="250">
        <f t="shared" si="39"/>
        <v>0</v>
      </c>
      <c r="L51" s="462">
        <v>1</v>
      </c>
      <c r="M51" s="462">
        <v>1</v>
      </c>
      <c r="N51" s="462">
        <v>1</v>
      </c>
      <c r="O51" s="244">
        <f t="shared" si="42"/>
        <v>3.1536000000000002E-2</v>
      </c>
      <c r="P51" s="460">
        <v>0.2</v>
      </c>
      <c r="Q51" s="245">
        <v>20</v>
      </c>
      <c r="R51" s="227">
        <v>1.0900000000000001</v>
      </c>
      <c r="T51" s="268">
        <f t="shared" si="5"/>
        <v>1.5887836800000001</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2339.6999999999998</v>
      </c>
      <c r="J52" s="250">
        <f t="shared" si="38"/>
        <v>0</v>
      </c>
      <c r="K52" s="250">
        <f t="shared" si="39"/>
        <v>0</v>
      </c>
      <c r="L52" s="462">
        <v>1</v>
      </c>
      <c r="M52" s="462">
        <v>1</v>
      </c>
      <c r="N52" s="462">
        <v>1</v>
      </c>
      <c r="O52" s="244">
        <f t="shared" si="42"/>
        <v>3.1536000000000002E-2</v>
      </c>
      <c r="P52" s="460">
        <v>0.2</v>
      </c>
      <c r="Q52" s="245">
        <v>30</v>
      </c>
      <c r="R52" s="227">
        <v>1.0900000000000001</v>
      </c>
      <c r="T52" s="268">
        <f t="shared" si="5"/>
        <v>14.756955840000002</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5406.6</v>
      </c>
      <c r="J53" s="250">
        <f t="shared" si="38"/>
        <v>0</v>
      </c>
      <c r="K53" s="250">
        <f t="shared" si="39"/>
        <v>0</v>
      </c>
      <c r="L53" s="462">
        <v>2.3149999999999999</v>
      </c>
      <c r="M53" s="462">
        <v>2.3149999999999999</v>
      </c>
      <c r="N53" s="462">
        <v>2.3149999999999999</v>
      </c>
      <c r="O53" s="244">
        <f t="shared" si="42"/>
        <v>3.1536000000000002E-2</v>
      </c>
      <c r="P53" s="460">
        <v>0.2</v>
      </c>
      <c r="Q53" s="245">
        <v>30</v>
      </c>
      <c r="R53" s="227">
        <v>1.0900000000000001</v>
      </c>
      <c r="T53" s="268">
        <f t="shared" si="5"/>
        <v>14.730240829373651</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250">
        <f t="shared" si="37"/>
        <v>10370.300000000001</v>
      </c>
      <c r="J54" s="572">
        <v>0</v>
      </c>
      <c r="K54" s="572">
        <v>0</v>
      </c>
      <c r="L54" s="462">
        <v>0.95</v>
      </c>
      <c r="M54" s="462">
        <v>0.95</v>
      </c>
      <c r="N54" s="462">
        <v>0.95</v>
      </c>
      <c r="O54" s="244">
        <f t="shared" si="42"/>
        <v>3.1536000000000002E-2</v>
      </c>
      <c r="P54" s="460">
        <v>0.2</v>
      </c>
      <c r="Q54" s="245">
        <v>30</v>
      </c>
      <c r="R54" s="227">
        <v>1.05</v>
      </c>
      <c r="T54" s="268">
        <f t="shared" si="5"/>
        <v>68.850059115789492</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5" t="str">
        <f t="shared" ref="D55:E55" si="55">D15</f>
        <v>Urban</v>
      </c>
      <c r="E55" s="535" t="str">
        <f t="shared" si="55"/>
        <v>Detached</v>
      </c>
      <c r="F55" s="255" t="str">
        <f t="shared" ref="F55:G55" si="56">F15</f>
        <v>RESLPG</v>
      </c>
      <c r="G55" s="255" t="str">
        <f t="shared" si="56"/>
        <v>RESHUDB</v>
      </c>
      <c r="H55" s="423">
        <v>2015</v>
      </c>
      <c r="I55" s="297">
        <f t="shared" ref="I55" si="57">ROUNDUP(AB55/($O55*$P55)*$R55,1)</f>
        <v>1494</v>
      </c>
      <c r="J55" s="297">
        <f t="shared" ref="J55" si="58">ROUNDUP(AC55/($O55*$P55)*$R55,1)</f>
        <v>0</v>
      </c>
      <c r="K55" s="297">
        <f t="shared" ref="K55" si="59">ROUNDUP(AD55/($O55*$P55)*$R55,1)</f>
        <v>0</v>
      </c>
      <c r="L55" s="463">
        <v>0.95</v>
      </c>
      <c r="M55" s="463">
        <v>0.95</v>
      </c>
      <c r="N55" s="463">
        <v>0.95</v>
      </c>
      <c r="O55" s="257">
        <f t="shared" si="42"/>
        <v>3.1536000000000002E-2</v>
      </c>
      <c r="P55" s="460">
        <v>0.2</v>
      </c>
      <c r="Q55" s="258">
        <v>30</v>
      </c>
      <c r="R55" s="227">
        <v>1.0900000000000001</v>
      </c>
      <c r="T55" s="268">
        <f t="shared" si="5"/>
        <v>9.9189018947368428</v>
      </c>
      <c r="U55" s="268"/>
      <c r="V55" s="602" t="str">
        <f>'Data manipulation'!$B$25</f>
        <v>Liquefied natural gas</v>
      </c>
      <c r="W55" s="428" t="s">
        <v>798</v>
      </c>
      <c r="X55" s="246">
        <v>2015</v>
      </c>
      <c r="Y55" s="435">
        <f>_xlfn.IFNA(INDEX('Data manipulation'!$C$23:$O$39,MATCH($V55,'Data manipulation'!$B$23:$B$39,0),MATCH($X55,'Data manipulation'!$C$22:$O$22,0))/1000,0)*SUMIFS('Regional split'!$F$4:$F$6,'Regional split'!$B$4:$B$6,Y$3)*SUMIFS('Data manipulation'!$V$39:$V$42,'Data manipulation'!$X$39:$X$42,$E55,'Data manipulation'!$Y$39:$Y$42,$D55)</f>
        <v>9.0997031999999987</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8.644718039999999</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29628</v>
      </c>
      <c r="J56" s="250">
        <f>ROUNDUP(AC56/($O56*$P56)*$R56,1)</f>
        <v>0</v>
      </c>
      <c r="K56" s="250">
        <f>ROUNDUP(AD56/($O56*$P56)*$R56,1)</f>
        <v>0</v>
      </c>
      <c r="L56" s="462">
        <v>0.79</v>
      </c>
      <c r="M56" s="462">
        <v>0.79</v>
      </c>
      <c r="N56" s="462">
        <v>0.79</v>
      </c>
      <c r="O56" s="244">
        <f t="shared" si="42"/>
        <v>3.1536000000000002E-2</v>
      </c>
      <c r="P56" s="460">
        <v>0.2</v>
      </c>
      <c r="Q56" s="245">
        <v>25</v>
      </c>
      <c r="R56" s="227">
        <v>1.0900000000000001</v>
      </c>
      <c r="T56" s="268">
        <f t="shared" si="5"/>
        <v>236.54395139240509</v>
      </c>
      <c r="U56" s="268"/>
      <c r="V56" s="602"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217.012087006</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171.43954873474001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35559.4</v>
      </c>
      <c r="J57" s="250">
        <f t="shared" ref="J57:J63" si="64">ROUNDUP(AC57/($O57*$P57)*$R57,1)</f>
        <v>0</v>
      </c>
      <c r="K57" s="250">
        <f t="shared" ref="K57:K63" si="65">ROUNDUP(AD57/($O57*$P57)*$R57,1)</f>
        <v>0</v>
      </c>
      <c r="L57" s="462">
        <v>0.79</v>
      </c>
      <c r="M57" s="462">
        <v>0.79</v>
      </c>
      <c r="N57" s="462">
        <v>0.79</v>
      </c>
      <c r="O57" s="244">
        <f t="shared" si="42"/>
        <v>3.1536000000000002E-2</v>
      </c>
      <c r="P57" s="460">
        <v>0.2</v>
      </c>
      <c r="Q57" s="245">
        <v>20</v>
      </c>
      <c r="R57" s="227">
        <v>1.0900000000000001</v>
      </c>
      <c r="T57" s="268">
        <f t="shared" si="5"/>
        <v>283.8990476962025</v>
      </c>
      <c r="V57" s="602" t="str">
        <f>'Data manipulation'!$B$35</f>
        <v>Oil products</v>
      </c>
      <c r="W57" s="254" t="s">
        <v>757</v>
      </c>
      <c r="X57" s="246">
        <v>2015</v>
      </c>
      <c r="Y57" s="434">
        <f>_xlfn.IFNA(INDEX('Data manipulation'!$C$23:$O$39,MATCH($V57,'Data manipulation'!$B$23:$B$39,0),MATCH($X57,'Data manipulation'!$C$22:$O$22,0))/1000,0)*SUMIFS('Regional split'!$F$4:$F$6,'Regional split'!$B$4:$B$6,Y$3)*SUMIFS('Data manipulation'!$V$39:$V$42,'Data manipulation'!$X$39:$X$42,$E57,'Data manipulation'!$Y$39:$Y$42,$D57)</f>
        <v>260.45760743199997</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205.76150987128</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2">
        <v>0.67</v>
      </c>
      <c r="M58" s="462">
        <v>0.67</v>
      </c>
      <c r="N58" s="462">
        <v>0.67</v>
      </c>
      <c r="O58" s="244">
        <f>31.536/1000</f>
        <v>3.1536000000000002E-2</v>
      </c>
      <c r="P58" s="460">
        <v>0.2</v>
      </c>
      <c r="Q58" s="245">
        <v>20</v>
      </c>
      <c r="R58" s="227">
        <v>1.0900000000000001</v>
      </c>
      <c r="T58" s="268">
        <f t="shared" si="5"/>
        <v>0</v>
      </c>
      <c r="U58" s="268"/>
      <c r="V58" s="602" t="s">
        <v>206</v>
      </c>
      <c r="W58" s="254" t="s">
        <v>927</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7684.2000000000007</v>
      </c>
      <c r="J59" s="250">
        <f t="shared" si="64"/>
        <v>0</v>
      </c>
      <c r="K59" s="250">
        <f t="shared" si="65"/>
        <v>0</v>
      </c>
      <c r="L59" s="462">
        <v>0.67</v>
      </c>
      <c r="M59" s="462">
        <v>0.67</v>
      </c>
      <c r="N59" s="462">
        <v>0.67</v>
      </c>
      <c r="O59" s="244">
        <f>31.536/1000</f>
        <v>3.1536000000000002E-2</v>
      </c>
      <c r="P59" s="460">
        <v>0.2</v>
      </c>
      <c r="Q59" s="245">
        <v>20</v>
      </c>
      <c r="R59" s="227">
        <v>1.0900000000000001</v>
      </c>
      <c r="T59" s="268">
        <f t="shared" si="5"/>
        <v>72.336994388059708</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942.4</v>
      </c>
      <c r="J60" s="250">
        <f t="shared" si="64"/>
        <v>0</v>
      </c>
      <c r="K60" s="250">
        <f t="shared" si="65"/>
        <v>0</v>
      </c>
      <c r="L60" s="462">
        <v>0.72</v>
      </c>
      <c r="M60" s="462">
        <v>0.72</v>
      </c>
      <c r="N60" s="462">
        <v>0.72</v>
      </c>
      <c r="O60" s="244">
        <f t="shared" si="42"/>
        <v>3.1536000000000002E-2</v>
      </c>
      <c r="P60" s="460">
        <v>0.2</v>
      </c>
      <c r="Q60" s="245">
        <v>20</v>
      </c>
      <c r="R60" s="227">
        <v>1.0900000000000001</v>
      </c>
      <c r="T60" s="268">
        <f t="shared" si="5"/>
        <v>8.2554239999999997</v>
      </c>
      <c r="U60" s="268"/>
      <c r="V60" s="602" t="str">
        <f>'Data manipulation'!$B$23</f>
        <v>Solid fossil fuels, peat, peat products, oil shale and oil sands</v>
      </c>
      <c r="W60" s="254" t="s">
        <v>924</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191.29999999999998</v>
      </c>
      <c r="J61" s="250">
        <f t="shared" si="64"/>
        <v>0</v>
      </c>
      <c r="K61" s="250">
        <f t="shared" si="65"/>
        <v>0</v>
      </c>
      <c r="L61" s="462">
        <v>1</v>
      </c>
      <c r="M61" s="462">
        <v>1</v>
      </c>
      <c r="N61" s="462">
        <v>1</v>
      </c>
      <c r="O61" s="244">
        <f t="shared" si="42"/>
        <v>3.1536000000000002E-2</v>
      </c>
      <c r="P61" s="460">
        <v>0.2</v>
      </c>
      <c r="Q61" s="245">
        <v>20</v>
      </c>
      <c r="R61" s="227">
        <v>1.0900000000000001</v>
      </c>
      <c r="T61" s="268">
        <f t="shared" si="5"/>
        <v>1.2065673600000002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1777</v>
      </c>
      <c r="J62" s="250">
        <f t="shared" si="64"/>
        <v>0</v>
      </c>
      <c r="K62" s="250">
        <f t="shared" si="65"/>
        <v>0</v>
      </c>
      <c r="L62" s="462">
        <v>1</v>
      </c>
      <c r="M62" s="462">
        <v>1</v>
      </c>
      <c r="N62" s="462">
        <v>1</v>
      </c>
      <c r="O62" s="244">
        <f t="shared" si="42"/>
        <v>3.1536000000000002E-2</v>
      </c>
      <c r="P62" s="460">
        <v>0.2</v>
      </c>
      <c r="Q62" s="245">
        <v>30</v>
      </c>
      <c r="R62" s="227">
        <v>1.0900000000000001</v>
      </c>
      <c r="T62" s="268">
        <f t="shared" si="5"/>
        <v>11.207894400000001</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4106.4000000000005</v>
      </c>
      <c r="J63" s="250">
        <f t="shared" si="64"/>
        <v>0</v>
      </c>
      <c r="K63" s="250">
        <f t="shared" si="65"/>
        <v>0</v>
      </c>
      <c r="L63" s="462">
        <v>2.3149999999999999</v>
      </c>
      <c r="M63" s="462">
        <v>2.3149999999999999</v>
      </c>
      <c r="N63" s="462">
        <v>2.3149999999999999</v>
      </c>
      <c r="O63" s="244">
        <f t="shared" si="42"/>
        <v>3.1536000000000002E-2</v>
      </c>
      <c r="P63" s="460">
        <v>0.2</v>
      </c>
      <c r="Q63" s="245">
        <v>30</v>
      </c>
      <c r="R63" s="227">
        <v>1.0900000000000001</v>
      </c>
      <c r="T63" s="268">
        <f t="shared" si="5"/>
        <v>11.187855758099355</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2">
        <v>0</v>
      </c>
      <c r="J64" s="572">
        <v>0</v>
      </c>
      <c r="K64" s="572">
        <v>0</v>
      </c>
      <c r="L64" s="462">
        <v>0.98</v>
      </c>
      <c r="M64" s="462">
        <v>0.98</v>
      </c>
      <c r="N64" s="462">
        <v>0.98</v>
      </c>
      <c r="O64" s="244">
        <f t="shared" si="42"/>
        <v>3.1536000000000002E-2</v>
      </c>
      <c r="P64" s="460">
        <v>0.2</v>
      </c>
      <c r="Q64" s="245">
        <v>30</v>
      </c>
      <c r="R64" s="227">
        <v>1.0900000000000001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1170.5999999999999</v>
      </c>
      <c r="J65" s="297">
        <f t="shared" ref="J65" si="84">ROUNDUP(AC65/($O65*$P65)*$R65,1)</f>
        <v>0</v>
      </c>
      <c r="K65" s="297">
        <f t="shared" ref="K65" si="85">ROUNDUP(AD65/($O65*$P65)*$R65,1)</f>
        <v>0</v>
      </c>
      <c r="L65" s="462">
        <v>0.98</v>
      </c>
      <c r="M65" s="462">
        <v>0.98</v>
      </c>
      <c r="N65" s="462">
        <v>0.98</v>
      </c>
      <c r="O65" s="244">
        <f t="shared" si="42"/>
        <v>3.1536000000000002E-2</v>
      </c>
      <c r="P65" s="460">
        <v>0.2</v>
      </c>
      <c r="Q65" s="245">
        <v>30</v>
      </c>
      <c r="R65" s="227">
        <v>1.0900000000000001</v>
      </c>
      <c r="T65" s="268">
        <f t="shared" si="5"/>
        <v>7.5338860408163271</v>
      </c>
      <c r="U65" s="268"/>
      <c r="V65" s="602" t="str">
        <f>'Data manipulation'!$B$25</f>
        <v>Liquefied natural gas</v>
      </c>
      <c r="W65" s="428" t="s">
        <v>798</v>
      </c>
      <c r="X65" s="246">
        <v>2015</v>
      </c>
      <c r="Y65" s="435">
        <f>_xlfn.IFNA(INDEX('Data manipulation'!$C$23:$O$39,MATCH($V65,'Data manipulation'!$B$23:$B$39,0),MATCH($X65,'Data manipulation'!$C$22:$O$22,0))/1000,0)*SUMIFS('Regional split'!$F$4:$F$6,'Regional split'!$B$4:$B$6,Y$3)*SUMIFS('Data manipulation'!$V$39:$V$42,'Data manipulation'!$X$39:$X$42,$E65,'Data manipulation'!$Y$39:$Y$42,$D65)</f>
        <v>6.9114412399999994</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6.7732124151999988</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20908.099999999999</v>
      </c>
      <c r="J66" s="250">
        <f>ROUNDUP(AC66/($O66*$P66)*$R66,1)</f>
        <v>0</v>
      </c>
      <c r="K66" s="250">
        <f>ROUNDUP(AD66/($O66*$P66)*$R66,1)</f>
        <v>0</v>
      </c>
      <c r="L66" s="462">
        <v>0.72</v>
      </c>
      <c r="M66" s="462">
        <v>0.72</v>
      </c>
      <c r="N66" s="462">
        <v>0.72</v>
      </c>
      <c r="O66" s="244">
        <f>31.536/1000</f>
        <v>3.1536000000000002E-2</v>
      </c>
      <c r="P66" s="460">
        <v>0.2</v>
      </c>
      <c r="Q66" s="245">
        <v>22</v>
      </c>
      <c r="R66" s="227">
        <v>1.0900000000000001</v>
      </c>
      <c r="T66" s="268">
        <f t="shared" si="5"/>
        <v>183.15495600000003</v>
      </c>
      <c r="U66" s="268"/>
      <c r="V66" s="602"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168.03130247800001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120.98253778416</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4" si="93">ROUNDUP(AB67/($O67*$P67)*$R67,1)</f>
        <v>24745.3</v>
      </c>
      <c r="J67" s="250">
        <f t="shared" ref="J67:J73" si="94">ROUNDUP(AC67/($O67*$P67)*$R67,1)</f>
        <v>0</v>
      </c>
      <c r="K67" s="250">
        <f t="shared" ref="K67:K73" si="95">ROUNDUP(AD67/($O67*$P67)*$R67,1)</f>
        <v>0</v>
      </c>
      <c r="L67" s="462">
        <v>0.71</v>
      </c>
      <c r="M67" s="462">
        <v>0.71</v>
      </c>
      <c r="N67" s="462">
        <v>0.71</v>
      </c>
      <c r="O67" s="244">
        <f>31.536/1000</f>
        <v>3.1536000000000002E-2</v>
      </c>
      <c r="P67" s="460">
        <v>0.2</v>
      </c>
      <c r="Q67" s="245">
        <v>20</v>
      </c>
      <c r="R67" s="227">
        <v>1.0900000000000001</v>
      </c>
      <c r="T67" s="268">
        <f t="shared" si="5"/>
        <v>219.82191008450707</v>
      </c>
      <c r="V67" s="602" t="str">
        <f>'Data manipulation'!$B$35</f>
        <v>Oil products</v>
      </c>
      <c r="W67" s="254" t="s">
        <v>757</v>
      </c>
      <c r="X67" s="246">
        <v>2015</v>
      </c>
      <c r="Y67" s="434">
        <f>_xlfn.IFNA(INDEX('Data manipulation'!$C$23:$O$39,MATCH($V67,'Data manipulation'!$B$23:$B$39,0),MATCH($X67,'Data manipulation'!$C$22:$O$22,0))/1000,0)*SUMIFS('Regional split'!$F$4:$F$6,'Regional split'!$B$4:$B$6,Y$3)*SUMIFS('Data manipulation'!$V$39:$V$42,'Data manipulation'!$X$39:$X$42,$E67,'Data manipulation'!$Y$39:$Y$42,$D67)</f>
        <v>201.67093741599999</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143.18636556535998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2">
        <v>0.61</v>
      </c>
      <c r="M68" s="462">
        <v>0.61</v>
      </c>
      <c r="N68" s="462">
        <v>0.61</v>
      </c>
      <c r="O68" s="244">
        <f t="shared" ref="O68:O85" si="98">31.536/1000</f>
        <v>3.1536000000000002E-2</v>
      </c>
      <c r="P68" s="460">
        <v>0.2</v>
      </c>
      <c r="Q68" s="245">
        <v>20</v>
      </c>
      <c r="R68" s="227">
        <v>1.0900000000000001</v>
      </c>
      <c r="T68" s="268">
        <f t="shared" si="5"/>
        <v>0</v>
      </c>
      <c r="U68" s="268"/>
      <c r="V68" s="602" t="s">
        <v>206</v>
      </c>
      <c r="W68" s="254" t="s">
        <v>927</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5772.2000000000007</v>
      </c>
      <c r="J69" s="250">
        <f t="shared" si="94"/>
        <v>0</v>
      </c>
      <c r="K69" s="250">
        <f t="shared" si="95"/>
        <v>0</v>
      </c>
      <c r="L69" s="462">
        <v>0.65000022993955098</v>
      </c>
      <c r="M69" s="462">
        <v>0.65000022993955098</v>
      </c>
      <c r="N69" s="462">
        <v>0.65000022993955098</v>
      </c>
      <c r="O69" s="244">
        <f t="shared" si="98"/>
        <v>3.1536000000000002E-2</v>
      </c>
      <c r="P69" s="460">
        <v>0.2</v>
      </c>
      <c r="Q69" s="245">
        <v>20</v>
      </c>
      <c r="R69" s="227">
        <v>1.0900000000000001</v>
      </c>
      <c r="T69" s="268">
        <f t="shared" si="5"/>
        <v>56.009856863259486</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33.400181019115244</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709.4</v>
      </c>
      <c r="J70" s="250">
        <f t="shared" si="94"/>
        <v>0</v>
      </c>
      <c r="K70" s="250">
        <f t="shared" si="95"/>
        <v>0</v>
      </c>
      <c r="L70" s="462">
        <v>0.7</v>
      </c>
      <c r="M70" s="462">
        <v>0.7</v>
      </c>
      <c r="N70" s="462">
        <v>0.7</v>
      </c>
      <c r="O70" s="244">
        <f t="shared" si="98"/>
        <v>3.1536000000000002E-2</v>
      </c>
      <c r="P70" s="460">
        <v>0.2</v>
      </c>
      <c r="Q70" s="245">
        <v>20</v>
      </c>
      <c r="R70" s="227">
        <v>1.0900000000000001</v>
      </c>
      <c r="T70" s="268">
        <f t="shared" si="5"/>
        <v>6.3918966857142872</v>
      </c>
      <c r="U70" s="268"/>
      <c r="V70" s="602" t="str">
        <f>'Data manipulation'!$B$23</f>
        <v>Solid fossil fuels, peat, peat products, oil shale and oil sands</v>
      </c>
      <c r="W70" s="254" t="s">
        <v>924</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148.1</v>
      </c>
      <c r="J71" s="250">
        <f t="shared" si="94"/>
        <v>0</v>
      </c>
      <c r="K71" s="250">
        <f t="shared" si="95"/>
        <v>0</v>
      </c>
      <c r="L71" s="462">
        <v>1</v>
      </c>
      <c r="M71" s="462">
        <v>1</v>
      </c>
      <c r="N71" s="462">
        <v>1</v>
      </c>
      <c r="O71" s="244">
        <f t="shared" si="98"/>
        <v>3.1536000000000002E-2</v>
      </c>
      <c r="P71" s="460">
        <v>0.2</v>
      </c>
      <c r="Q71" s="245">
        <v>20</v>
      </c>
      <c r="R71" s="227">
        <v>1.0900000000000001</v>
      </c>
      <c r="T71" s="268">
        <f t="shared" ref="T71:T174" si="105">SUM(I71:K71)*O71*P71/L71</f>
        <v>0.93409632000000009</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1376</v>
      </c>
      <c r="J72" s="250">
        <f t="shared" si="94"/>
        <v>0</v>
      </c>
      <c r="K72" s="250">
        <f t="shared" si="95"/>
        <v>0</v>
      </c>
      <c r="L72" s="462">
        <v>1</v>
      </c>
      <c r="M72" s="462">
        <v>1</v>
      </c>
      <c r="N72" s="462">
        <v>1</v>
      </c>
      <c r="O72" s="244">
        <f t="shared" si="98"/>
        <v>3.1536000000000002E-2</v>
      </c>
      <c r="P72" s="460">
        <v>0.2</v>
      </c>
      <c r="Q72" s="245">
        <v>30</v>
      </c>
      <c r="R72" s="227">
        <v>1.0900000000000001</v>
      </c>
      <c r="T72" s="268">
        <f t="shared" si="105"/>
        <v>8.6787072000000016</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3179.6</v>
      </c>
      <c r="J73" s="250">
        <f t="shared" si="94"/>
        <v>0</v>
      </c>
      <c r="K73" s="250">
        <f t="shared" si="95"/>
        <v>0</v>
      </c>
      <c r="L73" s="462">
        <v>2.3149999999999999</v>
      </c>
      <c r="M73" s="462">
        <v>2.3149999999999999</v>
      </c>
      <c r="N73" s="462">
        <v>2.3149999999999999</v>
      </c>
      <c r="O73" s="244">
        <f t="shared" si="98"/>
        <v>3.1536000000000002E-2</v>
      </c>
      <c r="P73" s="460">
        <v>0.2</v>
      </c>
      <c r="Q73" s="245">
        <v>30</v>
      </c>
      <c r="R73" s="227">
        <v>1.0900000000000001</v>
      </c>
      <c r="T73" s="268">
        <f t="shared" si="105"/>
        <v>8.6627961641468687</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250">
        <f t="shared" si="93"/>
        <v>6098.7000000000007</v>
      </c>
      <c r="J74" s="572">
        <v>0</v>
      </c>
      <c r="K74" s="572">
        <v>0</v>
      </c>
      <c r="L74" s="462">
        <v>0.95</v>
      </c>
      <c r="M74" s="462">
        <v>0.95</v>
      </c>
      <c r="N74" s="462">
        <v>0.95</v>
      </c>
      <c r="O74" s="244">
        <f t="shared" si="98"/>
        <v>3.1536000000000002E-2</v>
      </c>
      <c r="P74" s="460">
        <v>0.2</v>
      </c>
      <c r="Q74" s="245">
        <v>30</v>
      </c>
      <c r="R74" s="227">
        <v>1.05</v>
      </c>
      <c r="T74" s="268">
        <f t="shared" si="105"/>
        <v>40.490232252631586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5" t="str">
        <f t="shared" ref="D75:E75" si="112">D35</f>
        <v>Urban</v>
      </c>
      <c r="E75" s="535" t="str">
        <f t="shared" si="112"/>
        <v>Multi storey</v>
      </c>
      <c r="F75" s="255" t="str">
        <f t="shared" ref="F75:G75" si="113">F35</f>
        <v>RESLPG</v>
      </c>
      <c r="G75" s="255" t="str">
        <f t="shared" si="113"/>
        <v>RESHUMB</v>
      </c>
      <c r="H75" s="423">
        <v>2015</v>
      </c>
      <c r="I75" s="297">
        <f t="shared" ref="I75" si="114">ROUNDUP(AB75/($O75*$P75)*$R75,1)</f>
        <v>878.6</v>
      </c>
      <c r="J75" s="297">
        <f t="shared" ref="J75" si="115">ROUNDUP(AC75/($O75*$P75)*$R75,1)</f>
        <v>0</v>
      </c>
      <c r="K75" s="297">
        <f t="shared" ref="K75" si="116">ROUNDUP(AD75/($O75*$P75)*$R75,1)</f>
        <v>0</v>
      </c>
      <c r="L75" s="463">
        <v>0.95</v>
      </c>
      <c r="M75" s="463">
        <v>0.95</v>
      </c>
      <c r="N75" s="463">
        <v>0.95</v>
      </c>
      <c r="O75" s="257">
        <f t="shared" si="98"/>
        <v>3.1536000000000002E-2</v>
      </c>
      <c r="P75" s="460">
        <v>0.2</v>
      </c>
      <c r="Q75" s="258">
        <v>30</v>
      </c>
      <c r="R75" s="227">
        <v>1.0900000000000001</v>
      </c>
      <c r="T75" s="268">
        <f t="shared" si="105"/>
        <v>5.8331641263157907</v>
      </c>
      <c r="U75" s="268"/>
      <c r="V75" s="602" t="str">
        <f>'Data manipulation'!$B$25</f>
        <v>Liquefied natural gas</v>
      </c>
      <c r="W75" s="428" t="s">
        <v>798</v>
      </c>
      <c r="X75" s="246">
        <v>2015</v>
      </c>
      <c r="Y75" s="435">
        <f>_xlfn.IFNA(INDEX('Data manipulation'!$C$23:$O$39,MATCH($V75,'Data manipulation'!$B$23:$B$39,0),MATCH($X75,'Data manipulation'!$C$22:$O$22,0))/1000,0)*SUMIFS('Regional split'!$F$4:$F$6,'Regional split'!$B$4:$B$6,Y$3)*SUMIFS('Data manipulation'!$V$39:$V$42,'Data manipulation'!$X$39:$X$42,$E75,'Data manipulation'!$Y$39:$Y$42,$D75)</f>
        <v>5.3514921199999996</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5.0839175139999995</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1300.3</v>
      </c>
      <c r="J76" s="250">
        <f>ROUNDUP(AC76/($O76*$P76)*$R76,1)</f>
        <v>0</v>
      </c>
      <c r="K76" s="250">
        <f>ROUNDUP(AD76/($O76*$P76)*$R76,1)</f>
        <v>0</v>
      </c>
      <c r="L76" s="462">
        <v>0.79</v>
      </c>
      <c r="M76" s="462">
        <v>0.79</v>
      </c>
      <c r="N76" s="462">
        <v>0.79</v>
      </c>
      <c r="O76" s="244">
        <f t="shared" si="98"/>
        <v>3.1536000000000002E-2</v>
      </c>
      <c r="P76" s="460">
        <v>0.2</v>
      </c>
      <c r="Q76" s="245">
        <v>25</v>
      </c>
      <c r="R76" s="227">
        <v>1.0900000000000001</v>
      </c>
      <c r="T76" s="268">
        <f t="shared" si="105"/>
        <v>10.381331848101267</v>
      </c>
      <c r="U76" s="268"/>
      <c r="V76" s="602"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9.524041436000001</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7.5239927344400011</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1560.6</v>
      </c>
      <c r="J77" s="250">
        <f t="shared" ref="J77:J83" si="122">ROUNDUP(AC77/($O77*$P77)*$R77,1)</f>
        <v>0</v>
      </c>
      <c r="K77" s="250">
        <f t="shared" ref="K77:K83" si="123">ROUNDUP(AD77/($O77*$P77)*$R77,1)</f>
        <v>0</v>
      </c>
      <c r="L77" s="462">
        <v>0.79</v>
      </c>
      <c r="M77" s="462">
        <v>0.79</v>
      </c>
      <c r="N77" s="462">
        <v>0.79</v>
      </c>
      <c r="O77" s="244">
        <f t="shared" si="98"/>
        <v>3.1536000000000002E-2</v>
      </c>
      <c r="P77" s="460">
        <v>0.2</v>
      </c>
      <c r="Q77" s="245">
        <v>20</v>
      </c>
      <c r="R77" s="227">
        <v>1.0900000000000001</v>
      </c>
      <c r="T77" s="268">
        <f t="shared" si="105"/>
        <v>12.459514329113924</v>
      </c>
      <c r="V77" s="602" t="str">
        <f>'Data manipulation'!$B$35</f>
        <v>Oil products</v>
      </c>
      <c r="W77" s="254" t="s">
        <v>757</v>
      </c>
      <c r="X77" s="246">
        <v>2015</v>
      </c>
      <c r="Y77" s="434">
        <f>_xlfn.IFNA(INDEX('Data manipulation'!$C$23:$O$39,MATCH($V77,'Data manipulation'!$B$23:$B$39,0),MATCH($X77,'Data manipulation'!$C$22:$O$22,0))/1000,0)*SUMIFS('Regional split'!$F$4:$F$6,'Regional split'!$B$4:$B$6,Y$3)*SUMIFS('Data manipulation'!$V$39:$V$42,'Data manipulation'!$X$39:$X$42,$E77,'Data manipulation'!$Y$39:$Y$42,$D77)</f>
        <v>11.430741392</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9.0302856996800003</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2">
        <v>0.67</v>
      </c>
      <c r="M78" s="462">
        <v>0.67</v>
      </c>
      <c r="N78" s="462">
        <v>0.67</v>
      </c>
      <c r="O78" s="244">
        <f>31.536/1000</f>
        <v>3.1536000000000002E-2</v>
      </c>
      <c r="P78" s="460">
        <v>0.2</v>
      </c>
      <c r="Q78" s="245">
        <v>20</v>
      </c>
      <c r="R78" s="227">
        <v>1.0900000000000001</v>
      </c>
      <c r="T78" s="268">
        <f t="shared" si="105"/>
        <v>0</v>
      </c>
      <c r="U78" s="268"/>
      <c r="V78" s="602" t="s">
        <v>206</v>
      </c>
      <c r="W78" s="254" t="s">
        <v>927</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337.3</v>
      </c>
      <c r="J79" s="250">
        <f t="shared" si="122"/>
        <v>0</v>
      </c>
      <c r="K79" s="250">
        <f t="shared" si="123"/>
        <v>0</v>
      </c>
      <c r="L79" s="462">
        <v>0.67</v>
      </c>
      <c r="M79" s="462">
        <v>0.67</v>
      </c>
      <c r="N79" s="462">
        <v>0.67</v>
      </c>
      <c r="O79" s="244">
        <f>31.536/1000</f>
        <v>3.1536000000000002E-2</v>
      </c>
      <c r="P79" s="460">
        <v>0.2</v>
      </c>
      <c r="Q79" s="245">
        <v>20</v>
      </c>
      <c r="R79" s="227">
        <v>1.0900000000000001</v>
      </c>
      <c r="T79" s="268">
        <f t="shared" si="105"/>
        <v>3.1752515820895524</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1.9513770609200003</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41.4</v>
      </c>
      <c r="J80" s="250">
        <f t="shared" si="122"/>
        <v>0</v>
      </c>
      <c r="K80" s="250">
        <f t="shared" si="123"/>
        <v>0</v>
      </c>
      <c r="L80" s="462">
        <v>0.72</v>
      </c>
      <c r="M80" s="462">
        <v>0.72</v>
      </c>
      <c r="N80" s="462">
        <v>0.72</v>
      </c>
      <c r="O80" s="244">
        <f t="shared" si="98"/>
        <v>3.1536000000000002E-2</v>
      </c>
      <c r="P80" s="460">
        <v>0.2</v>
      </c>
      <c r="Q80" s="245">
        <v>20</v>
      </c>
      <c r="R80" s="227">
        <v>1.0900000000000001</v>
      </c>
      <c r="T80" s="268">
        <f t="shared" si="105"/>
        <v>0.36266400000000004</v>
      </c>
      <c r="U80" s="268"/>
      <c r="V80" s="602" t="str">
        <f>'Data manipulation'!$B$23</f>
        <v>Solid fossil fuels, peat, peat products, oil shale and oil sands</v>
      </c>
      <c r="W80" s="254" t="s">
        <v>924</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8.4</v>
      </c>
      <c r="J81" s="250">
        <f t="shared" si="122"/>
        <v>0</v>
      </c>
      <c r="K81" s="250">
        <f t="shared" si="123"/>
        <v>0</v>
      </c>
      <c r="L81" s="462">
        <v>1</v>
      </c>
      <c r="M81" s="462">
        <v>1</v>
      </c>
      <c r="N81" s="462">
        <v>1</v>
      </c>
      <c r="O81" s="244">
        <f t="shared" si="98"/>
        <v>3.1536000000000002E-2</v>
      </c>
      <c r="P81" s="460">
        <v>0.2</v>
      </c>
      <c r="Q81" s="245">
        <v>20</v>
      </c>
      <c r="R81" s="227">
        <v>1.0900000000000001</v>
      </c>
      <c r="T81" s="268">
        <f t="shared" si="105"/>
        <v>5.298048000000001E-2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78</v>
      </c>
      <c r="J82" s="250">
        <f t="shared" si="122"/>
        <v>0</v>
      </c>
      <c r="K82" s="250">
        <f t="shared" si="123"/>
        <v>0</v>
      </c>
      <c r="L82" s="462">
        <v>1</v>
      </c>
      <c r="M82" s="462">
        <v>1</v>
      </c>
      <c r="N82" s="462">
        <v>1</v>
      </c>
      <c r="O82" s="244">
        <f t="shared" si="98"/>
        <v>3.1536000000000002E-2</v>
      </c>
      <c r="P82" s="460">
        <v>0.2</v>
      </c>
      <c r="Q82" s="245">
        <v>30</v>
      </c>
      <c r="R82" s="227">
        <v>1.0900000000000001</v>
      </c>
      <c r="T82" s="268">
        <f t="shared" si="105"/>
        <v>0.49196160000000005</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180.29999999999998</v>
      </c>
      <c r="J83" s="250">
        <f t="shared" si="122"/>
        <v>0</v>
      </c>
      <c r="K83" s="250">
        <f t="shared" si="123"/>
        <v>0</v>
      </c>
      <c r="L83" s="462">
        <v>2.3149999999999999</v>
      </c>
      <c r="M83" s="462">
        <v>2.3149999999999999</v>
      </c>
      <c r="N83" s="462">
        <v>2.3149999999999999</v>
      </c>
      <c r="O83" s="244">
        <f t="shared" si="98"/>
        <v>3.1536000000000002E-2</v>
      </c>
      <c r="P83" s="460">
        <v>0.2</v>
      </c>
      <c r="Q83" s="245">
        <v>30</v>
      </c>
      <c r="R83" s="227">
        <v>1.0900000000000001</v>
      </c>
      <c r="T83" s="268">
        <f t="shared" si="105"/>
        <v>0.4912259870410367</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2">
        <v>0</v>
      </c>
      <c r="J84" s="572">
        <v>0</v>
      </c>
      <c r="K84" s="572">
        <v>0</v>
      </c>
      <c r="L84" s="462">
        <v>0.98</v>
      </c>
      <c r="M84" s="462">
        <v>0.98</v>
      </c>
      <c r="N84" s="462">
        <v>0.98</v>
      </c>
      <c r="O84" s="244">
        <f t="shared" si="98"/>
        <v>3.1536000000000002E-2</v>
      </c>
      <c r="P84" s="460">
        <v>0.2</v>
      </c>
      <c r="Q84" s="245">
        <v>30</v>
      </c>
      <c r="R84" s="227">
        <v>1.0900000000000001</v>
      </c>
      <c r="T84" s="268">
        <f t="shared" si="105"/>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51.4</v>
      </c>
      <c r="J85" s="297">
        <f t="shared" ref="J85" si="141">ROUNDUP(AC85/($O85*$P85)*$R85,1)</f>
        <v>0</v>
      </c>
      <c r="K85" s="297">
        <f t="shared" ref="K85" si="142">ROUNDUP(AD85/($O85*$P85)*$R85,1)</f>
        <v>0</v>
      </c>
      <c r="L85" s="462">
        <v>0.98</v>
      </c>
      <c r="M85" s="462">
        <v>0.98</v>
      </c>
      <c r="N85" s="462">
        <v>0.98</v>
      </c>
      <c r="O85" s="244">
        <f t="shared" si="98"/>
        <v>3.1536000000000002E-2</v>
      </c>
      <c r="P85" s="460">
        <v>0.2</v>
      </c>
      <c r="Q85" s="245">
        <v>30</v>
      </c>
      <c r="R85" s="227">
        <v>1.0900000000000001</v>
      </c>
      <c r="T85" s="268">
        <f t="shared" si="105"/>
        <v>0.33080620408163269</v>
      </c>
      <c r="U85" s="268"/>
      <c r="V85" s="602" t="str">
        <f>'Data manipulation'!$B$25</f>
        <v>Liquefied natural gas</v>
      </c>
      <c r="W85" s="428" t="s">
        <v>798</v>
      </c>
      <c r="X85" s="246">
        <v>2015</v>
      </c>
      <c r="Y85" s="435">
        <f>_xlfn.IFNA(INDEX('Data manipulation'!$C$23:$O$39,MATCH($V85,'Data manipulation'!$B$23:$B$39,0),MATCH($X85,'Data manipulation'!$C$22:$O$22,0))/1000,0)*SUMIFS('Regional split'!$F$4:$F$6,'Regional split'!$B$4:$B$6,Y$3)*SUMIFS('Data manipulation'!$V$39:$V$42,'Data manipulation'!$X$39:$X$42,$E85,'Data manipulation'!$Y$39:$Y$42,$D85)</f>
        <v>0.30332344</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0.2972569712</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37528</v>
      </c>
      <c r="J86" s="250">
        <f>ROUNDUP(AC86/($O86*$P86)*$R86,1)</f>
        <v>0</v>
      </c>
      <c r="K86" s="250">
        <f>ROUNDUP(AD86/($O86*$P86)*$R86,1)</f>
        <v>0</v>
      </c>
      <c r="L86" s="462">
        <v>0.72</v>
      </c>
      <c r="M86" s="462">
        <v>0.72</v>
      </c>
      <c r="N86" s="462">
        <v>0.72</v>
      </c>
      <c r="O86" s="244">
        <f>31.536/1000</f>
        <v>3.1536000000000002E-2</v>
      </c>
      <c r="P86" s="460">
        <v>0.2</v>
      </c>
      <c r="Q86" s="245">
        <v>22</v>
      </c>
      <c r="R86" s="227">
        <v>1.05</v>
      </c>
      <c r="T86" s="268">
        <f t="shared" si="105"/>
        <v>328.74528000000004</v>
      </c>
      <c r="U86" s="268"/>
      <c r="V86" s="602"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313.09002731999999</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225.42481967039998</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4" si="145">ROUNDUP(AB87/($O87*$P87)*$R87,1)</f>
        <v>34293.5</v>
      </c>
      <c r="J87" s="250">
        <f t="shared" ref="J87:J93" si="146">ROUNDUP(AC87/($O87*$P87)*$R87,1)</f>
        <v>0</v>
      </c>
      <c r="K87" s="250">
        <f t="shared" ref="K87:K93" si="147">ROUNDUP(AD87/($O87*$P87)*$R87,1)</f>
        <v>0</v>
      </c>
      <c r="L87" s="462">
        <v>0.71</v>
      </c>
      <c r="M87" s="462">
        <v>0.71</v>
      </c>
      <c r="N87" s="462">
        <v>0.71</v>
      </c>
      <c r="O87" s="244">
        <f>31.536/1000</f>
        <v>3.1536000000000002E-2</v>
      </c>
      <c r="P87" s="460">
        <v>0.2</v>
      </c>
      <c r="Q87" s="245">
        <v>20</v>
      </c>
      <c r="R87" s="227">
        <v>1.05</v>
      </c>
      <c r="T87" s="268">
        <f t="shared" si="105"/>
        <v>304.64220169014089</v>
      </c>
      <c r="V87" s="602" t="str">
        <f>'Data manipulation'!$B$35</f>
        <v>Oil products</v>
      </c>
      <c r="W87" s="254" t="s">
        <v>757</v>
      </c>
      <c r="X87" s="246">
        <v>2018</v>
      </c>
      <c r="Y87" s="434">
        <f>_xlfn.IFNA(INDEX('Data manipulation'!$C$23:$O$39,MATCH($V87,'Data manipulation'!$B$23:$B$39,0),MATCH($X87,'Data manipulation'!$C$22:$O$22,0))/1000,0)*SUMIFS('Regional split'!$F$4:$F$6,'Regional split'!$B$4:$B$6,Y$3)*SUMIFS('Data manipulation'!$V$39:$V$42,'Data manipulation'!$X$39:$X$42,$E87,'Data manipulation'!$Y$39:$Y$42,$D87)</f>
        <v>290.13528431999998</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205.99605186719998</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2">
        <v>0.61</v>
      </c>
      <c r="M88" s="462">
        <v>0.61</v>
      </c>
      <c r="N88" s="462">
        <v>0.61</v>
      </c>
      <c r="O88" s="244">
        <f t="shared" ref="O88:O105" si="149">31.536/1000</f>
        <v>3.1536000000000002E-2</v>
      </c>
      <c r="P88" s="460">
        <v>0.2</v>
      </c>
      <c r="Q88" s="245">
        <v>20</v>
      </c>
      <c r="R88" s="227">
        <v>1.05</v>
      </c>
      <c r="T88" s="268">
        <f t="shared" si="105"/>
        <v>0</v>
      </c>
      <c r="U88" s="268"/>
      <c r="V88" s="602" t="s">
        <v>206</v>
      </c>
      <c r="W88" s="254" t="s">
        <v>927</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9533</v>
      </c>
      <c r="J89" s="250">
        <f t="shared" si="146"/>
        <v>0</v>
      </c>
      <c r="K89" s="250">
        <f t="shared" si="147"/>
        <v>0</v>
      </c>
      <c r="L89" s="462">
        <v>0.65000022993955098</v>
      </c>
      <c r="M89" s="462">
        <v>0.65000022993955098</v>
      </c>
      <c r="N89" s="462">
        <v>0.65000022993955098</v>
      </c>
      <c r="O89" s="244">
        <f t="shared" si="149"/>
        <v>3.1536000000000002E-2</v>
      </c>
      <c r="P89" s="460">
        <v>0.2</v>
      </c>
      <c r="Q89" s="245">
        <v>20</v>
      </c>
      <c r="R89" s="227">
        <v>1.05</v>
      </c>
      <c r="T89" s="268">
        <f t="shared" si="105"/>
        <v>92.502332815469444</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57.263223982039001</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1009.2</v>
      </c>
      <c r="J90" s="250">
        <f t="shared" si="146"/>
        <v>0</v>
      </c>
      <c r="K90" s="250">
        <f t="shared" si="147"/>
        <v>0</v>
      </c>
      <c r="L90" s="462">
        <v>0.7</v>
      </c>
      <c r="M90" s="462">
        <v>0.7</v>
      </c>
      <c r="N90" s="462">
        <v>0.7</v>
      </c>
      <c r="O90" s="244">
        <f t="shared" si="149"/>
        <v>3.1536000000000002E-2</v>
      </c>
      <c r="P90" s="460">
        <v>0.2</v>
      </c>
      <c r="Q90" s="245">
        <v>20</v>
      </c>
      <c r="R90" s="227">
        <v>1.05</v>
      </c>
      <c r="T90" s="268">
        <f t="shared" si="105"/>
        <v>9.0931803428571456</v>
      </c>
      <c r="U90" s="268"/>
      <c r="V90" s="602" t="str">
        <f>'Data manipulation'!$B$23</f>
        <v>Solid fossil fuels, peat, peat products, oil shale and oil sands</v>
      </c>
      <c r="W90" s="254" t="s">
        <v>924</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279.90000000000003</v>
      </c>
      <c r="J91" s="250">
        <f t="shared" si="146"/>
        <v>0</v>
      </c>
      <c r="K91" s="250">
        <f t="shared" si="147"/>
        <v>0</v>
      </c>
      <c r="L91" s="462">
        <v>1</v>
      </c>
      <c r="M91" s="462">
        <v>1</v>
      </c>
      <c r="N91" s="462">
        <v>1</v>
      </c>
      <c r="O91" s="244">
        <f t="shared" si="149"/>
        <v>3.1536000000000002E-2</v>
      </c>
      <c r="P91" s="460">
        <v>0.2</v>
      </c>
      <c r="Q91" s="245">
        <v>20</v>
      </c>
      <c r="R91" s="227">
        <v>1.05</v>
      </c>
      <c r="T91" s="268">
        <f t="shared" si="105"/>
        <v>1.7653852800000003</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1875.8999999999999</v>
      </c>
      <c r="J92" s="250">
        <f t="shared" si="146"/>
        <v>0</v>
      </c>
      <c r="K92" s="250">
        <f t="shared" si="147"/>
        <v>0</v>
      </c>
      <c r="L92" s="462">
        <v>1</v>
      </c>
      <c r="M92" s="462">
        <v>1</v>
      </c>
      <c r="N92" s="462">
        <v>1</v>
      </c>
      <c r="O92" s="244">
        <f t="shared" si="149"/>
        <v>3.1536000000000002E-2</v>
      </c>
      <c r="P92" s="460">
        <v>0.2</v>
      </c>
      <c r="Q92" s="245">
        <v>30</v>
      </c>
      <c r="R92" s="227">
        <v>1.05</v>
      </c>
      <c r="T92" s="268">
        <f t="shared" si="105"/>
        <v>11.83167648</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6548.9000000000005</v>
      </c>
      <c r="J93" s="250">
        <f t="shared" si="146"/>
        <v>0</v>
      </c>
      <c r="K93" s="250">
        <f t="shared" si="147"/>
        <v>0</v>
      </c>
      <c r="L93" s="462">
        <v>2.3149999999999999</v>
      </c>
      <c r="M93" s="462">
        <v>2.3149999999999999</v>
      </c>
      <c r="N93" s="462">
        <v>2.3149999999999999</v>
      </c>
      <c r="O93" s="244">
        <f t="shared" si="149"/>
        <v>3.1536000000000002E-2</v>
      </c>
      <c r="P93" s="460">
        <v>0.2</v>
      </c>
      <c r="Q93" s="245">
        <v>30</v>
      </c>
      <c r="R93" s="227">
        <v>1.05</v>
      </c>
      <c r="T93" s="268">
        <f t="shared" si="105"/>
        <v>17.842428544276462</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250">
        <f t="shared" si="145"/>
        <v>9248.5</v>
      </c>
      <c r="J94" s="572">
        <v>0</v>
      </c>
      <c r="K94" s="572">
        <v>0</v>
      </c>
      <c r="L94" s="462">
        <v>0.95</v>
      </c>
      <c r="M94" s="462">
        <v>0.95</v>
      </c>
      <c r="N94" s="462">
        <v>0.95</v>
      </c>
      <c r="O94" s="244">
        <f t="shared" si="149"/>
        <v>3.1536000000000002E-2</v>
      </c>
      <c r="P94" s="460">
        <v>0.2</v>
      </c>
      <c r="Q94" s="245">
        <v>30</v>
      </c>
      <c r="R94" s="227">
        <v>1.05</v>
      </c>
      <c r="T94" s="268">
        <f t="shared" si="105"/>
        <v>61.402251789473695</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5" t="str">
        <f t="shared" si="156"/>
        <v>Urban</v>
      </c>
      <c r="E95" s="535" t="str">
        <f t="shared" si="156"/>
        <v>Detached</v>
      </c>
      <c r="F95" s="255" t="str">
        <f t="shared" si="156"/>
        <v>RESLPG</v>
      </c>
      <c r="G95" s="255" t="str">
        <f t="shared" si="156"/>
        <v>RESHUDB</v>
      </c>
      <c r="H95" s="423">
        <v>2018</v>
      </c>
      <c r="I95" s="297">
        <f t="shared" ref="I95" si="157">ROUNDUP(AB95/($O95*$P95)*$R95,1)</f>
        <v>2045.3999999999999</v>
      </c>
      <c r="J95" s="297">
        <f t="shared" ref="J95" si="158">ROUNDUP(AC95/($O95*$P95)*$R95,1)</f>
        <v>0</v>
      </c>
      <c r="K95" s="297">
        <f t="shared" ref="K95" si="159">ROUNDUP(AD95/($O95*$P95)*$R95,1)</f>
        <v>0</v>
      </c>
      <c r="L95" s="463">
        <v>0.95</v>
      </c>
      <c r="M95" s="463">
        <v>0.95</v>
      </c>
      <c r="N95" s="463">
        <v>0.95</v>
      </c>
      <c r="O95" s="257">
        <f t="shared" si="149"/>
        <v>3.1536000000000002E-2</v>
      </c>
      <c r="P95" s="460">
        <v>0.2</v>
      </c>
      <c r="Q95" s="258">
        <v>30</v>
      </c>
      <c r="R95" s="227">
        <v>1.05</v>
      </c>
      <c r="T95" s="268">
        <f t="shared" si="105"/>
        <v>13.579733557894738</v>
      </c>
      <c r="U95" s="268"/>
      <c r="V95" s="602" t="str">
        <f>'Data manipulation'!$B$25</f>
        <v>Liquefied natural gas</v>
      </c>
      <c r="W95" s="428" t="s">
        <v>798</v>
      </c>
      <c r="X95" s="246">
        <v>2018</v>
      </c>
      <c r="Y95" s="435">
        <f>_xlfn.IFNA(INDEX('Data manipulation'!$C$23:$O$39,MATCH($V95,'Data manipulation'!$B$23:$B$39,0),MATCH($X95,'Data manipulation'!$C$22:$O$22,0))/1000,0)*SUMIFS('Regional split'!$F$4:$F$6,'Regional split'!$B$4:$B$6,Y$3)*SUMIFS('Data manipulation'!$V$39:$V$42,'Data manipulation'!$X$39:$X$42,$E95,'Data manipulation'!$Y$39:$Y$42,$D95)</f>
        <v>12.9327702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12.286131689999999</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31274.6</v>
      </c>
      <c r="J96" s="250">
        <f>ROUNDUP(AC96/($O96*$P96)*$R96,1)</f>
        <v>0</v>
      </c>
      <c r="K96" s="250">
        <f>ROUNDUP(AD96/($O96*$P96)*$R96,1)</f>
        <v>0</v>
      </c>
      <c r="L96" s="462">
        <v>0.79</v>
      </c>
      <c r="M96" s="462">
        <v>0.79</v>
      </c>
      <c r="N96" s="462">
        <v>0.79</v>
      </c>
      <c r="O96" s="244">
        <f t="shared" si="149"/>
        <v>3.1536000000000002E-2</v>
      </c>
      <c r="P96" s="460">
        <v>0.2</v>
      </c>
      <c r="Q96" s="245">
        <v>25</v>
      </c>
      <c r="R96" s="227">
        <v>1.05</v>
      </c>
      <c r="T96" s="268">
        <f t="shared" si="105"/>
        <v>249.69007230379748</v>
      </c>
      <c r="U96" s="268"/>
      <c r="V96" s="602"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237.799330274</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187.86147091646001</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28981.599999999999</v>
      </c>
      <c r="J97" s="250">
        <f t="shared" ref="J97:J103" si="163">ROUNDUP(AC97/($O97*$P97)*$R97,1)</f>
        <v>0</v>
      </c>
      <c r="K97" s="250">
        <f t="shared" ref="K97:K103" si="164">ROUNDUP(AD97/($O97*$P97)*$R97,1)</f>
        <v>0</v>
      </c>
      <c r="L97" s="462">
        <v>0.79</v>
      </c>
      <c r="M97" s="462">
        <v>0.79</v>
      </c>
      <c r="N97" s="462">
        <v>0.79</v>
      </c>
      <c r="O97" s="244">
        <f t="shared" si="149"/>
        <v>3.1536000000000002E-2</v>
      </c>
      <c r="P97" s="460">
        <v>0.2</v>
      </c>
      <c r="Q97" s="245">
        <v>20</v>
      </c>
      <c r="R97" s="227">
        <v>1.05</v>
      </c>
      <c r="T97" s="268">
        <f t="shared" si="105"/>
        <v>231.38322470886075</v>
      </c>
      <c r="V97" s="602" t="str">
        <f>'Data manipulation'!$B$35</f>
        <v>Oil products</v>
      </c>
      <c r="W97" s="254" t="s">
        <v>757</v>
      </c>
      <c r="X97" s="246">
        <v>2018</v>
      </c>
      <c r="Y97" s="434">
        <f>_xlfn.IFNA(INDEX('Data manipulation'!$C$23:$O$39,MATCH($V97,'Data manipulation'!$B$23:$B$39,0),MATCH($X97,'Data manipulation'!$C$22:$O$22,0))/1000,0)*SUMIFS('Regional split'!$F$4:$F$6,'Regional split'!$B$4:$B$6,Y$3)*SUMIFS('Data manipulation'!$V$39:$V$42,'Data manipulation'!$X$39:$X$42,$E97,'Data manipulation'!$Y$39:$Y$42,$D97)</f>
        <v>220.36465642400003</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174.08807857496004</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2">
        <v>0.67</v>
      </c>
      <c r="M98" s="462">
        <v>0.67</v>
      </c>
      <c r="N98" s="462">
        <v>0.67</v>
      </c>
      <c r="O98" s="244">
        <f>31.536/1000</f>
        <v>3.1536000000000002E-2</v>
      </c>
      <c r="P98" s="460">
        <v>0.2</v>
      </c>
      <c r="Q98" s="245">
        <v>20</v>
      </c>
      <c r="R98" s="227">
        <v>1.05</v>
      </c>
      <c r="T98" s="268">
        <f t="shared" si="105"/>
        <v>0</v>
      </c>
      <c r="U98" s="268"/>
      <c r="V98" s="602" t="s">
        <v>206</v>
      </c>
      <c r="W98" s="254" t="s">
        <v>927</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7463.4000000000005</v>
      </c>
      <c r="J99" s="250">
        <f t="shared" si="163"/>
        <v>0</v>
      </c>
      <c r="K99" s="250">
        <f t="shared" si="164"/>
        <v>0</v>
      </c>
      <c r="L99" s="462">
        <v>0.67</v>
      </c>
      <c r="M99" s="462">
        <v>0.67</v>
      </c>
      <c r="N99" s="462">
        <v>0.67</v>
      </c>
      <c r="O99" s="244">
        <f>31.536/1000</f>
        <v>3.1536000000000002E-2</v>
      </c>
      <c r="P99" s="460">
        <v>0.2</v>
      </c>
      <c r="Q99" s="245">
        <v>20</v>
      </c>
      <c r="R99" s="227">
        <v>1.05</v>
      </c>
      <c r="T99" s="268">
        <f t="shared" si="105"/>
        <v>70.258442507462689</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44.831005612250003</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788.4</v>
      </c>
      <c r="J100" s="250">
        <f t="shared" si="163"/>
        <v>0</v>
      </c>
      <c r="K100" s="250">
        <f t="shared" si="164"/>
        <v>0</v>
      </c>
      <c r="L100" s="462">
        <v>0.72</v>
      </c>
      <c r="M100" s="462">
        <v>0.72</v>
      </c>
      <c r="N100" s="462">
        <v>0.72</v>
      </c>
      <c r="O100" s="244">
        <f t="shared" si="149"/>
        <v>3.1536000000000002E-2</v>
      </c>
      <c r="P100" s="460">
        <v>0.2</v>
      </c>
      <c r="Q100" s="245">
        <v>20</v>
      </c>
      <c r="R100" s="227">
        <v>1.05</v>
      </c>
      <c r="T100" s="268">
        <f t="shared" si="105"/>
        <v>6.9063840000000001</v>
      </c>
      <c r="U100" s="268"/>
      <c r="V100" s="602" t="str">
        <f>'Data manipulation'!$B$23</f>
        <v>Solid fossil fuels, peat, peat products, oil shale and oil sands</v>
      </c>
      <c r="W100" s="254" t="s">
        <v>924</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212.6</v>
      </c>
      <c r="J101" s="250">
        <f t="shared" si="163"/>
        <v>0</v>
      </c>
      <c r="K101" s="250">
        <f t="shared" si="164"/>
        <v>0</v>
      </c>
      <c r="L101" s="462">
        <v>1</v>
      </c>
      <c r="M101" s="462">
        <v>1</v>
      </c>
      <c r="N101" s="462">
        <v>1</v>
      </c>
      <c r="O101" s="244">
        <f t="shared" si="149"/>
        <v>3.1536000000000002E-2</v>
      </c>
      <c r="P101" s="460">
        <v>0.2</v>
      </c>
      <c r="Q101" s="245">
        <v>20</v>
      </c>
      <c r="R101" s="227">
        <v>1.05</v>
      </c>
      <c r="T101" s="268">
        <f t="shared" si="105"/>
        <v>1.3409107200000001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1424.8</v>
      </c>
      <c r="J102" s="250">
        <f t="shared" si="163"/>
        <v>0</v>
      </c>
      <c r="K102" s="250">
        <f t="shared" si="164"/>
        <v>0</v>
      </c>
      <c r="L102" s="462">
        <v>1</v>
      </c>
      <c r="M102" s="462">
        <v>1</v>
      </c>
      <c r="N102" s="462">
        <v>1</v>
      </c>
      <c r="O102" s="244">
        <f t="shared" si="149"/>
        <v>3.1536000000000002E-2</v>
      </c>
      <c r="P102" s="460">
        <v>0.2</v>
      </c>
      <c r="Q102" s="245">
        <v>30</v>
      </c>
      <c r="R102" s="227">
        <v>1.05</v>
      </c>
      <c r="T102" s="268">
        <f t="shared" si="105"/>
        <v>8.9864985599999994</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4974</v>
      </c>
      <c r="J103" s="250">
        <f t="shared" si="163"/>
        <v>0</v>
      </c>
      <c r="K103" s="250">
        <f t="shared" si="164"/>
        <v>0</v>
      </c>
      <c r="L103" s="462">
        <v>2.3149999999999999</v>
      </c>
      <c r="M103" s="462">
        <v>2.3149999999999999</v>
      </c>
      <c r="N103" s="462">
        <v>2.3149999999999999</v>
      </c>
      <c r="O103" s="244">
        <f t="shared" si="149"/>
        <v>3.1536000000000002E-2</v>
      </c>
      <c r="P103" s="460">
        <v>0.2</v>
      </c>
      <c r="Q103" s="245">
        <v>30</v>
      </c>
      <c r="R103" s="227">
        <v>1.05</v>
      </c>
      <c r="T103" s="268">
        <f t="shared" si="105"/>
        <v>13.551625399568035</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2">
        <v>0</v>
      </c>
      <c r="J104" s="572">
        <v>0</v>
      </c>
      <c r="K104" s="572">
        <v>0</v>
      </c>
      <c r="L104" s="462">
        <v>0.98</v>
      </c>
      <c r="M104" s="462">
        <v>0.98</v>
      </c>
      <c r="N104" s="462">
        <v>0.98</v>
      </c>
      <c r="O104" s="244">
        <f t="shared" si="149"/>
        <v>3.1536000000000002E-2</v>
      </c>
      <c r="P104" s="460">
        <v>0.2</v>
      </c>
      <c r="Q104" s="245">
        <v>30</v>
      </c>
      <c r="R104" s="227">
        <v>1.05</v>
      </c>
      <c r="T104" s="268">
        <f t="shared" si="105"/>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1602.6</v>
      </c>
      <c r="J105" s="297">
        <f t="shared" ref="J105" si="174">ROUNDUP(AC105/($O105*$P105)*$R105,1)</f>
        <v>0</v>
      </c>
      <c r="K105" s="297">
        <f t="shared" ref="K105" si="175">ROUNDUP(AD105/($O105*$P105)*$R105,1)</f>
        <v>0</v>
      </c>
      <c r="L105" s="462">
        <v>0.98</v>
      </c>
      <c r="M105" s="462">
        <v>0.98</v>
      </c>
      <c r="N105" s="462">
        <v>0.98</v>
      </c>
      <c r="O105" s="244">
        <f t="shared" si="149"/>
        <v>3.1536000000000002E-2</v>
      </c>
      <c r="P105" s="460">
        <v>0.2</v>
      </c>
      <c r="Q105" s="245">
        <v>30</v>
      </c>
      <c r="R105" s="227">
        <v>1.05</v>
      </c>
      <c r="T105" s="268">
        <f t="shared" si="105"/>
        <v>10.314202775510205</v>
      </c>
      <c r="U105" s="268"/>
      <c r="V105" s="602" t="str">
        <f>'Data manipulation'!$B$25</f>
        <v>Liquefied natural gas</v>
      </c>
      <c r="W105" s="428" t="s">
        <v>798</v>
      </c>
      <c r="X105" s="246">
        <v>2018</v>
      </c>
      <c r="Y105" s="435">
        <f>_xlfn.IFNA(INDEX('Data manipulation'!$C$23:$O$39,MATCH($V105,'Data manipulation'!$B$23:$B$39,0),MATCH($X105,'Data manipulation'!$C$22:$O$22,0))/1000,0)*SUMIFS('Regional split'!$F$4:$F$6,'Regional split'!$B$4:$B$6,Y$3)*SUMIFS('Data manipulation'!$V$39:$V$42,'Data manipulation'!$X$39:$X$42,$E105,'Data manipulation'!$Y$39:$Y$42,$D105)</f>
        <v>9.8227468900000012</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9.6262919522000008</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22070</v>
      </c>
      <c r="J106" s="250">
        <f>ROUNDUP(AC106/($O106*$P106)*$R106,1)</f>
        <v>0</v>
      </c>
      <c r="K106" s="250">
        <f>ROUNDUP(AD106/($O106*$P106)*$R106,1)</f>
        <v>0</v>
      </c>
      <c r="L106" s="462">
        <v>0.72</v>
      </c>
      <c r="M106" s="462">
        <v>0.72</v>
      </c>
      <c r="N106" s="462">
        <v>0.72</v>
      </c>
      <c r="O106" s="244">
        <f>31.536/1000</f>
        <v>3.1536000000000002E-2</v>
      </c>
      <c r="P106" s="460">
        <v>0.2</v>
      </c>
      <c r="Q106" s="245">
        <v>22</v>
      </c>
      <c r="R106" s="227">
        <v>1.05</v>
      </c>
      <c r="T106" s="268">
        <f t="shared" si="105"/>
        <v>193.33320000000006</v>
      </c>
      <c r="U106" s="268"/>
      <c r="V106" s="602"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184.126754162</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132.57126299664</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5" si="181">ROUNDUP(AB107/($O107*$P107)*$R107,1)</f>
        <v>20167.899999999998</v>
      </c>
      <c r="J107" s="250">
        <f t="shared" ref="J107:J113" si="182">ROUNDUP(AC107/($O107*$P107)*$R107,1)</f>
        <v>0</v>
      </c>
      <c r="K107" s="250">
        <f t="shared" ref="K107:K113" si="183">ROUNDUP(AD107/($O107*$P107)*$R107,1)</f>
        <v>0</v>
      </c>
      <c r="L107" s="462">
        <v>0.71</v>
      </c>
      <c r="M107" s="462">
        <v>0.71</v>
      </c>
      <c r="N107" s="462">
        <v>0.71</v>
      </c>
      <c r="O107" s="244">
        <f>31.536/1000</f>
        <v>3.1536000000000002E-2</v>
      </c>
      <c r="P107" s="460">
        <v>0.2</v>
      </c>
      <c r="Q107" s="245">
        <v>20</v>
      </c>
      <c r="R107" s="227">
        <v>1.05</v>
      </c>
      <c r="T107" s="268">
        <f t="shared" si="105"/>
        <v>179.15912518309861</v>
      </c>
      <c r="V107" s="602" t="str">
        <f>'Data manipulation'!$B$35</f>
        <v>Oil products</v>
      </c>
      <c r="W107" s="254" t="s">
        <v>757</v>
      </c>
      <c r="X107" s="246">
        <v>2018</v>
      </c>
      <c r="Y107" s="434">
        <f>_xlfn.IFNA(INDEX('Data manipulation'!$C$23:$O$39,MATCH($V107,'Data manipulation'!$B$23:$B$39,0),MATCH($X107,'Data manipulation'!$C$22:$O$22,0))/1000,0)*SUMIFS('Regional split'!$F$4:$F$6,'Regional split'!$B$4:$B$6,Y$3)*SUMIFS('Data manipulation'!$V$39:$V$42,'Data manipulation'!$X$39:$X$42,$E107,'Data manipulation'!$Y$39:$Y$42,$D107)</f>
        <v>170.62717911200002</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121.14529716952001</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2">
        <v>0.61</v>
      </c>
      <c r="M108" s="462">
        <v>0.61</v>
      </c>
      <c r="N108" s="462">
        <v>0.61</v>
      </c>
      <c r="O108" s="244">
        <f t="shared" ref="O108:O125" si="185">31.536/1000</f>
        <v>3.1536000000000002E-2</v>
      </c>
      <c r="P108" s="460">
        <v>0.2</v>
      </c>
      <c r="Q108" s="245">
        <v>20</v>
      </c>
      <c r="R108" s="227">
        <v>1.05</v>
      </c>
      <c r="T108" s="268">
        <f t="shared" si="105"/>
        <v>0</v>
      </c>
      <c r="U108" s="268"/>
      <c r="V108" s="602" t="s">
        <v>206</v>
      </c>
      <c r="W108" s="254" t="s">
        <v>927</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5606.3</v>
      </c>
      <c r="J109" s="250">
        <f t="shared" si="182"/>
        <v>0</v>
      </c>
      <c r="K109" s="250">
        <f t="shared" si="183"/>
        <v>0</v>
      </c>
      <c r="L109" s="462">
        <v>0.65000022993955098</v>
      </c>
      <c r="M109" s="462">
        <v>0.65000022993955098</v>
      </c>
      <c r="N109" s="462">
        <v>0.65000022993955098</v>
      </c>
      <c r="O109" s="244">
        <f t="shared" si="185"/>
        <v>3.1536000000000002E-2</v>
      </c>
      <c r="P109" s="460">
        <v>0.2</v>
      </c>
      <c r="Q109" s="245">
        <v>20</v>
      </c>
      <c r="R109" s="227">
        <v>1.05</v>
      </c>
      <c r="T109" s="268">
        <f t="shared" si="105"/>
        <v>54.400065925035804</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33.676229341818171</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593.5</v>
      </c>
      <c r="J110" s="250">
        <f t="shared" si="182"/>
        <v>0</v>
      </c>
      <c r="K110" s="250">
        <f t="shared" si="183"/>
        <v>0</v>
      </c>
      <c r="L110" s="462">
        <v>0.7</v>
      </c>
      <c r="M110" s="462">
        <v>0.7</v>
      </c>
      <c r="N110" s="462">
        <v>0.7</v>
      </c>
      <c r="O110" s="244">
        <f t="shared" si="185"/>
        <v>3.1536000000000002E-2</v>
      </c>
      <c r="P110" s="460">
        <v>0.2</v>
      </c>
      <c r="Q110" s="245">
        <v>20</v>
      </c>
      <c r="R110" s="227">
        <v>1.05</v>
      </c>
      <c r="T110" s="268">
        <f t="shared" si="105"/>
        <v>5.3476045714285725</v>
      </c>
      <c r="U110" s="268"/>
      <c r="V110" s="602" t="str">
        <f>'Data manipulation'!$B$23</f>
        <v>Solid fossil fuels, peat, peat products, oil shale and oil sands</v>
      </c>
      <c r="W110" s="254" t="s">
        <v>924</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164.6</v>
      </c>
      <c r="J111" s="250">
        <f t="shared" si="182"/>
        <v>0</v>
      </c>
      <c r="K111" s="250">
        <f t="shared" si="183"/>
        <v>0</v>
      </c>
      <c r="L111" s="462">
        <v>1</v>
      </c>
      <c r="M111" s="462">
        <v>1</v>
      </c>
      <c r="N111" s="462">
        <v>1</v>
      </c>
      <c r="O111" s="244">
        <f t="shared" si="185"/>
        <v>3.1536000000000002E-2</v>
      </c>
      <c r="P111" s="460">
        <v>0.2</v>
      </c>
      <c r="Q111" s="245">
        <v>20</v>
      </c>
      <c r="R111" s="227">
        <v>1.05</v>
      </c>
      <c r="T111" s="268">
        <f t="shared" si="105"/>
        <v>1.0381651200000002</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1103.1999999999998</v>
      </c>
      <c r="J112" s="250">
        <f t="shared" si="182"/>
        <v>0</v>
      </c>
      <c r="K112" s="250">
        <f t="shared" si="183"/>
        <v>0</v>
      </c>
      <c r="L112" s="462">
        <v>1</v>
      </c>
      <c r="M112" s="462">
        <v>1</v>
      </c>
      <c r="N112" s="462">
        <v>1</v>
      </c>
      <c r="O112" s="244">
        <f t="shared" si="185"/>
        <v>3.1536000000000002E-2</v>
      </c>
      <c r="P112" s="460">
        <v>0.2</v>
      </c>
      <c r="Q112" s="245">
        <v>30</v>
      </c>
      <c r="R112" s="227">
        <v>1.05</v>
      </c>
      <c r="T112" s="268">
        <f t="shared" si="105"/>
        <v>6.9581030399999992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3851.4</v>
      </c>
      <c r="J113" s="250">
        <f t="shared" si="182"/>
        <v>0</v>
      </c>
      <c r="K113" s="250">
        <f t="shared" si="183"/>
        <v>0</v>
      </c>
      <c r="L113" s="462">
        <v>2.3149999999999999</v>
      </c>
      <c r="M113" s="462">
        <v>2.3149999999999999</v>
      </c>
      <c r="N113" s="462">
        <v>2.3149999999999999</v>
      </c>
      <c r="O113" s="244">
        <f t="shared" si="185"/>
        <v>3.1536000000000002E-2</v>
      </c>
      <c r="P113" s="460">
        <v>0.2</v>
      </c>
      <c r="Q113" s="245">
        <v>30</v>
      </c>
      <c r="R113" s="227">
        <v>1.05</v>
      </c>
      <c r="T113" s="268">
        <f t="shared" si="105"/>
        <v>10.493110185745142</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250">
        <f t="shared" si="181"/>
        <v>5439</v>
      </c>
      <c r="J114" s="572">
        <v>0</v>
      </c>
      <c r="K114" s="572">
        <v>0</v>
      </c>
      <c r="L114" s="462">
        <v>0.95</v>
      </c>
      <c r="M114" s="462">
        <v>0.95</v>
      </c>
      <c r="N114" s="462">
        <v>0.95</v>
      </c>
      <c r="O114" s="244">
        <f t="shared" si="185"/>
        <v>3.1536000000000002E-2</v>
      </c>
      <c r="P114" s="460">
        <v>0.2</v>
      </c>
      <c r="Q114" s="245">
        <v>30</v>
      </c>
      <c r="R114" s="227">
        <v>1.05</v>
      </c>
      <c r="T114" s="268">
        <f t="shared" si="105"/>
        <v>36.110379789473683</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5" t="str">
        <f t="shared" si="192"/>
        <v>Urban</v>
      </c>
      <c r="E115" s="535" t="str">
        <f t="shared" si="192"/>
        <v>Multi storey</v>
      </c>
      <c r="F115" s="255" t="str">
        <f t="shared" si="192"/>
        <v>RESLPG</v>
      </c>
      <c r="G115" s="255" t="str">
        <f t="shared" si="192"/>
        <v>RESHUMB</v>
      </c>
      <c r="H115" s="423">
        <v>2018</v>
      </c>
      <c r="I115" s="250">
        <f t="shared" si="181"/>
        <v>1202.8999999999999</v>
      </c>
      <c r="J115" s="297">
        <f t="shared" ref="J115" si="193">ROUNDUP(AC115/($O115*$P115)*$R115,1)</f>
        <v>0</v>
      </c>
      <c r="K115" s="297">
        <f t="shared" ref="K115" si="194">ROUNDUP(AD115/($O115*$P115)*$R115,1)</f>
        <v>0</v>
      </c>
      <c r="L115" s="463">
        <v>0.95</v>
      </c>
      <c r="M115" s="463">
        <v>0.95</v>
      </c>
      <c r="N115" s="463">
        <v>0.95</v>
      </c>
      <c r="O115" s="257">
        <f t="shared" si="185"/>
        <v>3.1536000000000002E-2</v>
      </c>
      <c r="P115" s="460">
        <v>0.2</v>
      </c>
      <c r="Q115" s="258">
        <v>30</v>
      </c>
      <c r="R115" s="227">
        <v>1.05</v>
      </c>
      <c r="T115" s="268">
        <f t="shared" si="105"/>
        <v>7.9862430315789483</v>
      </c>
      <c r="U115" s="268"/>
      <c r="V115" s="602" t="str">
        <f>'Data manipulation'!$B$25</f>
        <v>Liquefied natural gas</v>
      </c>
      <c r="W115" s="428" t="s">
        <v>798</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5">B76</f>
        <v>RHTRMNGAE1</v>
      </c>
      <c r="C116" s="233" t="str">
        <f t="shared" si="195"/>
        <v>Residential Heating Technology Rural Multi - Natural Gas - Existing 1</v>
      </c>
      <c r="D116" s="233" t="str">
        <f t="shared" si="195"/>
        <v>Rural</v>
      </c>
      <c r="E116" s="233" t="str">
        <f t="shared" si="195"/>
        <v>Multi storey</v>
      </c>
      <c r="F116" s="233" t="str">
        <f t="shared" si="195"/>
        <v>RESNGA,RESSNG</v>
      </c>
      <c r="G116" s="233" t="str">
        <f t="shared" si="195"/>
        <v>RESHRMB</v>
      </c>
      <c r="H116" s="259">
        <v>2018</v>
      </c>
      <c r="I116" s="250">
        <f>ROUNDUP(AB116/($O116*$P116)*$R116,1)</f>
        <v>1372.6</v>
      </c>
      <c r="J116" s="250">
        <f>ROUNDUP(AC116/($O116*$P116)*$R116,1)</f>
        <v>0</v>
      </c>
      <c r="K116" s="250">
        <f>ROUNDUP(AD116/($O116*$P116)*$R116,1)</f>
        <v>0</v>
      </c>
      <c r="L116" s="462">
        <v>0.79</v>
      </c>
      <c r="M116" s="462">
        <v>0.79</v>
      </c>
      <c r="N116" s="462">
        <v>0.79</v>
      </c>
      <c r="O116" s="244">
        <f t="shared" si="185"/>
        <v>3.1536000000000002E-2</v>
      </c>
      <c r="P116" s="460">
        <v>0.2</v>
      </c>
      <c r="Q116" s="245">
        <v>25</v>
      </c>
      <c r="R116" s="227">
        <v>1.05</v>
      </c>
      <c r="T116" s="268">
        <f t="shared" si="105"/>
        <v>10.958560405063292</v>
      </c>
      <c r="U116" s="268"/>
      <c r="V116" s="602"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10.436334244000001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8.2447040527600013</v>
      </c>
      <c r="AC116" s="278">
        <f t="shared" si="178"/>
        <v>0</v>
      </c>
      <c r="AD116" s="449">
        <f t="shared" si="179"/>
        <v>0</v>
      </c>
      <c r="AU116" s="260"/>
      <c r="AZ116" s="252"/>
    </row>
    <row r="117" spans="2:52" ht="15" customHeight="1">
      <c r="B117" s="233" t="str">
        <f t="shared" ref="B117:G117" si="196">B77</f>
        <v>RHTRMDSLE1</v>
      </c>
      <c r="C117" s="233" t="str">
        <f t="shared" si="196"/>
        <v>Residential Heating Technology Rural Multi - Diesel - Existing 1</v>
      </c>
      <c r="D117" s="233" t="str">
        <f t="shared" si="196"/>
        <v>Rural</v>
      </c>
      <c r="E117" s="233" t="str">
        <f t="shared" si="196"/>
        <v>Multi storey</v>
      </c>
      <c r="F117" s="233" t="str">
        <f t="shared" si="196"/>
        <v>RESDSL,RESDSB</v>
      </c>
      <c r="G117" s="233" t="str">
        <f t="shared" si="196"/>
        <v>RESHRMB</v>
      </c>
      <c r="H117" s="259">
        <v>2018</v>
      </c>
      <c r="I117" s="250">
        <f t="shared" ref="I117:I123" si="197">ROUNDUP(AB117/($O117*$P117)*$R117,1)</f>
        <v>1272</v>
      </c>
      <c r="J117" s="250">
        <f t="shared" ref="J117:J123" si="198">ROUNDUP(AC117/($O117*$P117)*$R117,1)</f>
        <v>0</v>
      </c>
      <c r="K117" s="250">
        <f t="shared" ref="K117:K123" si="199">ROUNDUP(AD117/($O117*$P117)*$R117,1)</f>
        <v>0</v>
      </c>
      <c r="L117" s="462">
        <v>0.79</v>
      </c>
      <c r="M117" s="462">
        <v>0.79</v>
      </c>
      <c r="N117" s="462">
        <v>0.79</v>
      </c>
      <c r="O117" s="244">
        <f t="shared" si="185"/>
        <v>3.1536000000000002E-2</v>
      </c>
      <c r="P117" s="460">
        <v>0.2</v>
      </c>
      <c r="Q117" s="245">
        <v>20</v>
      </c>
      <c r="R117" s="227">
        <v>1.05</v>
      </c>
      <c r="T117" s="268">
        <f t="shared" si="105"/>
        <v>10.155390379746835</v>
      </c>
      <c r="V117" s="602" t="str">
        <f>'Data manipulation'!$B$35</f>
        <v>Oil products</v>
      </c>
      <c r="W117" s="254" t="s">
        <v>757</v>
      </c>
      <c r="X117" s="246">
        <v>2018</v>
      </c>
      <c r="Y117" s="434">
        <f>_xlfn.IFNA(INDEX('Data manipulation'!$C$23:$O$39,MATCH($V117,'Data manipulation'!$B$23:$B$39,0),MATCH($X117,'Data manipulation'!$C$22:$O$22,0))/1000,0)*SUMIFS('Regional split'!$F$4:$F$6,'Regional split'!$B$4:$B$6,Y$3)*SUMIFS('Data manipulation'!$V$39:$V$42,'Data manipulation'!$X$39:$X$42,$E117,'Data manipulation'!$Y$39:$Y$42,$D117)</f>
        <v>9.6711761440000004</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7.6402291537600009</v>
      </c>
      <c r="AC117" s="251">
        <f t="shared" si="178"/>
        <v>0</v>
      </c>
      <c r="AD117" s="446">
        <f t="shared" si="179"/>
        <v>0</v>
      </c>
      <c r="AU117" s="260"/>
      <c r="AZ117" s="252"/>
    </row>
    <row r="118" spans="2:52" ht="15" customHeight="1">
      <c r="B118" s="233" t="str">
        <f t="shared" ref="B118:G118" si="200">B78</f>
        <v>RHTRMWPEE1</v>
      </c>
      <c r="C118" s="233" t="str">
        <f t="shared" si="200"/>
        <v>Residential Heating Technology Rural Multi - Wood pellets - Existing 1</v>
      </c>
      <c r="D118" s="233" t="str">
        <f t="shared" si="200"/>
        <v>Rural</v>
      </c>
      <c r="E118" s="233" t="str">
        <f t="shared" si="200"/>
        <v>Multi storey</v>
      </c>
      <c r="F118" s="233" t="str">
        <f t="shared" si="200"/>
        <v>RESWPE</v>
      </c>
      <c r="G118" s="233" t="str">
        <f t="shared" si="200"/>
        <v>RESHRMB</v>
      </c>
      <c r="H118" s="259">
        <v>2018</v>
      </c>
      <c r="I118" s="250">
        <f t="shared" si="197"/>
        <v>0</v>
      </c>
      <c r="J118" s="250">
        <f t="shared" si="198"/>
        <v>0</v>
      </c>
      <c r="K118" s="250">
        <f t="shared" si="199"/>
        <v>0</v>
      </c>
      <c r="L118" s="462">
        <v>0.67</v>
      </c>
      <c r="M118" s="462">
        <v>0.67</v>
      </c>
      <c r="N118" s="462">
        <v>0.67</v>
      </c>
      <c r="O118" s="244">
        <f>31.536/1000</f>
        <v>3.1536000000000002E-2</v>
      </c>
      <c r="P118" s="460">
        <v>0.2</v>
      </c>
      <c r="Q118" s="245">
        <v>20</v>
      </c>
      <c r="R118" s="227">
        <v>1.05</v>
      </c>
      <c r="T118" s="268">
        <f t="shared" si="105"/>
        <v>0</v>
      </c>
      <c r="U118" s="268"/>
      <c r="V118" s="602" t="s">
        <v>206</v>
      </c>
      <c r="W118" s="254" t="s">
        <v>927</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1">B79</f>
        <v>RHTRMFIWE1</v>
      </c>
      <c r="C119" s="233" t="str">
        <f t="shared" si="201"/>
        <v>Residential Heating Technology Rural Multi - Fire wood - Existing 1</v>
      </c>
      <c r="D119" s="233" t="str">
        <f t="shared" si="201"/>
        <v>Rural</v>
      </c>
      <c r="E119" s="233" t="str">
        <f t="shared" si="201"/>
        <v>Multi storey</v>
      </c>
      <c r="F119" s="233" t="str">
        <f t="shared" si="201"/>
        <v>RESFIW</v>
      </c>
      <c r="G119" s="233" t="str">
        <f t="shared" si="201"/>
        <v>RESHRMB</v>
      </c>
      <c r="H119" s="259">
        <v>2018</v>
      </c>
      <c r="I119" s="250">
        <f t="shared" si="197"/>
        <v>327.60000000000002</v>
      </c>
      <c r="J119" s="250">
        <f t="shared" si="198"/>
        <v>0</v>
      </c>
      <c r="K119" s="250">
        <f t="shared" si="199"/>
        <v>0</v>
      </c>
      <c r="L119" s="462">
        <v>0.67</v>
      </c>
      <c r="M119" s="462">
        <v>0.67</v>
      </c>
      <c r="N119" s="462">
        <v>0.67</v>
      </c>
      <c r="O119" s="244">
        <f>31.536/1000</f>
        <v>3.1536000000000002E-2</v>
      </c>
      <c r="P119" s="460">
        <v>0.2</v>
      </c>
      <c r="Q119" s="245">
        <v>20</v>
      </c>
      <c r="R119" s="227">
        <v>1.05</v>
      </c>
      <c r="T119" s="268">
        <f t="shared" si="105"/>
        <v>3.0839383880597016</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1.9675049485</v>
      </c>
      <c r="AC119" s="251">
        <f t="shared" si="178"/>
        <v>0</v>
      </c>
      <c r="AD119" s="446">
        <f t="shared" si="179"/>
        <v>0</v>
      </c>
      <c r="AU119" s="260"/>
      <c r="AZ119" s="252"/>
    </row>
    <row r="120" spans="2:52" ht="15" customHeight="1">
      <c r="B120" s="233" t="str">
        <f t="shared" ref="B120:G120" si="202">B80</f>
        <v>RHTRMCOAE1</v>
      </c>
      <c r="C120" s="233" t="str">
        <f t="shared" si="202"/>
        <v>Residential Heating Technology Rural Multi - Coal - Existing 1</v>
      </c>
      <c r="D120" s="233" t="str">
        <f t="shared" si="202"/>
        <v>Rural</v>
      </c>
      <c r="E120" s="233" t="str">
        <f t="shared" si="202"/>
        <v>Multi storey</v>
      </c>
      <c r="F120" s="233" t="str">
        <f t="shared" si="202"/>
        <v>RESCOA</v>
      </c>
      <c r="G120" s="233" t="str">
        <f t="shared" si="202"/>
        <v>RESHRMB</v>
      </c>
      <c r="H120" s="259">
        <v>2018</v>
      </c>
      <c r="I120" s="250">
        <f t="shared" si="197"/>
        <v>34.700000000000003</v>
      </c>
      <c r="J120" s="250">
        <f t="shared" si="198"/>
        <v>0</v>
      </c>
      <c r="K120" s="250">
        <f t="shared" si="199"/>
        <v>0</v>
      </c>
      <c r="L120" s="462">
        <v>0.72</v>
      </c>
      <c r="M120" s="462">
        <v>0.72</v>
      </c>
      <c r="N120" s="462">
        <v>0.72</v>
      </c>
      <c r="O120" s="244">
        <f t="shared" si="185"/>
        <v>3.1536000000000002E-2</v>
      </c>
      <c r="P120" s="460">
        <v>0.2</v>
      </c>
      <c r="Q120" s="245">
        <v>20</v>
      </c>
      <c r="R120" s="227">
        <v>1.05</v>
      </c>
      <c r="T120" s="268">
        <f t="shared" si="105"/>
        <v>0.30397200000000008</v>
      </c>
      <c r="U120" s="268"/>
      <c r="V120" s="602" t="str">
        <f>'Data manipulation'!$B$23</f>
        <v>Solid fossil fuels, peat, peat products, oil shale and oil sands</v>
      </c>
      <c r="W120" s="254" t="s">
        <v>924</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3">B81</f>
        <v>RHTRMSOLE1</v>
      </c>
      <c r="C121" s="233" t="str">
        <f t="shared" si="203"/>
        <v>Residential Heating Technology Rural Multi - Solar - Existing 1</v>
      </c>
      <c r="D121" s="233" t="str">
        <f t="shared" si="203"/>
        <v>Rural</v>
      </c>
      <c r="E121" s="233" t="str">
        <f t="shared" si="203"/>
        <v>Multi storey</v>
      </c>
      <c r="F121" s="233" t="str">
        <f t="shared" si="203"/>
        <v>RESSOL</v>
      </c>
      <c r="G121" s="233" t="str">
        <f t="shared" si="203"/>
        <v>RESHRMB</v>
      </c>
      <c r="H121" s="259">
        <v>2018</v>
      </c>
      <c r="I121" s="250">
        <f t="shared" si="197"/>
        <v>9.4</v>
      </c>
      <c r="J121" s="250">
        <f t="shared" si="198"/>
        <v>0</v>
      </c>
      <c r="K121" s="250">
        <f t="shared" si="199"/>
        <v>0</v>
      </c>
      <c r="L121" s="462">
        <v>1</v>
      </c>
      <c r="M121" s="462">
        <v>1</v>
      </c>
      <c r="N121" s="462">
        <v>1</v>
      </c>
      <c r="O121" s="244">
        <f t="shared" si="185"/>
        <v>3.1536000000000002E-2</v>
      </c>
      <c r="P121" s="460">
        <v>0.2</v>
      </c>
      <c r="Q121" s="245">
        <v>20</v>
      </c>
      <c r="R121" s="227">
        <v>1.05</v>
      </c>
      <c r="T121" s="268">
        <f t="shared" si="105"/>
        <v>5.9287680000000009E-2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4">B82</f>
        <v>RHTRMELCHE1</v>
      </c>
      <c r="C122" s="233" t="str">
        <f t="shared" si="204"/>
        <v>Residential Heating Technology Rural Multi - Electricity Heating - Existing 1</v>
      </c>
      <c r="D122" s="233" t="str">
        <f t="shared" si="204"/>
        <v>Rural</v>
      </c>
      <c r="E122" s="233" t="str">
        <f t="shared" si="204"/>
        <v>Multi storey</v>
      </c>
      <c r="F122" s="233" t="str">
        <f t="shared" si="204"/>
        <v>RESELCH</v>
      </c>
      <c r="G122" s="233" t="str">
        <f t="shared" si="204"/>
        <v>RESHRMB</v>
      </c>
      <c r="H122" s="259">
        <v>2018</v>
      </c>
      <c r="I122" s="250">
        <f t="shared" si="197"/>
        <v>62.6</v>
      </c>
      <c r="J122" s="250">
        <f t="shared" si="198"/>
        <v>0</v>
      </c>
      <c r="K122" s="250">
        <f t="shared" si="199"/>
        <v>0</v>
      </c>
      <c r="L122" s="462">
        <v>1</v>
      </c>
      <c r="M122" s="462">
        <v>1</v>
      </c>
      <c r="N122" s="462">
        <v>1</v>
      </c>
      <c r="O122" s="244">
        <f t="shared" si="185"/>
        <v>3.1536000000000002E-2</v>
      </c>
      <c r="P122" s="460">
        <v>0.2</v>
      </c>
      <c r="Q122" s="245">
        <v>30</v>
      </c>
      <c r="R122" s="227">
        <v>1.05</v>
      </c>
      <c r="T122" s="268">
        <f t="shared" si="105"/>
        <v>0.39483072000000008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5">B83</f>
        <v>RHTRMELCHE2</v>
      </c>
      <c r="C123" s="233" t="str">
        <f t="shared" si="205"/>
        <v>Residential Heating Technology Rural Multi - Electricity Heating - Existing 2</v>
      </c>
      <c r="D123" s="233" t="str">
        <f t="shared" si="205"/>
        <v>Rural</v>
      </c>
      <c r="E123" s="233" t="str">
        <f t="shared" si="205"/>
        <v>Multi storey</v>
      </c>
      <c r="F123" s="233" t="str">
        <f t="shared" si="205"/>
        <v>RESELCH</v>
      </c>
      <c r="G123" s="233" t="str">
        <f t="shared" si="205"/>
        <v>RESHRMB</v>
      </c>
      <c r="H123" s="259">
        <v>2018</v>
      </c>
      <c r="I123" s="250">
        <f t="shared" si="197"/>
        <v>218.29999999999998</v>
      </c>
      <c r="J123" s="250">
        <f t="shared" si="198"/>
        <v>0</v>
      </c>
      <c r="K123" s="250">
        <f t="shared" si="199"/>
        <v>0</v>
      </c>
      <c r="L123" s="462">
        <v>2.3149999999999999</v>
      </c>
      <c r="M123" s="462">
        <v>2.3149999999999999</v>
      </c>
      <c r="N123" s="462">
        <v>2.3149999999999999</v>
      </c>
      <c r="O123" s="244">
        <f t="shared" si="185"/>
        <v>3.1536000000000002E-2</v>
      </c>
      <c r="P123" s="460">
        <v>0.2</v>
      </c>
      <c r="Q123" s="245">
        <v>30</v>
      </c>
      <c r="R123" s="227">
        <v>1.05</v>
      </c>
      <c r="T123" s="268">
        <f t="shared" si="105"/>
        <v>0.59475669978401724</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6">B84</f>
        <v>RHTRMHCEE1</v>
      </c>
      <c r="C124" s="233" t="str">
        <f t="shared" si="206"/>
        <v>Residential Heating Technology Rural Multi - District heating Central - Existing 1</v>
      </c>
      <c r="D124" s="233" t="str">
        <f t="shared" si="206"/>
        <v>Rural</v>
      </c>
      <c r="E124" s="233" t="str">
        <f t="shared" si="206"/>
        <v>Multi storey</v>
      </c>
      <c r="F124" s="233" t="str">
        <f t="shared" si="206"/>
        <v>RESHDE</v>
      </c>
      <c r="G124" s="233" t="str">
        <f t="shared" si="206"/>
        <v>RESHRMX</v>
      </c>
      <c r="H124" s="261">
        <v>2018</v>
      </c>
      <c r="I124" s="572">
        <v>0</v>
      </c>
      <c r="J124" s="572">
        <v>0</v>
      </c>
      <c r="K124" s="572">
        <v>0</v>
      </c>
      <c r="L124" s="462">
        <v>0.98</v>
      </c>
      <c r="M124" s="462">
        <v>0.98</v>
      </c>
      <c r="N124" s="462">
        <v>0.98</v>
      </c>
      <c r="O124" s="244">
        <f t="shared" si="185"/>
        <v>3.1536000000000002E-2</v>
      </c>
      <c r="P124" s="460">
        <v>0.2</v>
      </c>
      <c r="Q124" s="245">
        <v>30</v>
      </c>
      <c r="R124" s="227">
        <v>1.05</v>
      </c>
      <c r="T124" s="268">
        <f t="shared" si="105"/>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7">B85</f>
        <v>RHTRMLPGE1</v>
      </c>
      <c r="C125" s="233" t="str">
        <f t="shared" si="207"/>
        <v>Residential Heating Technology Rural Multi - LPG - Existing 1</v>
      </c>
      <c r="D125" s="233" t="str">
        <f t="shared" si="207"/>
        <v>Rural</v>
      </c>
      <c r="E125" s="233" t="str">
        <f t="shared" si="207"/>
        <v>Multi storey</v>
      </c>
      <c r="F125" s="233" t="str">
        <f t="shared" si="207"/>
        <v>RESLPG</v>
      </c>
      <c r="G125" s="233" t="str">
        <f t="shared" si="207"/>
        <v>RESHRMB</v>
      </c>
      <c r="H125" s="261">
        <v>2018</v>
      </c>
      <c r="I125" s="297">
        <f t="shared" ref="I125" si="208">ROUNDUP(AB125/($O125*$P125)*$R125,1)</f>
        <v>70.399999999999991</v>
      </c>
      <c r="J125" s="297">
        <f t="shared" ref="J125" si="209">ROUNDUP(AC125/($O125*$P125)*$R125,1)</f>
        <v>0</v>
      </c>
      <c r="K125" s="297">
        <f t="shared" ref="K125" si="210">ROUNDUP(AD125/($O125*$P125)*$R125,1)</f>
        <v>0</v>
      </c>
      <c r="L125" s="462">
        <v>0.98</v>
      </c>
      <c r="M125" s="462">
        <v>0.98</v>
      </c>
      <c r="N125" s="462">
        <v>0.98</v>
      </c>
      <c r="O125" s="244">
        <f t="shared" si="185"/>
        <v>3.1536000000000002E-2</v>
      </c>
      <c r="P125" s="460">
        <v>0.2</v>
      </c>
      <c r="Q125" s="245">
        <v>30</v>
      </c>
      <c r="R125" s="227">
        <v>1.05</v>
      </c>
      <c r="T125" s="268">
        <f t="shared" si="105"/>
        <v>0.45308865306122448</v>
      </c>
      <c r="U125" s="268"/>
      <c r="V125" s="602" t="str">
        <f>'Data manipulation'!$B$25</f>
        <v>Liquefied natural gas</v>
      </c>
      <c r="W125" s="428" t="s">
        <v>798</v>
      </c>
      <c r="X125" s="246">
        <v>2018</v>
      </c>
      <c r="Y125" s="435">
        <f>_xlfn.IFNA(INDEX('Data manipulation'!$C$23:$O$39,MATCH($V125,'Data manipulation'!$B$23:$B$39,0),MATCH($X125,'Data manipulation'!$C$22:$O$22,0))/1000,0)*SUMIFS('Regional split'!$F$4:$F$6,'Regional split'!$B$4:$B$6,Y$3)*SUMIFS('Data manipulation'!$V$39:$V$42,'Data manipulation'!$X$39:$X$42,$E125,'Data manipulation'!$Y$39:$Y$42,$D125)</f>
        <v>0.43109234000000002</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0.42247049320000002</v>
      </c>
      <c r="AC125" s="433">
        <f t="shared" si="178"/>
        <v>0</v>
      </c>
      <c r="AD125" s="454">
        <f t="shared" si="179"/>
        <v>0</v>
      </c>
      <c r="AU125" s="260"/>
      <c r="AZ125" s="252"/>
    </row>
    <row r="126" spans="2:52" ht="15" customHeight="1">
      <c r="B126" s="227" t="str">
        <f>B86</f>
        <v>RHTUDNGAE1</v>
      </c>
      <c r="C126" s="227" t="str">
        <f t="shared" ref="C126:G126" si="211">C86</f>
        <v>Residential Heating Technology Urban Detached - Natural Gas - Existing 1</v>
      </c>
      <c r="D126" s="227" t="str">
        <f t="shared" si="211"/>
        <v>Urban</v>
      </c>
      <c r="E126" s="227" t="str">
        <f t="shared" si="211"/>
        <v>Detached</v>
      </c>
      <c r="F126" s="227" t="str">
        <f t="shared" si="211"/>
        <v>RESNGA,RESSNG,RESBGA</v>
      </c>
      <c r="G126" s="227" t="str">
        <f t="shared" si="211"/>
        <v>RESHUDB</v>
      </c>
      <c r="H126" s="230">
        <v>2019</v>
      </c>
      <c r="I126" s="250">
        <f>ROUNDUP(AB126/($O126*$P126)*$R126,1)</f>
        <v>37452.699999999997</v>
      </c>
      <c r="J126" s="250">
        <f>ROUNDUP(AC126/($O126*$P126)*$R126,1)</f>
        <v>0</v>
      </c>
      <c r="K126" s="250">
        <f>ROUNDUP(AD126/($O126*$P126)*$R126,1)</f>
        <v>0</v>
      </c>
      <c r="L126" s="462">
        <v>0.72</v>
      </c>
      <c r="M126" s="462">
        <v>0.72</v>
      </c>
      <c r="N126" s="462">
        <v>0.72</v>
      </c>
      <c r="O126" s="244">
        <f>31.536/1000</f>
        <v>3.1536000000000002E-2</v>
      </c>
      <c r="P126" s="460">
        <v>0.2</v>
      </c>
      <c r="Q126" s="245">
        <v>22</v>
      </c>
      <c r="R126" s="227">
        <v>1.05</v>
      </c>
      <c r="T126" s="268">
        <f t="shared" ref="T126:T165" si="212">SUM(I126:K126)*O126*P126/L126</f>
        <v>328.08565200000004</v>
      </c>
      <c r="U126" s="268"/>
      <c r="V126" s="602"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312.46247172</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224.97297963839998</v>
      </c>
      <c r="AC126" s="251">
        <f t="shared" si="178"/>
        <v>0</v>
      </c>
      <c r="AD126" s="446">
        <f t="shared" si="179"/>
        <v>0</v>
      </c>
      <c r="AE126" s="262"/>
      <c r="AU126" s="260"/>
      <c r="AZ126" s="252"/>
    </row>
    <row r="127" spans="2:52" ht="15" customHeight="1">
      <c r="B127" s="227" t="str">
        <f t="shared" ref="B127:G127" si="213">B87</f>
        <v>RHTUDDSLE1</v>
      </c>
      <c r="C127" s="227" t="str">
        <f t="shared" si="213"/>
        <v>Residential Heating Technology Urban Detached - Diesel - Existing 1</v>
      </c>
      <c r="D127" s="227" t="str">
        <f t="shared" si="213"/>
        <v>Urban</v>
      </c>
      <c r="E127" s="227" t="str">
        <f t="shared" si="213"/>
        <v>Detached</v>
      </c>
      <c r="F127" s="227" t="str">
        <f t="shared" si="213"/>
        <v>RESDSL,RESDSB</v>
      </c>
      <c r="G127" s="227" t="str">
        <f t="shared" si="213"/>
        <v>RESHUDB</v>
      </c>
      <c r="H127" s="230">
        <v>2019</v>
      </c>
      <c r="I127" s="250">
        <f t="shared" ref="I127:I134" si="214">ROUNDUP(AB127/($O127*$P127)*$R127,1)</f>
        <v>40074.699999999997</v>
      </c>
      <c r="J127" s="250">
        <f t="shared" ref="J127:J133" si="215">ROUNDUP(AC127/($O127*$P127)*$R127,1)</f>
        <v>0</v>
      </c>
      <c r="K127" s="250">
        <f t="shared" ref="K127:K133" si="216">ROUNDUP(AD127/($O127*$P127)*$R127,1)</f>
        <v>0</v>
      </c>
      <c r="L127" s="462">
        <v>0.71</v>
      </c>
      <c r="M127" s="462">
        <v>0.71</v>
      </c>
      <c r="N127" s="462">
        <v>0.71</v>
      </c>
      <c r="O127" s="244">
        <f>31.536/1000</f>
        <v>3.1536000000000002E-2</v>
      </c>
      <c r="P127" s="460">
        <v>0.2</v>
      </c>
      <c r="Q127" s="245">
        <v>20</v>
      </c>
      <c r="R127" s="227">
        <v>1.05</v>
      </c>
      <c r="T127" s="268">
        <f t="shared" si="212"/>
        <v>355.99879977464792</v>
      </c>
      <c r="V127" s="602" t="str">
        <f>'Data manipulation'!$B$35</f>
        <v>Oil products</v>
      </c>
      <c r="W127" s="254" t="s">
        <v>757</v>
      </c>
      <c r="X127" s="246">
        <v>2019</v>
      </c>
      <c r="Y127" s="434">
        <f>_xlfn.IFNA(INDEX('Data manipulation'!$C$23:$O$39,MATCH($V127,'Data manipulation'!$B$23:$B$39,0),MATCH($X127,'Data manipulation'!$C$22:$O$22,0))/1000,0)*SUMIFS('Regional split'!$F$4:$F$6,'Regional split'!$B$4:$B$6,Y$3)*SUMIFS('Data manipulation'!$V$39:$V$42,'Data manipulation'!$X$39:$X$42,$E127,'Data manipulation'!$Y$39:$Y$42,$D127)</f>
        <v>339.04578875999999</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240.72251001959998</v>
      </c>
      <c r="AC127" s="251">
        <f t="shared" si="178"/>
        <v>0</v>
      </c>
      <c r="AD127" s="446">
        <f t="shared" si="179"/>
        <v>0</v>
      </c>
      <c r="AE127" s="262"/>
      <c r="AU127" s="260"/>
      <c r="AZ127" s="252"/>
    </row>
    <row r="128" spans="2:52" ht="15" customHeight="1">
      <c r="B128" s="227" t="str">
        <f t="shared" ref="B128:G128" si="217">B88</f>
        <v>RHTUDWPEE1</v>
      </c>
      <c r="C128" s="227" t="str">
        <f t="shared" si="217"/>
        <v>Residential Heating Technology Urban Detached - Wood pellets - Existing 1</v>
      </c>
      <c r="D128" s="227" t="str">
        <f t="shared" si="217"/>
        <v>Urban</v>
      </c>
      <c r="E128" s="227" t="str">
        <f t="shared" si="217"/>
        <v>Detached</v>
      </c>
      <c r="F128" s="227" t="str">
        <f t="shared" si="217"/>
        <v>RESWPE</v>
      </c>
      <c r="G128" s="227" t="str">
        <f t="shared" si="217"/>
        <v>RESHUDB</v>
      </c>
      <c r="H128" s="230">
        <v>2019</v>
      </c>
      <c r="I128" s="250">
        <f t="shared" si="214"/>
        <v>0</v>
      </c>
      <c r="J128" s="250">
        <f t="shared" si="215"/>
        <v>0</v>
      </c>
      <c r="K128" s="250">
        <f t="shared" si="216"/>
        <v>0</v>
      </c>
      <c r="L128" s="462">
        <v>0.61</v>
      </c>
      <c r="M128" s="462">
        <v>0.61</v>
      </c>
      <c r="N128" s="462">
        <v>0.61</v>
      </c>
      <c r="O128" s="244">
        <f t="shared" ref="O128:O145" si="218">31.536/1000</f>
        <v>3.1536000000000002E-2</v>
      </c>
      <c r="P128" s="460">
        <v>0.2</v>
      </c>
      <c r="Q128" s="245">
        <v>20</v>
      </c>
      <c r="R128" s="227">
        <v>1.05</v>
      </c>
      <c r="T128" s="268">
        <f t="shared" si="212"/>
        <v>0</v>
      </c>
      <c r="U128" s="268"/>
      <c r="V128" s="602" t="s">
        <v>206</v>
      </c>
      <c r="W128" s="254" t="s">
        <v>927</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19">B89</f>
        <v>RHTUDFIWE1</v>
      </c>
      <c r="C129" s="227" t="str">
        <f t="shared" si="219"/>
        <v>Residential Heating Technology Urban Detached - Fire wood - Existing 1</v>
      </c>
      <c r="D129" s="227" t="str">
        <f t="shared" si="219"/>
        <v>Urban</v>
      </c>
      <c r="E129" s="227" t="str">
        <f t="shared" si="219"/>
        <v>Detached</v>
      </c>
      <c r="F129" s="227" t="str">
        <f t="shared" si="219"/>
        <v>RESFIW</v>
      </c>
      <c r="G129" s="227" t="str">
        <f t="shared" si="219"/>
        <v>RESHUDB</v>
      </c>
      <c r="H129" s="230">
        <v>2019</v>
      </c>
      <c r="I129" s="250">
        <f t="shared" si="214"/>
        <v>9869.7000000000007</v>
      </c>
      <c r="J129" s="250">
        <f t="shared" si="215"/>
        <v>0</v>
      </c>
      <c r="K129" s="250">
        <f t="shared" si="216"/>
        <v>0</v>
      </c>
      <c r="L129" s="462">
        <v>0.65000022993955098</v>
      </c>
      <c r="M129" s="462">
        <v>0.65000022993955098</v>
      </c>
      <c r="N129" s="462">
        <v>0.65000022993955098</v>
      </c>
      <c r="O129" s="244">
        <f t="shared" si="218"/>
        <v>3.1536000000000002E-2</v>
      </c>
      <c r="P129" s="460">
        <v>0.2</v>
      </c>
      <c r="Q129" s="245">
        <v>20</v>
      </c>
      <c r="R129" s="227">
        <v>1.05</v>
      </c>
      <c r="T129" s="268">
        <f t="shared" si="212"/>
        <v>95.769461259712443</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59.285778503523787</v>
      </c>
      <c r="AC129" s="251">
        <f t="shared" si="178"/>
        <v>0</v>
      </c>
      <c r="AD129" s="446">
        <f t="shared" si="179"/>
        <v>0</v>
      </c>
      <c r="AE129" s="262"/>
      <c r="AU129" s="260"/>
      <c r="AZ129" s="252"/>
    </row>
    <row r="130" spans="2:52" ht="15" customHeight="1">
      <c r="B130" s="233" t="str">
        <f t="shared" ref="B130:G130" si="220">B90</f>
        <v>RHTUDCOAE1</v>
      </c>
      <c r="C130" s="233" t="str">
        <f t="shared" si="220"/>
        <v>Residential Heating Technology Urban Detached - Coal - Existing 1</v>
      </c>
      <c r="D130" s="233" t="str">
        <f t="shared" si="220"/>
        <v>Urban</v>
      </c>
      <c r="E130" s="233" t="str">
        <f t="shared" si="220"/>
        <v>Detached</v>
      </c>
      <c r="F130" s="233" t="str">
        <f t="shared" si="220"/>
        <v>RESCOA</v>
      </c>
      <c r="G130" s="233" t="str">
        <f t="shared" si="220"/>
        <v>RESHUDB</v>
      </c>
      <c r="H130" s="230">
        <v>2019</v>
      </c>
      <c r="I130" s="250">
        <f t="shared" si="214"/>
        <v>707.5</v>
      </c>
      <c r="J130" s="250">
        <f t="shared" si="215"/>
        <v>0</v>
      </c>
      <c r="K130" s="250">
        <f t="shared" si="216"/>
        <v>0</v>
      </c>
      <c r="L130" s="462">
        <v>0.7</v>
      </c>
      <c r="M130" s="462">
        <v>0.7</v>
      </c>
      <c r="N130" s="462">
        <v>0.7</v>
      </c>
      <c r="O130" s="244">
        <f t="shared" si="218"/>
        <v>3.1536000000000002E-2</v>
      </c>
      <c r="P130" s="460">
        <v>0.2</v>
      </c>
      <c r="Q130" s="245">
        <v>20</v>
      </c>
      <c r="R130" s="227">
        <v>1.05</v>
      </c>
      <c r="T130" s="268">
        <f t="shared" si="212"/>
        <v>6.3747771428571447</v>
      </c>
      <c r="U130" s="268"/>
      <c r="V130" s="602" t="str">
        <f>'Data manipulation'!$B$23</f>
        <v>Solid fossil fuels, peat, peat products, oil shale and oil sands</v>
      </c>
      <c r="W130" s="254" t="s">
        <v>924</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1">B91</f>
        <v>RHTUDSOLE1</v>
      </c>
      <c r="C131" s="233" t="str">
        <f t="shared" si="221"/>
        <v>Residential Heating Technology Urban Detached - Solar - Existing 1</v>
      </c>
      <c r="D131" s="233" t="str">
        <f t="shared" si="221"/>
        <v>Urban</v>
      </c>
      <c r="E131" s="233" t="str">
        <f t="shared" si="221"/>
        <v>Detached</v>
      </c>
      <c r="F131" s="233" t="str">
        <f t="shared" si="221"/>
        <v>RESSOL</v>
      </c>
      <c r="G131" s="233" t="str">
        <f t="shared" si="221"/>
        <v>RESHUDB</v>
      </c>
      <c r="H131" s="230">
        <v>2019</v>
      </c>
      <c r="I131" s="250">
        <f t="shared" si="214"/>
        <v>267.60000000000002</v>
      </c>
      <c r="J131" s="250">
        <f t="shared" si="215"/>
        <v>0</v>
      </c>
      <c r="K131" s="250">
        <f t="shared" si="216"/>
        <v>0</v>
      </c>
      <c r="L131" s="462">
        <v>1</v>
      </c>
      <c r="M131" s="462">
        <v>1</v>
      </c>
      <c r="N131" s="462">
        <v>1</v>
      </c>
      <c r="O131" s="244">
        <f t="shared" si="218"/>
        <v>3.1536000000000002E-2</v>
      </c>
      <c r="P131" s="460">
        <v>0.2</v>
      </c>
      <c r="Q131" s="245">
        <v>20</v>
      </c>
      <c r="R131" s="227">
        <v>1.05</v>
      </c>
      <c r="T131" s="268">
        <f t="shared" si="212"/>
        <v>1.6878067200000004</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2">B92</f>
        <v>RHTUDELCHE1</v>
      </c>
      <c r="C132" s="233" t="str">
        <f t="shared" si="222"/>
        <v>Residential Heating Technology Urban Detached - Electricity Heating - Existing 1</v>
      </c>
      <c r="D132" s="233" t="str">
        <f t="shared" si="222"/>
        <v>Urban</v>
      </c>
      <c r="E132" s="233" t="str">
        <f t="shared" si="222"/>
        <v>Detached</v>
      </c>
      <c r="F132" s="233" t="str">
        <f t="shared" si="222"/>
        <v>RESELCH</v>
      </c>
      <c r="G132" s="233" t="str">
        <f t="shared" si="222"/>
        <v>RESHUDB</v>
      </c>
      <c r="H132" s="230">
        <v>2019</v>
      </c>
      <c r="I132" s="250">
        <f t="shared" si="214"/>
        <v>1902.8999999999999</v>
      </c>
      <c r="J132" s="250">
        <f t="shared" si="215"/>
        <v>0</v>
      </c>
      <c r="K132" s="250">
        <f t="shared" si="216"/>
        <v>0</v>
      </c>
      <c r="L132" s="462">
        <v>1</v>
      </c>
      <c r="M132" s="462">
        <v>1</v>
      </c>
      <c r="N132" s="462">
        <v>1</v>
      </c>
      <c r="O132" s="244">
        <f t="shared" si="218"/>
        <v>3.1536000000000002E-2</v>
      </c>
      <c r="P132" s="460">
        <v>0.2</v>
      </c>
      <c r="Q132" s="245">
        <v>30</v>
      </c>
      <c r="R132" s="227">
        <v>1.05</v>
      </c>
      <c r="T132" s="268">
        <f t="shared" si="212"/>
        <v>12.001970880000002</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3">B93</f>
        <v>RHTUDELCHE2</v>
      </c>
      <c r="C133" s="233" t="str">
        <f t="shared" si="223"/>
        <v>Residential Heating Technology Urban Detached - Electricity Heating - Existing 2</v>
      </c>
      <c r="D133" s="233" t="str">
        <f t="shared" si="223"/>
        <v>Urban</v>
      </c>
      <c r="E133" s="233" t="str">
        <f t="shared" si="223"/>
        <v>Detached</v>
      </c>
      <c r="F133" s="233" t="str">
        <f t="shared" si="223"/>
        <v>RESELCH</v>
      </c>
      <c r="G133" s="233" t="str">
        <f t="shared" si="223"/>
        <v>RESHUDB</v>
      </c>
      <c r="H133" s="230">
        <v>2019</v>
      </c>
      <c r="I133" s="250">
        <f t="shared" si="214"/>
        <v>7087.3</v>
      </c>
      <c r="J133" s="250">
        <f t="shared" si="215"/>
        <v>0</v>
      </c>
      <c r="K133" s="250">
        <f t="shared" si="216"/>
        <v>0</v>
      </c>
      <c r="L133" s="462">
        <v>2.3149999999999999</v>
      </c>
      <c r="M133" s="462">
        <v>2.3149999999999999</v>
      </c>
      <c r="N133" s="462">
        <v>2.3149999999999999</v>
      </c>
      <c r="O133" s="244">
        <f t="shared" si="218"/>
        <v>3.1536000000000002E-2</v>
      </c>
      <c r="P133" s="460">
        <v>0.2</v>
      </c>
      <c r="Q133" s="245">
        <v>30</v>
      </c>
      <c r="R133" s="227">
        <v>1.05</v>
      </c>
      <c r="T133" s="268">
        <f t="shared" si="212"/>
        <v>19.309295274298059</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4">B94</f>
        <v>RHTUDHCEE1</v>
      </c>
      <c r="C134" s="233" t="str">
        <f t="shared" si="224"/>
        <v>Residential Heating Technology Urban Detached - District heating Central - Existing 1</v>
      </c>
      <c r="D134" s="233" t="str">
        <f t="shared" si="224"/>
        <v>Urban</v>
      </c>
      <c r="E134" s="233" t="str">
        <f t="shared" si="224"/>
        <v>Detached</v>
      </c>
      <c r="F134" s="233" t="str">
        <f t="shared" si="224"/>
        <v>RESHCE</v>
      </c>
      <c r="G134" s="233" t="str">
        <f t="shared" si="224"/>
        <v>RESHUDX</v>
      </c>
      <c r="H134" s="230">
        <v>2019</v>
      </c>
      <c r="I134" s="250">
        <f t="shared" si="214"/>
        <v>9252.5</v>
      </c>
      <c r="J134" s="572">
        <v>0</v>
      </c>
      <c r="K134" s="572">
        <v>0</v>
      </c>
      <c r="L134" s="462">
        <v>0.95</v>
      </c>
      <c r="M134" s="462">
        <v>0.95</v>
      </c>
      <c r="N134" s="462">
        <v>0.95</v>
      </c>
      <c r="O134" s="244">
        <f t="shared" si="218"/>
        <v>3.1536000000000002E-2</v>
      </c>
      <c r="P134" s="460">
        <v>0.2</v>
      </c>
      <c r="Q134" s="245">
        <v>30</v>
      </c>
      <c r="R134" s="227">
        <v>1.05</v>
      </c>
      <c r="T134" s="268">
        <f t="shared" si="212"/>
        <v>61.428808421052643</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5">B95</f>
        <v>RHTUDLPGE1</v>
      </c>
      <c r="C135" s="255" t="str">
        <f t="shared" si="225"/>
        <v>Residential Heating Technology Urban Detached - LPG - Existing 1</v>
      </c>
      <c r="D135" s="535" t="str">
        <f t="shared" si="225"/>
        <v>Urban</v>
      </c>
      <c r="E135" s="535" t="str">
        <f t="shared" si="225"/>
        <v>Detached</v>
      </c>
      <c r="F135" s="255" t="str">
        <f t="shared" si="225"/>
        <v>RESLPG</v>
      </c>
      <c r="G135" s="255" t="str">
        <f t="shared" si="225"/>
        <v>RESHUDB</v>
      </c>
      <c r="H135" s="423">
        <v>2019</v>
      </c>
      <c r="I135" s="297">
        <f t="shared" ref="I135" si="226">ROUNDUP(AB135/($O135*$P135)*$R135,1)</f>
        <v>1860.3999999999999</v>
      </c>
      <c r="J135" s="297">
        <f t="shared" ref="J135" si="227">ROUNDUP(AC135/($O135*$P135)*$R135,1)</f>
        <v>0</v>
      </c>
      <c r="K135" s="297">
        <f t="shared" ref="K135" si="228">ROUNDUP(AD135/($O135*$P135)*$R135,1)</f>
        <v>0</v>
      </c>
      <c r="L135" s="463">
        <v>0.95</v>
      </c>
      <c r="M135" s="463">
        <v>0.95</v>
      </c>
      <c r="N135" s="463">
        <v>0.95</v>
      </c>
      <c r="O135" s="257">
        <f t="shared" si="218"/>
        <v>3.1536000000000002E-2</v>
      </c>
      <c r="P135" s="460">
        <v>0.2</v>
      </c>
      <c r="Q135" s="258">
        <v>30</v>
      </c>
      <c r="R135" s="227">
        <v>1.05</v>
      </c>
      <c r="T135" s="268">
        <f t="shared" si="212"/>
        <v>12.351489347368423</v>
      </c>
      <c r="U135" s="268"/>
      <c r="V135" s="602" t="str">
        <f>'Data manipulation'!$B$25</f>
        <v>Liquefied natural gas</v>
      </c>
      <c r="W135" s="428" t="s">
        <v>798</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29">B96</f>
        <v>RHTRDNGAE1</v>
      </c>
      <c r="C136" s="233" t="str">
        <f t="shared" si="229"/>
        <v>Residential Heating Technology Rural Detached - Natural Gas - Existing 1</v>
      </c>
      <c r="D136" s="233" t="str">
        <f t="shared" si="229"/>
        <v>Rural</v>
      </c>
      <c r="E136" s="233" t="str">
        <f t="shared" si="229"/>
        <v>Detached</v>
      </c>
      <c r="F136" s="233" t="str">
        <f t="shared" si="229"/>
        <v>RESNGA,RESSNG</v>
      </c>
      <c r="G136" s="233" t="str">
        <f t="shared" si="229"/>
        <v>RESHRDB</v>
      </c>
      <c r="H136" s="259">
        <v>2019</v>
      </c>
      <c r="I136" s="250">
        <f>ROUNDUP(AB136/($O136*$P136)*$R136,1)</f>
        <v>31211.899999999998</v>
      </c>
      <c r="J136" s="250">
        <f>ROUNDUP(AC136/($O136*$P136)*$R136,1)</f>
        <v>0</v>
      </c>
      <c r="K136" s="250">
        <f>ROUNDUP(AD136/($O136*$P136)*$R136,1)</f>
        <v>0</v>
      </c>
      <c r="L136" s="462">
        <v>0.79</v>
      </c>
      <c r="M136" s="462">
        <v>0.79</v>
      </c>
      <c r="N136" s="462">
        <v>0.79</v>
      </c>
      <c r="O136" s="244">
        <f t="shared" si="218"/>
        <v>3.1536000000000002E-2</v>
      </c>
      <c r="P136" s="460">
        <v>0.2</v>
      </c>
      <c r="Q136" s="245">
        <v>25</v>
      </c>
      <c r="R136" s="227">
        <v>1.05</v>
      </c>
      <c r="T136" s="268">
        <f t="shared" si="212"/>
        <v>249.18948820253166</v>
      </c>
      <c r="U136" s="268"/>
      <c r="V136" s="602"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237.32268685400001</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187.48492261466001</v>
      </c>
      <c r="AC136" s="278">
        <f t="shared" si="178"/>
        <v>0</v>
      </c>
      <c r="AD136" s="449">
        <f t="shared" si="179"/>
        <v>0</v>
      </c>
      <c r="AU136" s="260"/>
      <c r="AZ136" s="252"/>
    </row>
    <row r="137" spans="2:52" ht="15" customHeight="1">
      <c r="B137" s="233" t="str">
        <f t="shared" ref="B137:G137" si="230">B97</f>
        <v>RHTRDDSLE1</v>
      </c>
      <c r="C137" s="233" t="str">
        <f t="shared" si="230"/>
        <v>Residential Heating Technology Rural Detached - Diesel - Existing 1</v>
      </c>
      <c r="D137" s="233" t="str">
        <f t="shared" si="230"/>
        <v>Rural</v>
      </c>
      <c r="E137" s="233" t="str">
        <f t="shared" si="230"/>
        <v>Detached</v>
      </c>
      <c r="F137" s="233" t="str">
        <f t="shared" si="230"/>
        <v>RESDSL,RESDSB</v>
      </c>
      <c r="G137" s="233" t="str">
        <f t="shared" si="230"/>
        <v>RESHRDB</v>
      </c>
      <c r="H137" s="259">
        <v>2019</v>
      </c>
      <c r="I137" s="250">
        <f t="shared" ref="I137:I143" si="231">ROUNDUP(AB137/($O137*$P137)*$R137,1)</f>
        <v>33867.299999999996</v>
      </c>
      <c r="J137" s="250">
        <f t="shared" ref="J137:J143" si="232">ROUNDUP(AC137/($O137*$P137)*$R137,1)</f>
        <v>0</v>
      </c>
      <c r="K137" s="250">
        <f t="shared" ref="K137:K143" si="233">ROUNDUP(AD137/($O137*$P137)*$R137,1)</f>
        <v>0</v>
      </c>
      <c r="L137" s="462">
        <v>0.79</v>
      </c>
      <c r="M137" s="462">
        <v>0.79</v>
      </c>
      <c r="N137" s="462">
        <v>0.79</v>
      </c>
      <c r="O137" s="244">
        <f t="shared" si="218"/>
        <v>3.1536000000000002E-2</v>
      </c>
      <c r="P137" s="460">
        <v>0.2</v>
      </c>
      <c r="Q137" s="245">
        <v>20</v>
      </c>
      <c r="R137" s="227">
        <v>1.05</v>
      </c>
      <c r="T137" s="268">
        <f t="shared" si="212"/>
        <v>270.38966399999998</v>
      </c>
      <c r="V137" s="602" t="str">
        <f>'Data manipulation'!$B$35</f>
        <v>Oil products</v>
      </c>
      <c r="W137" s="254" t="s">
        <v>757</v>
      </c>
      <c r="X137" s="246">
        <v>2019</v>
      </c>
      <c r="Y137" s="434">
        <f>_xlfn.IFNA(INDEX('Data manipulation'!$C$23:$O$39,MATCH($V137,'Data manipulation'!$B$23:$B$39,0),MATCH($X137,'Data manipulation'!$C$22:$O$22,0))/1000,0)*SUMIFS('Regional split'!$F$4:$F$6,'Regional split'!$B$4:$B$6,Y$3)*SUMIFS('Data manipulation'!$V$39:$V$42,'Data manipulation'!$X$39:$X$42,$E137,'Data manipulation'!$Y$39:$Y$42,$D137)</f>
        <v>257.51334908199999</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203.43554577478</v>
      </c>
      <c r="AC137" s="251">
        <f t="shared" si="178"/>
        <v>0</v>
      </c>
      <c r="AD137" s="446">
        <f t="shared" si="179"/>
        <v>0</v>
      </c>
      <c r="AU137" s="260"/>
      <c r="AZ137" s="252"/>
    </row>
    <row r="138" spans="2:52" ht="15" customHeight="1">
      <c r="B138" s="233" t="str">
        <f t="shared" ref="B138:G138" si="234">B98</f>
        <v>RHTRDWPEE1</v>
      </c>
      <c r="C138" s="233" t="str">
        <f t="shared" si="234"/>
        <v>Residential Heating Technology Rural Detached - Wood pellets - Existing 1</v>
      </c>
      <c r="D138" s="233" t="str">
        <f t="shared" si="234"/>
        <v>Rural</v>
      </c>
      <c r="E138" s="233" t="str">
        <f t="shared" si="234"/>
        <v>Detached</v>
      </c>
      <c r="F138" s="233" t="str">
        <f t="shared" si="234"/>
        <v>RESWPE</v>
      </c>
      <c r="G138" s="233" t="str">
        <f t="shared" si="234"/>
        <v>RESHRDB</v>
      </c>
      <c r="H138" s="259">
        <v>2019</v>
      </c>
      <c r="I138" s="250">
        <f t="shared" si="231"/>
        <v>0</v>
      </c>
      <c r="J138" s="250">
        <f t="shared" si="232"/>
        <v>0</v>
      </c>
      <c r="K138" s="250">
        <f t="shared" si="233"/>
        <v>0</v>
      </c>
      <c r="L138" s="462">
        <v>0.67</v>
      </c>
      <c r="M138" s="462">
        <v>0.67</v>
      </c>
      <c r="N138" s="462">
        <v>0.67</v>
      </c>
      <c r="O138" s="244">
        <f>31.536/1000</f>
        <v>3.1536000000000002E-2</v>
      </c>
      <c r="P138" s="460">
        <v>0.2</v>
      </c>
      <c r="Q138" s="245">
        <v>20</v>
      </c>
      <c r="R138" s="227">
        <v>1.05</v>
      </c>
      <c r="T138" s="268">
        <f t="shared" si="212"/>
        <v>0</v>
      </c>
      <c r="U138" s="268"/>
      <c r="V138" s="602" t="s">
        <v>206</v>
      </c>
      <c r="W138" s="254" t="s">
        <v>927</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5">B99</f>
        <v>RHTRDFIWE1</v>
      </c>
      <c r="C139" s="233" t="str">
        <f t="shared" si="235"/>
        <v>Residential Heating Technology Rural Detached - Fire wood - Existing 1</v>
      </c>
      <c r="D139" s="233" t="str">
        <f t="shared" si="235"/>
        <v>Rural</v>
      </c>
      <c r="E139" s="233" t="str">
        <f t="shared" si="235"/>
        <v>Detached</v>
      </c>
      <c r="F139" s="233" t="str">
        <f t="shared" si="235"/>
        <v>RESFIW</v>
      </c>
      <c r="G139" s="233" t="str">
        <f t="shared" si="235"/>
        <v>RESHRDB</v>
      </c>
      <c r="H139" s="259">
        <v>2019</v>
      </c>
      <c r="I139" s="250">
        <f t="shared" si="231"/>
        <v>7727</v>
      </c>
      <c r="J139" s="250">
        <f t="shared" si="232"/>
        <v>0</v>
      </c>
      <c r="K139" s="250">
        <f t="shared" si="233"/>
        <v>0</v>
      </c>
      <c r="L139" s="462">
        <v>0.67</v>
      </c>
      <c r="M139" s="462">
        <v>0.67</v>
      </c>
      <c r="N139" s="462">
        <v>0.67</v>
      </c>
      <c r="O139" s="244">
        <f>31.536/1000</f>
        <v>3.1536000000000002E-2</v>
      </c>
      <c r="P139" s="460">
        <v>0.2</v>
      </c>
      <c r="Q139" s="245">
        <v>20</v>
      </c>
      <c r="R139" s="227">
        <v>1.05</v>
      </c>
      <c r="T139" s="268">
        <f t="shared" si="212"/>
        <v>72.739902089552245</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46.414450392310002</v>
      </c>
      <c r="AC139" s="251">
        <f t="shared" si="178"/>
        <v>0</v>
      </c>
      <c r="AD139" s="446">
        <f t="shared" si="179"/>
        <v>0</v>
      </c>
      <c r="AU139" s="260"/>
      <c r="AZ139" s="252"/>
    </row>
    <row r="140" spans="2:52" ht="15" customHeight="1">
      <c r="B140" s="233" t="str">
        <f t="shared" ref="B140:G140" si="236">B100</f>
        <v>RHTRDCOAE1</v>
      </c>
      <c r="C140" s="233" t="str">
        <f t="shared" si="236"/>
        <v>Residential Heating Technology Rural Detached - Coal - Existing 1</v>
      </c>
      <c r="D140" s="233" t="str">
        <f t="shared" si="236"/>
        <v>Rural</v>
      </c>
      <c r="E140" s="233" t="str">
        <f t="shared" si="236"/>
        <v>Detached</v>
      </c>
      <c r="F140" s="233" t="str">
        <f t="shared" si="236"/>
        <v>RESCOA</v>
      </c>
      <c r="G140" s="233" t="str">
        <f t="shared" si="236"/>
        <v>RESHRDB</v>
      </c>
      <c r="H140" s="259">
        <v>2019</v>
      </c>
      <c r="I140" s="250">
        <f t="shared" si="231"/>
        <v>552.70000000000005</v>
      </c>
      <c r="J140" s="250">
        <f t="shared" si="232"/>
        <v>0</v>
      </c>
      <c r="K140" s="250">
        <f t="shared" si="233"/>
        <v>0</v>
      </c>
      <c r="L140" s="462">
        <v>0.72</v>
      </c>
      <c r="M140" s="462">
        <v>0.72</v>
      </c>
      <c r="N140" s="462">
        <v>0.72</v>
      </c>
      <c r="O140" s="244">
        <f t="shared" si="218"/>
        <v>3.1536000000000002E-2</v>
      </c>
      <c r="P140" s="460">
        <v>0.2</v>
      </c>
      <c r="Q140" s="245">
        <v>20</v>
      </c>
      <c r="R140" s="227">
        <v>1.05</v>
      </c>
      <c r="T140" s="268">
        <f t="shared" si="212"/>
        <v>4.8416520000000007</v>
      </c>
      <c r="U140" s="268"/>
      <c r="V140" s="602" t="str">
        <f>'Data manipulation'!$B$23</f>
        <v>Solid fossil fuels, peat, peat products, oil shale and oil sands</v>
      </c>
      <c r="W140" s="254" t="s">
        <v>924</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7">B101</f>
        <v>RHTRDSOLE1</v>
      </c>
      <c r="C141" s="233" t="str">
        <f t="shared" si="237"/>
        <v>Residential Heating Technology Rural Detached - Solar - Existing 1</v>
      </c>
      <c r="D141" s="233" t="str">
        <f t="shared" si="237"/>
        <v>Rural</v>
      </c>
      <c r="E141" s="233" t="str">
        <f t="shared" si="237"/>
        <v>Detached</v>
      </c>
      <c r="F141" s="233" t="str">
        <f t="shared" si="237"/>
        <v>RESSOL</v>
      </c>
      <c r="G141" s="233" t="str">
        <f t="shared" si="237"/>
        <v>RESHRDB</v>
      </c>
      <c r="H141" s="259">
        <v>2019</v>
      </c>
      <c r="I141" s="250">
        <f t="shared" si="231"/>
        <v>203.29999999999998</v>
      </c>
      <c r="J141" s="250">
        <f t="shared" si="232"/>
        <v>0</v>
      </c>
      <c r="K141" s="250">
        <f t="shared" si="233"/>
        <v>0</v>
      </c>
      <c r="L141" s="462">
        <v>1</v>
      </c>
      <c r="M141" s="462">
        <v>1</v>
      </c>
      <c r="N141" s="462">
        <v>1</v>
      </c>
      <c r="O141" s="244">
        <f t="shared" si="218"/>
        <v>3.1536000000000002E-2</v>
      </c>
      <c r="P141" s="460">
        <v>0.2</v>
      </c>
      <c r="Q141" s="245">
        <v>20</v>
      </c>
      <c r="R141" s="227">
        <v>1.05</v>
      </c>
      <c r="T141" s="268">
        <f t="shared" si="212"/>
        <v>1.2822537600000001</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8">B102</f>
        <v>RHTRDELCHE1</v>
      </c>
      <c r="C142" s="233" t="str">
        <f t="shared" si="238"/>
        <v>Residential Heating Technology Rural Detached - Electricity Heating - Existing 1</v>
      </c>
      <c r="D142" s="233" t="str">
        <f t="shared" si="238"/>
        <v>Rural</v>
      </c>
      <c r="E142" s="233" t="str">
        <f t="shared" si="238"/>
        <v>Detached</v>
      </c>
      <c r="F142" s="233" t="str">
        <f t="shared" si="238"/>
        <v>RESELCH</v>
      </c>
      <c r="G142" s="233" t="str">
        <f t="shared" si="238"/>
        <v>RESHRDB</v>
      </c>
      <c r="H142" s="259">
        <v>2019</v>
      </c>
      <c r="I142" s="250">
        <f t="shared" si="231"/>
        <v>1445.3</v>
      </c>
      <c r="J142" s="250">
        <f t="shared" si="232"/>
        <v>0</v>
      </c>
      <c r="K142" s="250">
        <f t="shared" si="233"/>
        <v>0</v>
      </c>
      <c r="L142" s="462">
        <v>1</v>
      </c>
      <c r="M142" s="462">
        <v>1</v>
      </c>
      <c r="N142" s="462">
        <v>1</v>
      </c>
      <c r="O142" s="244">
        <f t="shared" si="218"/>
        <v>3.1536000000000002E-2</v>
      </c>
      <c r="P142" s="460">
        <v>0.2</v>
      </c>
      <c r="Q142" s="245">
        <v>30</v>
      </c>
      <c r="R142" s="227">
        <v>1.05</v>
      </c>
      <c r="T142" s="268">
        <f t="shared" si="212"/>
        <v>9.1157961600000004</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39">B103</f>
        <v>RHTRDELCHE2</v>
      </c>
      <c r="C143" s="233" t="str">
        <f t="shared" si="239"/>
        <v>Residential Heating Technology Rural Detached - Electricity Heating - Existing 2</v>
      </c>
      <c r="D143" s="233" t="str">
        <f t="shared" si="239"/>
        <v>Rural</v>
      </c>
      <c r="E143" s="233" t="str">
        <f t="shared" si="239"/>
        <v>Detached</v>
      </c>
      <c r="F143" s="233" t="str">
        <f t="shared" si="239"/>
        <v>RESELCH</v>
      </c>
      <c r="G143" s="233" t="str">
        <f t="shared" si="239"/>
        <v>RESHRDB</v>
      </c>
      <c r="H143" s="259">
        <v>2019</v>
      </c>
      <c r="I143" s="250">
        <f t="shared" si="231"/>
        <v>5382.9000000000005</v>
      </c>
      <c r="J143" s="250">
        <f t="shared" si="232"/>
        <v>0</v>
      </c>
      <c r="K143" s="250">
        <f t="shared" si="233"/>
        <v>0</v>
      </c>
      <c r="L143" s="462">
        <v>2.3149999999999999</v>
      </c>
      <c r="M143" s="462">
        <v>2.3149999999999999</v>
      </c>
      <c r="N143" s="462">
        <v>2.3149999999999999</v>
      </c>
      <c r="O143" s="244">
        <f t="shared" si="218"/>
        <v>3.1536000000000002E-2</v>
      </c>
      <c r="P143" s="460">
        <v>0.2</v>
      </c>
      <c r="Q143" s="245">
        <v>30</v>
      </c>
      <c r="R143" s="227">
        <v>1.05</v>
      </c>
      <c r="T143" s="268">
        <f t="shared" si="212"/>
        <v>14.665670358531321</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0">B104</f>
        <v>RHTRDHCEE1</v>
      </c>
      <c r="C144" s="233" t="str">
        <f t="shared" si="240"/>
        <v>Residential Heating Technology Rural Detached - District heating Central - Existing 1</v>
      </c>
      <c r="D144" s="233" t="str">
        <f t="shared" si="240"/>
        <v>Rural</v>
      </c>
      <c r="E144" s="233" t="str">
        <f t="shared" si="240"/>
        <v>Detached</v>
      </c>
      <c r="F144" s="233" t="str">
        <f t="shared" si="240"/>
        <v>RESHDE</v>
      </c>
      <c r="G144" s="233" t="str">
        <f t="shared" si="240"/>
        <v>RESHRDX</v>
      </c>
      <c r="H144" s="261">
        <v>2019</v>
      </c>
      <c r="I144" s="572">
        <v>0</v>
      </c>
      <c r="J144" s="572">
        <v>0</v>
      </c>
      <c r="K144" s="572">
        <v>0</v>
      </c>
      <c r="L144" s="462">
        <v>0.98</v>
      </c>
      <c r="M144" s="462">
        <v>0.98</v>
      </c>
      <c r="N144" s="462">
        <v>0.98</v>
      </c>
      <c r="O144" s="244">
        <f t="shared" si="218"/>
        <v>3.1536000000000002E-2</v>
      </c>
      <c r="P144" s="460">
        <v>0.2</v>
      </c>
      <c r="Q144" s="245">
        <v>30</v>
      </c>
      <c r="R144" s="227">
        <v>1.05</v>
      </c>
      <c r="T144" s="268">
        <f t="shared" si="212"/>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1">B105</f>
        <v>RHTRDLPGE1</v>
      </c>
      <c r="C145" s="233" t="str">
        <f t="shared" si="241"/>
        <v>Residential Heating Technology Rural Detached - LPG - Existing 1</v>
      </c>
      <c r="D145" s="233" t="str">
        <f t="shared" si="241"/>
        <v>Rural</v>
      </c>
      <c r="E145" s="233" t="str">
        <f t="shared" si="241"/>
        <v>Detached</v>
      </c>
      <c r="F145" s="233" t="str">
        <f t="shared" si="241"/>
        <v>RESLPG</v>
      </c>
      <c r="G145" s="233" t="str">
        <f t="shared" si="241"/>
        <v>RESHRDB</v>
      </c>
      <c r="H145" s="261">
        <v>2019</v>
      </c>
      <c r="I145" s="297">
        <f t="shared" ref="I145" si="242">ROUNDUP(AB145/($O145*$P145)*$R145,1)</f>
        <v>1457.6999999999998</v>
      </c>
      <c r="J145" s="297">
        <f t="shared" ref="J145" si="243">ROUNDUP(AC145/($O145*$P145)*$R145,1)</f>
        <v>0</v>
      </c>
      <c r="K145" s="297">
        <f t="shared" ref="K145" si="244">ROUNDUP(AD145/($O145*$P145)*$R145,1)</f>
        <v>0</v>
      </c>
      <c r="L145" s="462">
        <v>0.98</v>
      </c>
      <c r="M145" s="462">
        <v>0.98</v>
      </c>
      <c r="N145" s="462">
        <v>0.98</v>
      </c>
      <c r="O145" s="244">
        <f t="shared" si="218"/>
        <v>3.1536000000000002E-2</v>
      </c>
      <c r="P145" s="460">
        <v>0.2</v>
      </c>
      <c r="Q145" s="245">
        <v>30</v>
      </c>
      <c r="R145" s="227">
        <v>1.05</v>
      </c>
      <c r="T145" s="268">
        <f t="shared" si="212"/>
        <v>9.3816382040816322</v>
      </c>
      <c r="U145" s="268"/>
      <c r="V145" s="602" t="str">
        <f>'Data manipulation'!$B$25</f>
        <v>Liquefied natural gas</v>
      </c>
      <c r="W145" s="428" t="s">
        <v>798</v>
      </c>
      <c r="X145" s="246">
        <v>2019</v>
      </c>
      <c r="Y145" s="435">
        <f>_xlfn.IFNA(INDEX('Data manipulation'!$C$23:$O$39,MATCH($V145,'Data manipulation'!$B$23:$B$39,0),MATCH($X145,'Data manipulation'!$C$22:$O$22,0))/1000,0)*SUMIFS('Regional split'!$F$4:$F$6,'Regional split'!$B$4:$B$6,Y$3)*SUMIFS('Data manipulation'!$V$39:$V$42,'Data manipulation'!$X$39:$X$42,$E145,'Data manipulation'!$Y$39:$Y$42,$D145)</f>
        <v>8.9343481590000007</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8.7556611958200001</v>
      </c>
      <c r="AC145" s="433">
        <f t="shared" si="178"/>
        <v>0</v>
      </c>
      <c r="AD145" s="454">
        <f t="shared" si="179"/>
        <v>0</v>
      </c>
      <c r="AU145" s="260"/>
      <c r="AZ145" s="252"/>
    </row>
    <row r="146" spans="2:52" ht="15" customHeight="1">
      <c r="B146" s="227" t="str">
        <f t="shared" ref="B146:E146" si="245">B106</f>
        <v>RHTUMNGAE1</v>
      </c>
      <c r="C146" s="227" t="str">
        <f t="shared" si="245"/>
        <v>Residential Heating Technology Urban Multi - Natural Gas - Existing 1</v>
      </c>
      <c r="D146" s="227" t="str">
        <f t="shared" si="245"/>
        <v>Urban</v>
      </c>
      <c r="E146" s="227" t="str">
        <f t="shared" si="245"/>
        <v>Multi storey</v>
      </c>
      <c r="F146" s="227" t="str">
        <f>F106</f>
        <v>RESNGA,RESSNG</v>
      </c>
      <c r="G146" s="227" t="str">
        <f>G106</f>
        <v>RESHUMB</v>
      </c>
      <c r="H146" s="230">
        <v>2019</v>
      </c>
      <c r="I146" s="250">
        <f>ROUNDUP(AB146/($O146*$P146)*$R146,1)</f>
        <v>22025.8</v>
      </c>
      <c r="J146" s="250">
        <f>ROUNDUP(AC146/($O146*$P146)*$R146,1)</f>
        <v>0</v>
      </c>
      <c r="K146" s="250">
        <f>ROUNDUP(AD146/($O146*$P146)*$R146,1)</f>
        <v>0</v>
      </c>
      <c r="L146" s="462">
        <v>0.72</v>
      </c>
      <c r="M146" s="462">
        <v>0.72</v>
      </c>
      <c r="N146" s="462">
        <v>0.72</v>
      </c>
      <c r="O146" s="244">
        <f>31.536/1000</f>
        <v>3.1536000000000002E-2</v>
      </c>
      <c r="P146" s="460">
        <v>0.2</v>
      </c>
      <c r="Q146" s="245">
        <v>22</v>
      </c>
      <c r="R146" s="227">
        <v>1.05</v>
      </c>
      <c r="T146" s="268">
        <f t="shared" si="212"/>
        <v>192.94600800000001</v>
      </c>
      <c r="U146" s="268"/>
      <c r="V146" s="602"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183.75769170199999</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6">Y146*L146</f>
        <v>132.30553802544</v>
      </c>
      <c r="AC146" s="251">
        <f t="shared" ref="AC146:AC165" si="247">Z146*M146</f>
        <v>0</v>
      </c>
      <c r="AD146" s="446">
        <f t="shared" ref="AD146:AD165" si="248">AA146*N146</f>
        <v>0</v>
      </c>
      <c r="AE146" s="262"/>
      <c r="AU146" s="260"/>
      <c r="AZ146" s="252"/>
    </row>
    <row r="147" spans="2:52" ht="15" customHeight="1">
      <c r="B147" s="227" t="str">
        <f t="shared" ref="B147:G147" si="249">B107</f>
        <v>RHTUMDSLE1</v>
      </c>
      <c r="C147" s="227" t="str">
        <f t="shared" si="249"/>
        <v>Residential Heating Technology Urban Multi - Diesel - Existing 1</v>
      </c>
      <c r="D147" s="227" t="str">
        <f t="shared" si="249"/>
        <v>Urban</v>
      </c>
      <c r="E147" s="227" t="str">
        <f t="shared" si="249"/>
        <v>Multi storey</v>
      </c>
      <c r="F147" s="227" t="str">
        <f t="shared" si="249"/>
        <v>RESDSL,RESDSB</v>
      </c>
      <c r="G147" s="227" t="str">
        <f t="shared" si="249"/>
        <v>RESHUMB</v>
      </c>
      <c r="H147" s="230">
        <v>2019</v>
      </c>
      <c r="I147" s="250">
        <f t="shared" ref="I147:I154" si="250">ROUNDUP(AB147/($O147*$P147)*$R147,1)</f>
        <v>23567.699999999997</v>
      </c>
      <c r="J147" s="250">
        <f t="shared" ref="J147:J153" si="251">ROUNDUP(AC147/($O147*$P147)*$R147,1)</f>
        <v>0</v>
      </c>
      <c r="K147" s="250">
        <f t="shared" ref="K147:K153" si="252">ROUNDUP(AD147/($O147*$P147)*$R147,1)</f>
        <v>0</v>
      </c>
      <c r="L147" s="462">
        <v>0.71</v>
      </c>
      <c r="M147" s="462">
        <v>0.71</v>
      </c>
      <c r="N147" s="462">
        <v>0.71</v>
      </c>
      <c r="O147" s="244">
        <f>31.536/1000</f>
        <v>3.1536000000000002E-2</v>
      </c>
      <c r="P147" s="460">
        <v>0.2</v>
      </c>
      <c r="Q147" s="245">
        <v>20</v>
      </c>
      <c r="R147" s="227">
        <v>1.05</v>
      </c>
      <c r="T147" s="268">
        <f t="shared" si="212"/>
        <v>209.36084146478876</v>
      </c>
      <c r="V147" s="602" t="str">
        <f>'Data manipulation'!$B$35</f>
        <v>Oil products</v>
      </c>
      <c r="W147" s="254" t="s">
        <v>757</v>
      </c>
      <c r="X147" s="246">
        <v>2019</v>
      </c>
      <c r="Y147" s="434">
        <f>_xlfn.IFNA(INDEX('Data manipulation'!$C$23:$O$39,MATCH($V147,'Data manipulation'!$B$23:$B$39,0),MATCH($X147,'Data manipulation'!$C$22:$O$22,0))/1000,0)*SUMIFS('Regional split'!$F$4:$F$6,'Regional split'!$B$4:$B$6,Y$3)*SUMIFS('Data manipulation'!$V$39:$V$42,'Data manipulation'!$X$39:$X$42,$E147,'Data manipulation'!$Y$39:$Y$42,$D147)</f>
        <v>199.39121386600002</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6"/>
        <v>141.56776184486</v>
      </c>
      <c r="AC147" s="251">
        <f t="shared" si="247"/>
        <v>0</v>
      </c>
      <c r="AD147" s="446">
        <f t="shared" si="248"/>
        <v>0</v>
      </c>
      <c r="AE147" s="262"/>
      <c r="AU147" s="260"/>
      <c r="AZ147" s="252"/>
    </row>
    <row r="148" spans="2:52" ht="15" customHeight="1">
      <c r="B148" s="227" t="str">
        <f t="shared" ref="B148:G148" si="253">B108</f>
        <v>RHTUMWPEE1</v>
      </c>
      <c r="C148" s="227" t="str">
        <f t="shared" si="253"/>
        <v>Residential Heating Technology Urban Multi - Wood pellets - Existing 1</v>
      </c>
      <c r="D148" s="227" t="str">
        <f t="shared" si="253"/>
        <v>Urban</v>
      </c>
      <c r="E148" s="227" t="str">
        <f t="shared" si="253"/>
        <v>Multi storey</v>
      </c>
      <c r="F148" s="227" t="str">
        <f t="shared" si="253"/>
        <v>RESWPE</v>
      </c>
      <c r="G148" s="227" t="str">
        <f t="shared" si="253"/>
        <v>RESHUMB</v>
      </c>
      <c r="H148" s="230">
        <v>2019</v>
      </c>
      <c r="I148" s="250">
        <f t="shared" si="250"/>
        <v>0</v>
      </c>
      <c r="J148" s="250">
        <f t="shared" si="251"/>
        <v>0</v>
      </c>
      <c r="K148" s="250">
        <f t="shared" si="252"/>
        <v>0</v>
      </c>
      <c r="L148" s="462">
        <v>0.61</v>
      </c>
      <c r="M148" s="462">
        <v>0.61</v>
      </c>
      <c r="N148" s="462">
        <v>0.61</v>
      </c>
      <c r="O148" s="244">
        <f t="shared" ref="O148:O165" si="254">31.536/1000</f>
        <v>3.1536000000000002E-2</v>
      </c>
      <c r="P148" s="460">
        <v>0.2</v>
      </c>
      <c r="Q148" s="245">
        <v>20</v>
      </c>
      <c r="R148" s="227">
        <v>1.05</v>
      </c>
      <c r="T148" s="268">
        <f t="shared" si="212"/>
        <v>0</v>
      </c>
      <c r="U148" s="268"/>
      <c r="V148" s="602" t="s">
        <v>206</v>
      </c>
      <c r="W148" s="254" t="s">
        <v>927</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6"/>
        <v>0</v>
      </c>
      <c r="AC148" s="251">
        <f t="shared" si="247"/>
        <v>0</v>
      </c>
      <c r="AD148" s="446">
        <f t="shared" si="248"/>
        <v>0</v>
      </c>
      <c r="AE148" s="262"/>
      <c r="AU148" s="260"/>
      <c r="AZ148" s="252"/>
    </row>
    <row r="149" spans="2:52" ht="15" customHeight="1">
      <c r="B149" s="227" t="str">
        <f t="shared" ref="B149:G149" si="255">B109</f>
        <v>RHTUMFIWE1</v>
      </c>
      <c r="C149" s="227" t="str">
        <f t="shared" si="255"/>
        <v>Residential Heating Technology Urban Multi - Fire wood - Existing 1</v>
      </c>
      <c r="D149" s="227" t="str">
        <f t="shared" si="255"/>
        <v>Urban</v>
      </c>
      <c r="E149" s="227" t="str">
        <f t="shared" si="255"/>
        <v>Multi storey</v>
      </c>
      <c r="F149" s="227" t="str">
        <f t="shared" si="255"/>
        <v>RESFIW</v>
      </c>
      <c r="G149" s="227" t="str">
        <f t="shared" si="255"/>
        <v>RESHUMB</v>
      </c>
      <c r="H149" s="230">
        <v>2019</v>
      </c>
      <c r="I149" s="250">
        <f t="shared" si="250"/>
        <v>5804.4000000000005</v>
      </c>
      <c r="J149" s="250">
        <f t="shared" si="251"/>
        <v>0</v>
      </c>
      <c r="K149" s="250">
        <f t="shared" si="252"/>
        <v>0</v>
      </c>
      <c r="L149" s="462">
        <v>0.65000022993955098</v>
      </c>
      <c r="M149" s="462">
        <v>0.65000022993955098</v>
      </c>
      <c r="N149" s="462">
        <v>0.65000022993955098</v>
      </c>
      <c r="O149" s="244">
        <f t="shared" si="254"/>
        <v>3.1536000000000002E-2</v>
      </c>
      <c r="P149" s="460">
        <v>0.2</v>
      </c>
      <c r="Q149" s="245">
        <v>20</v>
      </c>
      <c r="R149" s="227">
        <v>1.05</v>
      </c>
      <c r="T149" s="268">
        <f t="shared" si="212"/>
        <v>56.322305737345097</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6"/>
        <v>34.865684024691369</v>
      </c>
      <c r="AC149" s="251">
        <f t="shared" si="247"/>
        <v>0</v>
      </c>
      <c r="AD149" s="446">
        <f t="shared" si="248"/>
        <v>0</v>
      </c>
      <c r="AE149" s="262"/>
      <c r="AU149" s="260"/>
      <c r="AZ149" s="252"/>
    </row>
    <row r="150" spans="2:52" ht="15" customHeight="1">
      <c r="B150" s="233" t="str">
        <f t="shared" ref="B150:G150" si="256">B110</f>
        <v>RHTUMCOAE1</v>
      </c>
      <c r="C150" s="233" t="str">
        <f t="shared" si="256"/>
        <v>Residential Heating Technology Urban Multi - Coal - Existing 1</v>
      </c>
      <c r="D150" s="233" t="str">
        <f t="shared" si="256"/>
        <v>Urban</v>
      </c>
      <c r="E150" s="233" t="str">
        <f t="shared" si="256"/>
        <v>Multi storey</v>
      </c>
      <c r="F150" s="233" t="str">
        <f t="shared" si="256"/>
        <v>RESCOA</v>
      </c>
      <c r="G150" s="233" t="str">
        <f t="shared" si="256"/>
        <v>RESHUMB</v>
      </c>
      <c r="H150" s="230">
        <v>2019</v>
      </c>
      <c r="I150" s="250">
        <f t="shared" si="250"/>
        <v>416.1</v>
      </c>
      <c r="J150" s="250">
        <f t="shared" si="251"/>
        <v>0</v>
      </c>
      <c r="K150" s="250">
        <f t="shared" si="252"/>
        <v>0</v>
      </c>
      <c r="L150" s="462">
        <v>0.7</v>
      </c>
      <c r="M150" s="462">
        <v>0.7</v>
      </c>
      <c r="N150" s="462">
        <v>0.7</v>
      </c>
      <c r="O150" s="244">
        <f t="shared" si="254"/>
        <v>3.1536000000000002E-2</v>
      </c>
      <c r="P150" s="460">
        <v>0.2</v>
      </c>
      <c r="Q150" s="245">
        <v>20</v>
      </c>
      <c r="R150" s="227">
        <v>1.05</v>
      </c>
      <c r="T150" s="268">
        <f t="shared" si="212"/>
        <v>3.7491798857142862</v>
      </c>
      <c r="U150" s="268"/>
      <c r="V150" s="602" t="str">
        <f>'Data manipulation'!$B$23</f>
        <v>Solid fossil fuels, peat, peat products, oil shale and oil sands</v>
      </c>
      <c r="W150" s="254" t="s">
        <v>924</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6"/>
        <v>2.4990627115999997</v>
      </c>
      <c r="AC150" s="251">
        <f t="shared" si="247"/>
        <v>0</v>
      </c>
      <c r="AD150" s="446">
        <f t="shared" si="248"/>
        <v>0</v>
      </c>
      <c r="AE150" s="262"/>
      <c r="AU150" s="260"/>
      <c r="AZ150" s="252"/>
    </row>
    <row r="151" spans="2:52" ht="15" customHeight="1">
      <c r="B151" s="233" t="str">
        <f t="shared" ref="B151:G151" si="257">B111</f>
        <v>RHTUMSOLE1</v>
      </c>
      <c r="C151" s="233" t="str">
        <f t="shared" si="257"/>
        <v>Residential Heating Technology Urban Multi - Solar - Existing 1</v>
      </c>
      <c r="D151" s="233" t="str">
        <f t="shared" si="257"/>
        <v>Urban</v>
      </c>
      <c r="E151" s="233" t="str">
        <f t="shared" si="257"/>
        <v>Multi storey</v>
      </c>
      <c r="F151" s="233" t="str">
        <f t="shared" si="257"/>
        <v>RESSOL</v>
      </c>
      <c r="G151" s="233" t="str">
        <f t="shared" si="257"/>
        <v>RESHUMB</v>
      </c>
      <c r="H151" s="230">
        <v>2019</v>
      </c>
      <c r="I151" s="250">
        <f t="shared" si="250"/>
        <v>157.4</v>
      </c>
      <c r="J151" s="250">
        <f t="shared" si="251"/>
        <v>0</v>
      </c>
      <c r="K151" s="250">
        <f t="shared" si="252"/>
        <v>0</v>
      </c>
      <c r="L151" s="462">
        <v>1</v>
      </c>
      <c r="M151" s="462">
        <v>1</v>
      </c>
      <c r="N151" s="462">
        <v>1</v>
      </c>
      <c r="O151" s="244">
        <f t="shared" si="254"/>
        <v>3.1536000000000002E-2</v>
      </c>
      <c r="P151" s="460">
        <v>0.2</v>
      </c>
      <c r="Q151" s="245">
        <v>20</v>
      </c>
      <c r="R151" s="227">
        <v>1.05</v>
      </c>
      <c r="T151" s="268">
        <f t="shared" si="212"/>
        <v>0.99275328000000018</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6"/>
        <v>0.94518032699999999</v>
      </c>
      <c r="AC151" s="251">
        <f t="shared" si="247"/>
        <v>0</v>
      </c>
      <c r="AD151" s="446">
        <f t="shared" si="248"/>
        <v>0</v>
      </c>
      <c r="AE151" s="262"/>
      <c r="AU151" s="260"/>
      <c r="AZ151" s="252"/>
    </row>
    <row r="152" spans="2:52" ht="15" customHeight="1">
      <c r="B152" s="233" t="str">
        <f t="shared" ref="B152:G152" si="258">B112</f>
        <v>RHTUMELCHE1</v>
      </c>
      <c r="C152" s="233" t="str">
        <f t="shared" si="258"/>
        <v>Residential Heating Technology Urban Multi - Electricity Heating - Existing 1</v>
      </c>
      <c r="D152" s="233" t="str">
        <f t="shared" si="258"/>
        <v>Urban</v>
      </c>
      <c r="E152" s="233" t="str">
        <f t="shared" si="258"/>
        <v>Multi storey</v>
      </c>
      <c r="F152" s="233" t="str">
        <f t="shared" si="258"/>
        <v>RESELCH</v>
      </c>
      <c r="G152" s="233" t="str">
        <f t="shared" si="258"/>
        <v>RESHUMB</v>
      </c>
      <c r="H152" s="230">
        <v>2019</v>
      </c>
      <c r="I152" s="250">
        <f t="shared" si="250"/>
        <v>1119.0999999999999</v>
      </c>
      <c r="J152" s="250">
        <f t="shared" si="251"/>
        <v>0</v>
      </c>
      <c r="K152" s="250">
        <f t="shared" si="252"/>
        <v>0</v>
      </c>
      <c r="L152" s="462">
        <v>1</v>
      </c>
      <c r="M152" s="462">
        <v>1</v>
      </c>
      <c r="N152" s="462">
        <v>1</v>
      </c>
      <c r="O152" s="244">
        <f t="shared" si="254"/>
        <v>3.1536000000000002E-2</v>
      </c>
      <c r="P152" s="460">
        <v>0.2</v>
      </c>
      <c r="Q152" s="245">
        <v>30</v>
      </c>
      <c r="R152" s="227">
        <v>1.05</v>
      </c>
      <c r="T152" s="268">
        <f t="shared" si="212"/>
        <v>7.0583875200000001</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6"/>
        <v>6.7219661859999995</v>
      </c>
      <c r="AC152" s="251">
        <f t="shared" si="247"/>
        <v>0</v>
      </c>
      <c r="AD152" s="446">
        <f t="shared" si="248"/>
        <v>0</v>
      </c>
      <c r="AU152" s="260"/>
      <c r="AZ152" s="252"/>
    </row>
    <row r="153" spans="2:52" ht="15" customHeight="1">
      <c r="B153" s="233" t="str">
        <f t="shared" ref="B153:G153" si="259">B113</f>
        <v>RHTUMELCHE2</v>
      </c>
      <c r="C153" s="233" t="str">
        <f t="shared" si="259"/>
        <v>Residential Heating Technology Urban Multi - Electricity Heating - Existing 2</v>
      </c>
      <c r="D153" s="233" t="str">
        <f t="shared" si="259"/>
        <v>Urban</v>
      </c>
      <c r="E153" s="233" t="str">
        <f t="shared" si="259"/>
        <v>Multi storey</v>
      </c>
      <c r="F153" s="233" t="str">
        <f t="shared" si="259"/>
        <v>RESELCH</v>
      </c>
      <c r="G153" s="233" t="str">
        <f t="shared" si="259"/>
        <v>RESHUMB</v>
      </c>
      <c r="H153" s="230">
        <v>2019</v>
      </c>
      <c r="I153" s="250">
        <f t="shared" si="250"/>
        <v>4168</v>
      </c>
      <c r="J153" s="250">
        <f t="shared" si="251"/>
        <v>0</v>
      </c>
      <c r="K153" s="250">
        <f t="shared" si="252"/>
        <v>0</v>
      </c>
      <c r="L153" s="462">
        <v>2.3149999999999999</v>
      </c>
      <c r="M153" s="462">
        <v>2.3149999999999999</v>
      </c>
      <c r="N153" s="462">
        <v>2.3149999999999999</v>
      </c>
      <c r="O153" s="244">
        <f t="shared" si="254"/>
        <v>3.1536000000000002E-2</v>
      </c>
      <c r="P153" s="460">
        <v>0.2</v>
      </c>
      <c r="Q153" s="245">
        <v>30</v>
      </c>
      <c r="R153" s="227">
        <v>1.05</v>
      </c>
      <c r="T153" s="268">
        <f t="shared" si="212"/>
        <v>11.355684492440606</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6"/>
        <v>25.036281793250001</v>
      </c>
      <c r="AC153" s="251">
        <f t="shared" si="247"/>
        <v>0</v>
      </c>
      <c r="AD153" s="446">
        <f t="shared" si="248"/>
        <v>0</v>
      </c>
      <c r="AU153" s="260"/>
      <c r="AZ153" s="252"/>
    </row>
    <row r="154" spans="2:52" ht="15" customHeight="1">
      <c r="B154" s="233" t="str">
        <f t="shared" ref="B154:G154" si="260">B114</f>
        <v>RHTUMHCEE1</v>
      </c>
      <c r="C154" s="233" t="str">
        <f t="shared" si="260"/>
        <v>Residential Heating Technology Urban Multi - District heating Central - Existing 1</v>
      </c>
      <c r="D154" s="233" t="str">
        <f t="shared" si="260"/>
        <v>Urban</v>
      </c>
      <c r="E154" s="233" t="str">
        <f t="shared" si="260"/>
        <v>Multi storey</v>
      </c>
      <c r="F154" s="233" t="str">
        <f t="shared" si="260"/>
        <v>RESHCE</v>
      </c>
      <c r="G154" s="233" t="str">
        <f t="shared" si="260"/>
        <v>RESHUMX</v>
      </c>
      <c r="H154" s="230">
        <v>2019</v>
      </c>
      <c r="I154" s="250">
        <f t="shared" si="250"/>
        <v>5441.4000000000005</v>
      </c>
      <c r="J154" s="572">
        <v>0</v>
      </c>
      <c r="K154" s="572">
        <v>0</v>
      </c>
      <c r="L154" s="462">
        <v>0.95</v>
      </c>
      <c r="M154" s="462">
        <v>0.95</v>
      </c>
      <c r="N154" s="462">
        <v>0.95</v>
      </c>
      <c r="O154" s="244">
        <f t="shared" si="254"/>
        <v>3.1536000000000002E-2</v>
      </c>
      <c r="P154" s="460">
        <v>0.2</v>
      </c>
      <c r="Q154" s="245">
        <v>30</v>
      </c>
      <c r="R154" s="227">
        <v>1.05</v>
      </c>
      <c r="T154" s="268">
        <f t="shared" si="212"/>
        <v>36.126313768421056</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6"/>
        <v>32.685203818799998</v>
      </c>
      <c r="AC154" s="251">
        <f t="shared" si="247"/>
        <v>0</v>
      </c>
      <c r="AD154" s="446">
        <f t="shared" si="248"/>
        <v>0</v>
      </c>
      <c r="AU154" s="260"/>
      <c r="AZ154" s="252"/>
    </row>
    <row r="155" spans="2:52" ht="15" customHeight="1" thickBot="1">
      <c r="B155" s="255" t="str">
        <f t="shared" ref="B155:G155" si="261">B115</f>
        <v>RHTUMLPGE1</v>
      </c>
      <c r="C155" s="255" t="str">
        <f t="shared" si="261"/>
        <v>Residential Heating Technology Urban Multi - LPG - Existing 1</v>
      </c>
      <c r="D155" s="535" t="str">
        <f t="shared" si="261"/>
        <v>Urban</v>
      </c>
      <c r="E155" s="535" t="str">
        <f t="shared" si="261"/>
        <v>Multi storey</v>
      </c>
      <c r="F155" s="255" t="str">
        <f t="shared" si="261"/>
        <v>RESLPG</v>
      </c>
      <c r="G155" s="255" t="str">
        <f t="shared" si="261"/>
        <v>RESHUMB</v>
      </c>
      <c r="H155" s="423">
        <v>2019</v>
      </c>
      <c r="I155" s="297">
        <f t="shared" ref="I155" si="262">ROUNDUP(AB155/($O155*$P155)*$R155,1)</f>
        <v>1094.0999999999999</v>
      </c>
      <c r="J155" s="297">
        <f t="shared" ref="J155" si="263">ROUNDUP(AC155/($O155*$P155)*$R155,1)</f>
        <v>0</v>
      </c>
      <c r="K155" s="297">
        <f t="shared" ref="K155" si="264">ROUNDUP(AD155/($O155*$P155)*$R155,1)</f>
        <v>0</v>
      </c>
      <c r="L155" s="463">
        <v>0.95</v>
      </c>
      <c r="M155" s="463">
        <v>0.95</v>
      </c>
      <c r="N155" s="463">
        <v>0.95</v>
      </c>
      <c r="O155" s="257">
        <f t="shared" si="254"/>
        <v>3.1536000000000002E-2</v>
      </c>
      <c r="P155" s="460">
        <v>0.2</v>
      </c>
      <c r="Q155" s="258">
        <v>30</v>
      </c>
      <c r="R155" s="227">
        <v>1.05</v>
      </c>
      <c r="T155" s="268">
        <f t="shared" si="212"/>
        <v>7.2639026526315806</v>
      </c>
      <c r="U155" s="268"/>
      <c r="V155" s="602" t="str">
        <f>'Data manipulation'!$B$25</f>
        <v>Liquefied natural gas</v>
      </c>
      <c r="W155" s="428" t="s">
        <v>798</v>
      </c>
      <c r="X155" s="246">
        <v>2019</v>
      </c>
      <c r="Y155" s="435">
        <f>_xlfn.IFNA(INDEX('Data manipulation'!$C$23:$O$39,MATCH($V155,'Data manipulation'!$B$23:$B$39,0),MATCH($X155,'Data manipulation'!$C$22:$O$22,0))/1000,0)*SUMIFS('Regional split'!$F$4:$F$6,'Regional split'!$B$4:$B$6,Y$3)*SUMIFS('Data manipulation'!$V$39:$V$42,'Data manipulation'!$X$39:$X$42,$E155,'Data manipulation'!$Y$39:$Y$42,$D155)</f>
        <v>6.9178181670000001</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6"/>
        <v>6.5719272586499997</v>
      </c>
      <c r="AC155" s="277">
        <f t="shared" si="247"/>
        <v>0</v>
      </c>
      <c r="AD155" s="448">
        <f t="shared" si="248"/>
        <v>0</v>
      </c>
      <c r="AU155" s="260"/>
      <c r="AZ155" s="252"/>
    </row>
    <row r="156" spans="2:52" ht="15" customHeight="1">
      <c r="B156" s="233" t="str">
        <f t="shared" ref="B156:G156" si="265">B116</f>
        <v>RHTRMNGAE1</v>
      </c>
      <c r="C156" s="233" t="str">
        <f t="shared" si="265"/>
        <v>Residential Heating Technology Rural Multi - Natural Gas - Existing 1</v>
      </c>
      <c r="D156" s="233" t="str">
        <f t="shared" si="265"/>
        <v>Rural</v>
      </c>
      <c r="E156" s="233" t="str">
        <f t="shared" si="265"/>
        <v>Multi storey</v>
      </c>
      <c r="F156" s="233" t="str">
        <f t="shared" si="265"/>
        <v>RESNGA,RESSNG</v>
      </c>
      <c r="G156" s="233" t="str">
        <f t="shared" si="265"/>
        <v>RESHRMB</v>
      </c>
      <c r="H156" s="259">
        <v>2019</v>
      </c>
      <c r="I156" s="250">
        <f>ROUNDUP(AB156/($O156*$P156)*$R156,1)</f>
        <v>1369.8</v>
      </c>
      <c r="J156" s="250">
        <f>ROUNDUP(AC156/($O156*$P156)*$R156,1)</f>
        <v>0</v>
      </c>
      <c r="K156" s="250">
        <f>ROUNDUP(AD156/($O156*$P156)*$R156,1)</f>
        <v>0</v>
      </c>
      <c r="L156" s="462">
        <v>0.79</v>
      </c>
      <c r="M156" s="462">
        <v>0.79</v>
      </c>
      <c r="N156" s="462">
        <v>0.79</v>
      </c>
      <c r="O156" s="244">
        <f t="shared" si="254"/>
        <v>3.1536000000000002E-2</v>
      </c>
      <c r="P156" s="460">
        <v>0.2</v>
      </c>
      <c r="Q156" s="245">
        <v>25</v>
      </c>
      <c r="R156" s="227">
        <v>1.05</v>
      </c>
      <c r="T156" s="268">
        <f t="shared" si="212"/>
        <v>10.936205772151899</v>
      </c>
      <c r="U156" s="268"/>
      <c r="V156" s="602"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10.415415724000001</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6"/>
        <v>8.2281784219600009</v>
      </c>
      <c r="AC156" s="278">
        <f t="shared" si="247"/>
        <v>0</v>
      </c>
      <c r="AD156" s="449">
        <f t="shared" si="248"/>
        <v>0</v>
      </c>
      <c r="AU156" s="260"/>
      <c r="AZ156" s="252"/>
    </row>
    <row r="157" spans="2:52" ht="15" customHeight="1">
      <c r="B157" s="233" t="str">
        <f t="shared" ref="B157:G157" si="266">B117</f>
        <v>RHTRMDSLE1</v>
      </c>
      <c r="C157" s="233" t="str">
        <f t="shared" si="266"/>
        <v>Residential Heating Technology Rural Multi - Diesel - Existing 1</v>
      </c>
      <c r="D157" s="233" t="str">
        <f t="shared" si="266"/>
        <v>Rural</v>
      </c>
      <c r="E157" s="233" t="str">
        <f t="shared" si="266"/>
        <v>Multi storey</v>
      </c>
      <c r="F157" s="233" t="str">
        <f t="shared" si="266"/>
        <v>RESDSL,RESDSB</v>
      </c>
      <c r="G157" s="233" t="str">
        <f t="shared" si="266"/>
        <v>RESHRMB</v>
      </c>
      <c r="H157" s="259">
        <v>2019</v>
      </c>
      <c r="I157" s="250">
        <f t="shared" ref="I157:I163" si="267">ROUNDUP(AB157/($O157*$P157)*$R157,1)</f>
        <v>1486.3999999999999</v>
      </c>
      <c r="J157" s="250">
        <f t="shared" ref="J157:J163" si="268">ROUNDUP(AC157/($O157*$P157)*$R157,1)</f>
        <v>0</v>
      </c>
      <c r="K157" s="250">
        <f t="shared" ref="K157:K163" si="269">ROUNDUP(AD157/($O157*$P157)*$R157,1)</f>
        <v>0</v>
      </c>
      <c r="L157" s="462">
        <v>0.79</v>
      </c>
      <c r="M157" s="462">
        <v>0.79</v>
      </c>
      <c r="N157" s="462">
        <v>0.79</v>
      </c>
      <c r="O157" s="244">
        <f t="shared" si="254"/>
        <v>3.1536000000000002E-2</v>
      </c>
      <c r="P157" s="460">
        <v>0.2</v>
      </c>
      <c r="Q157" s="245">
        <v>20</v>
      </c>
      <c r="R157" s="227">
        <v>1.05</v>
      </c>
      <c r="T157" s="268">
        <f t="shared" si="212"/>
        <v>11.867116556962024</v>
      </c>
      <c r="V157" s="602" t="str">
        <f>'Data manipulation'!$B$35</f>
        <v>Oil products</v>
      </c>
      <c r="W157" s="254" t="s">
        <v>757</v>
      </c>
      <c r="X157" s="246">
        <v>2019</v>
      </c>
      <c r="Y157" s="434">
        <f>_xlfn.IFNA(INDEX('Data manipulation'!$C$23:$O$39,MATCH($V157,'Data manipulation'!$B$23:$B$39,0),MATCH($X157,'Data manipulation'!$C$22:$O$22,0))/1000,0)*SUMIFS('Regional split'!$F$4:$F$6,'Regional split'!$B$4:$B$6,Y$3)*SUMIFS('Data manipulation'!$V$39:$V$42,'Data manipulation'!$X$39:$X$42,$E157,'Data manipulation'!$Y$39:$Y$42,$D157)</f>
        <v>11.301526292</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6"/>
        <v>8.92820577068</v>
      </c>
      <c r="AC157" s="251">
        <f t="shared" si="247"/>
        <v>0</v>
      </c>
      <c r="AD157" s="446">
        <f t="shared" si="248"/>
        <v>0</v>
      </c>
      <c r="AU157" s="260"/>
      <c r="AZ157" s="252"/>
    </row>
    <row r="158" spans="2:52" ht="15" customHeight="1">
      <c r="B158" s="233" t="str">
        <f t="shared" ref="B158:G158" si="270">B118</f>
        <v>RHTRMWPEE1</v>
      </c>
      <c r="C158" s="233" t="str">
        <f t="shared" si="270"/>
        <v>Residential Heating Technology Rural Multi - Wood pellets - Existing 1</v>
      </c>
      <c r="D158" s="233" t="str">
        <f t="shared" si="270"/>
        <v>Rural</v>
      </c>
      <c r="E158" s="233" t="str">
        <f t="shared" si="270"/>
        <v>Multi storey</v>
      </c>
      <c r="F158" s="233" t="str">
        <f t="shared" si="270"/>
        <v>RESWPE</v>
      </c>
      <c r="G158" s="233" t="str">
        <f t="shared" si="270"/>
        <v>RESHRMB</v>
      </c>
      <c r="H158" s="259">
        <v>2019</v>
      </c>
      <c r="I158" s="250">
        <f t="shared" si="267"/>
        <v>0</v>
      </c>
      <c r="J158" s="250">
        <f t="shared" si="268"/>
        <v>0</v>
      </c>
      <c r="K158" s="250">
        <f t="shared" si="269"/>
        <v>0</v>
      </c>
      <c r="L158" s="462">
        <v>0.67</v>
      </c>
      <c r="M158" s="462">
        <v>0.67</v>
      </c>
      <c r="N158" s="462">
        <v>0.67</v>
      </c>
      <c r="O158" s="244">
        <f>31.536/1000</f>
        <v>3.1536000000000002E-2</v>
      </c>
      <c r="P158" s="460">
        <v>0.2</v>
      </c>
      <c r="Q158" s="245">
        <v>20</v>
      </c>
      <c r="R158" s="227">
        <v>1.05</v>
      </c>
      <c r="T158" s="268">
        <f t="shared" si="212"/>
        <v>0</v>
      </c>
      <c r="U158" s="268"/>
      <c r="V158" s="602" t="s">
        <v>206</v>
      </c>
      <c r="W158" s="254" t="s">
        <v>927</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6"/>
        <v>0</v>
      </c>
      <c r="AC158" s="251">
        <f t="shared" si="247"/>
        <v>0</v>
      </c>
      <c r="AD158" s="446">
        <f t="shared" si="248"/>
        <v>0</v>
      </c>
      <c r="AU158" s="260"/>
      <c r="AZ158" s="252"/>
    </row>
    <row r="159" spans="2:52" ht="15" customHeight="1">
      <c r="B159" s="233" t="str">
        <f t="shared" ref="B159:G159" si="271">B119</f>
        <v>RHTRMFIWE1</v>
      </c>
      <c r="C159" s="233" t="str">
        <f t="shared" si="271"/>
        <v>Residential Heating Technology Rural Multi - Fire wood - Existing 1</v>
      </c>
      <c r="D159" s="233" t="str">
        <f t="shared" si="271"/>
        <v>Rural</v>
      </c>
      <c r="E159" s="233" t="str">
        <f t="shared" si="271"/>
        <v>Multi storey</v>
      </c>
      <c r="F159" s="233" t="str">
        <f t="shared" si="271"/>
        <v>RESFIW</v>
      </c>
      <c r="G159" s="233" t="str">
        <f t="shared" si="271"/>
        <v>RESHRMB</v>
      </c>
      <c r="H159" s="259">
        <v>2019</v>
      </c>
      <c r="I159" s="250">
        <f t="shared" si="267"/>
        <v>339.20000000000005</v>
      </c>
      <c r="J159" s="250">
        <f t="shared" si="268"/>
        <v>0</v>
      </c>
      <c r="K159" s="250">
        <f t="shared" si="269"/>
        <v>0</v>
      </c>
      <c r="L159" s="462">
        <v>0.67</v>
      </c>
      <c r="M159" s="462">
        <v>0.67</v>
      </c>
      <c r="N159" s="462">
        <v>0.67</v>
      </c>
      <c r="O159" s="244">
        <f>31.536/1000</f>
        <v>3.1536000000000002E-2</v>
      </c>
      <c r="P159" s="460">
        <v>0.2</v>
      </c>
      <c r="Q159" s="245">
        <v>20</v>
      </c>
      <c r="R159" s="227">
        <v>1.05</v>
      </c>
      <c r="T159" s="268">
        <f t="shared" si="212"/>
        <v>3.1931376716417912</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6"/>
        <v>2.0369978228599996</v>
      </c>
      <c r="AC159" s="251">
        <f t="shared" si="247"/>
        <v>0</v>
      </c>
      <c r="AD159" s="446">
        <f t="shared" si="248"/>
        <v>0</v>
      </c>
      <c r="AU159" s="260"/>
      <c r="AZ159" s="252"/>
    </row>
    <row r="160" spans="2:52" ht="15" customHeight="1">
      <c r="B160" s="233" t="str">
        <f t="shared" ref="B160:G160" si="272">B120</f>
        <v>RHTRMCOAE1</v>
      </c>
      <c r="C160" s="233" t="str">
        <f t="shared" si="272"/>
        <v>Residential Heating Technology Rural Multi - Coal - Existing 1</v>
      </c>
      <c r="D160" s="233" t="str">
        <f t="shared" si="272"/>
        <v>Rural</v>
      </c>
      <c r="E160" s="233" t="str">
        <f t="shared" si="272"/>
        <v>Multi storey</v>
      </c>
      <c r="F160" s="233" t="str">
        <f t="shared" si="272"/>
        <v>RESCOA</v>
      </c>
      <c r="G160" s="233" t="str">
        <f t="shared" si="272"/>
        <v>RESHRMB</v>
      </c>
      <c r="H160" s="259">
        <v>2019</v>
      </c>
      <c r="I160" s="250">
        <f t="shared" si="267"/>
        <v>24.3</v>
      </c>
      <c r="J160" s="250">
        <f t="shared" si="268"/>
        <v>0</v>
      </c>
      <c r="K160" s="250">
        <f t="shared" si="269"/>
        <v>0</v>
      </c>
      <c r="L160" s="462">
        <v>0.72</v>
      </c>
      <c r="M160" s="462">
        <v>0.72</v>
      </c>
      <c r="N160" s="462">
        <v>0.72</v>
      </c>
      <c r="O160" s="244">
        <f t="shared" si="254"/>
        <v>3.1536000000000002E-2</v>
      </c>
      <c r="P160" s="460">
        <v>0.2</v>
      </c>
      <c r="Q160" s="245">
        <v>20</v>
      </c>
      <c r="R160" s="227">
        <v>1.05</v>
      </c>
      <c r="T160" s="268">
        <f t="shared" si="212"/>
        <v>0.21286800000000003</v>
      </c>
      <c r="U160" s="268"/>
      <c r="V160" s="602" t="str">
        <f>'Data manipulation'!$B$23</f>
        <v>Solid fossil fuels, peat, peat products, oil shale and oil sands</v>
      </c>
      <c r="W160" s="254" t="s">
        <v>924</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6"/>
        <v>0.14569434432</v>
      </c>
      <c r="AC160" s="251">
        <f t="shared" si="247"/>
        <v>0</v>
      </c>
      <c r="AD160" s="446">
        <f t="shared" si="248"/>
        <v>0</v>
      </c>
      <c r="AU160" s="260"/>
      <c r="AZ160" s="252"/>
    </row>
    <row r="161" spans="2:52" ht="15" customHeight="1">
      <c r="B161" s="233" t="str">
        <f t="shared" ref="B161:G161" si="273">B121</f>
        <v>RHTRMSOLE1</v>
      </c>
      <c r="C161" s="233" t="str">
        <f t="shared" si="273"/>
        <v>Residential Heating Technology Rural Multi - Solar - Existing 1</v>
      </c>
      <c r="D161" s="233" t="str">
        <f t="shared" si="273"/>
        <v>Rural</v>
      </c>
      <c r="E161" s="233" t="str">
        <f t="shared" si="273"/>
        <v>Multi storey</v>
      </c>
      <c r="F161" s="233" t="str">
        <f t="shared" si="273"/>
        <v>RESSOL</v>
      </c>
      <c r="G161" s="233" t="str">
        <f t="shared" si="273"/>
        <v>RESHRMB</v>
      </c>
      <c r="H161" s="259">
        <v>2019</v>
      </c>
      <c r="I161" s="250">
        <f t="shared" si="267"/>
        <v>9</v>
      </c>
      <c r="J161" s="250">
        <f t="shared" si="268"/>
        <v>0</v>
      </c>
      <c r="K161" s="250">
        <f t="shared" si="269"/>
        <v>0</v>
      </c>
      <c r="L161" s="462">
        <v>1</v>
      </c>
      <c r="M161" s="462">
        <v>1</v>
      </c>
      <c r="N161" s="462">
        <v>1</v>
      </c>
      <c r="O161" s="244">
        <f t="shared" si="254"/>
        <v>3.1536000000000002E-2</v>
      </c>
      <c r="P161" s="460">
        <v>0.2</v>
      </c>
      <c r="Q161" s="245">
        <v>20</v>
      </c>
      <c r="R161" s="227">
        <v>1.05</v>
      </c>
      <c r="T161" s="268">
        <f t="shared" si="212"/>
        <v>5.6764800000000004E-2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6"/>
        <v>5.3572974000000002E-2</v>
      </c>
      <c r="AC161" s="251">
        <f t="shared" si="247"/>
        <v>0</v>
      </c>
      <c r="AD161" s="446">
        <f t="shared" si="248"/>
        <v>0</v>
      </c>
      <c r="AU161" s="260"/>
      <c r="AZ161" s="252"/>
    </row>
    <row r="162" spans="2:52" ht="15" customHeight="1">
      <c r="B162" s="233" t="str">
        <f t="shared" ref="B162:G162" si="274">B122</f>
        <v>RHTRMELCHE1</v>
      </c>
      <c r="C162" s="233" t="str">
        <f t="shared" si="274"/>
        <v>Residential Heating Technology Rural Multi - Electricity Heating - Existing 1</v>
      </c>
      <c r="D162" s="233" t="str">
        <f t="shared" si="274"/>
        <v>Rural</v>
      </c>
      <c r="E162" s="233" t="str">
        <f t="shared" si="274"/>
        <v>Multi storey</v>
      </c>
      <c r="F162" s="233" t="str">
        <f t="shared" si="274"/>
        <v>RESELCH</v>
      </c>
      <c r="G162" s="233" t="str">
        <f t="shared" si="274"/>
        <v>RESHRMB</v>
      </c>
      <c r="H162" s="259">
        <v>2019</v>
      </c>
      <c r="I162" s="250">
        <f t="shared" si="267"/>
        <v>63.5</v>
      </c>
      <c r="J162" s="250">
        <f t="shared" si="268"/>
        <v>0</v>
      </c>
      <c r="K162" s="250">
        <f t="shared" si="269"/>
        <v>0</v>
      </c>
      <c r="L162" s="462">
        <v>1</v>
      </c>
      <c r="M162" s="462">
        <v>1</v>
      </c>
      <c r="N162" s="462">
        <v>1</v>
      </c>
      <c r="O162" s="244">
        <f t="shared" si="254"/>
        <v>3.1536000000000002E-2</v>
      </c>
      <c r="P162" s="460">
        <v>0.2</v>
      </c>
      <c r="Q162" s="245">
        <v>30</v>
      </c>
      <c r="R162" s="227">
        <v>1.05</v>
      </c>
      <c r="T162" s="268">
        <f t="shared" si="212"/>
        <v>0.40050720000000006</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6"/>
        <v>0.38100213199999999</v>
      </c>
      <c r="AC162" s="251">
        <f t="shared" si="247"/>
        <v>0</v>
      </c>
      <c r="AD162" s="446">
        <f t="shared" si="248"/>
        <v>0</v>
      </c>
      <c r="AU162" s="260"/>
      <c r="AZ162" s="252"/>
    </row>
    <row r="163" spans="2:52" ht="15" customHeight="1">
      <c r="B163" s="233" t="str">
        <f t="shared" ref="B163:G163" si="275">B123</f>
        <v>RHTRMELCHE2</v>
      </c>
      <c r="C163" s="233" t="str">
        <f t="shared" si="275"/>
        <v>Residential Heating Technology Rural Multi - Electricity Heating - Existing 2</v>
      </c>
      <c r="D163" s="233" t="str">
        <f t="shared" si="275"/>
        <v>Rural</v>
      </c>
      <c r="E163" s="233" t="str">
        <f t="shared" si="275"/>
        <v>Multi storey</v>
      </c>
      <c r="F163" s="233" t="str">
        <f t="shared" si="275"/>
        <v>RESELCH</v>
      </c>
      <c r="G163" s="233" t="str">
        <f t="shared" si="275"/>
        <v>RESHRMB</v>
      </c>
      <c r="H163" s="259">
        <v>2019</v>
      </c>
      <c r="I163" s="250">
        <f t="shared" si="267"/>
        <v>236.29999999999998</v>
      </c>
      <c r="J163" s="250">
        <f t="shared" si="268"/>
        <v>0</v>
      </c>
      <c r="K163" s="250">
        <f t="shared" si="269"/>
        <v>0</v>
      </c>
      <c r="L163" s="462">
        <v>2.3149999999999999</v>
      </c>
      <c r="M163" s="462">
        <v>2.3149999999999999</v>
      </c>
      <c r="N163" s="462">
        <v>2.3149999999999999</v>
      </c>
      <c r="O163" s="244">
        <f t="shared" si="254"/>
        <v>3.1536000000000002E-2</v>
      </c>
      <c r="P163" s="460">
        <v>0.2</v>
      </c>
      <c r="Q163" s="245">
        <v>30</v>
      </c>
      <c r="R163" s="227">
        <v>1.05</v>
      </c>
      <c r="T163" s="268">
        <f t="shared" si="212"/>
        <v>0.64379756371490282</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6"/>
        <v>1.4190605064999999</v>
      </c>
      <c r="AC163" s="251">
        <f t="shared" si="247"/>
        <v>0</v>
      </c>
      <c r="AD163" s="446">
        <f t="shared" si="248"/>
        <v>0</v>
      </c>
      <c r="AU163" s="260"/>
      <c r="AZ163" s="252"/>
    </row>
    <row r="164" spans="2:52" ht="15" customHeight="1">
      <c r="B164" s="233" t="str">
        <f t="shared" ref="B164:G164" si="276">B124</f>
        <v>RHTRMHCEE1</v>
      </c>
      <c r="C164" s="233" t="str">
        <f t="shared" si="276"/>
        <v>Residential Heating Technology Rural Multi - District heating Central - Existing 1</v>
      </c>
      <c r="D164" s="233" t="str">
        <f t="shared" si="276"/>
        <v>Rural</v>
      </c>
      <c r="E164" s="233" t="str">
        <f t="shared" si="276"/>
        <v>Multi storey</v>
      </c>
      <c r="F164" s="233" t="str">
        <f t="shared" si="276"/>
        <v>RESHDE</v>
      </c>
      <c r="G164" s="233" t="str">
        <f t="shared" si="276"/>
        <v>RESHRMX</v>
      </c>
      <c r="H164" s="261">
        <v>2019</v>
      </c>
      <c r="I164" s="572">
        <v>0</v>
      </c>
      <c r="J164" s="572">
        <v>0</v>
      </c>
      <c r="K164" s="572">
        <v>0</v>
      </c>
      <c r="L164" s="462">
        <v>0.98</v>
      </c>
      <c r="M164" s="462">
        <v>0.98</v>
      </c>
      <c r="N164" s="462">
        <v>0.98</v>
      </c>
      <c r="O164" s="244">
        <f t="shared" si="254"/>
        <v>3.1536000000000002E-2</v>
      </c>
      <c r="P164" s="460">
        <v>0.2</v>
      </c>
      <c r="Q164" s="245">
        <v>30</v>
      </c>
      <c r="R164" s="227">
        <v>1.05</v>
      </c>
      <c r="T164" s="268">
        <f t="shared" si="212"/>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6"/>
        <v>1.91110588704</v>
      </c>
      <c r="AC164" s="251">
        <f t="shared" si="247"/>
        <v>0</v>
      </c>
      <c r="AD164" s="446">
        <f t="shared" si="248"/>
        <v>0</v>
      </c>
      <c r="AU164" s="260"/>
      <c r="AZ164" s="252"/>
    </row>
    <row r="165" spans="2:52" ht="15" customHeight="1" thickBot="1">
      <c r="B165" s="233" t="str">
        <f t="shared" ref="B165:G165" si="277">B125</f>
        <v>RHTRMLPGE1</v>
      </c>
      <c r="C165" s="233" t="str">
        <f t="shared" si="277"/>
        <v>Residential Heating Technology Rural Multi - LPG - Existing 1</v>
      </c>
      <c r="D165" s="233" t="str">
        <f t="shared" si="277"/>
        <v>Rural</v>
      </c>
      <c r="E165" s="233" t="str">
        <f t="shared" si="277"/>
        <v>Multi storey</v>
      </c>
      <c r="F165" s="233" t="str">
        <f t="shared" si="277"/>
        <v>RESLPG</v>
      </c>
      <c r="G165" s="233" t="str">
        <f t="shared" si="277"/>
        <v>RESHRMB</v>
      </c>
      <c r="H165" s="261">
        <v>2019</v>
      </c>
      <c r="I165" s="297">
        <f>ROUNDUP(AB165/($O165*$P165)*$R165,1)</f>
        <v>64</v>
      </c>
      <c r="J165" s="297">
        <f t="shared" ref="J165" si="278">ROUNDUP(AC165/($O165*$P165)*$R165,1)</f>
        <v>0</v>
      </c>
      <c r="K165" s="297">
        <f t="shared" ref="K165" si="279">ROUNDUP(AD165/($O165*$P165)*$R165,1)</f>
        <v>0</v>
      </c>
      <c r="L165" s="462">
        <v>0.98</v>
      </c>
      <c r="M165" s="462">
        <v>0.98</v>
      </c>
      <c r="N165" s="462">
        <v>0.98</v>
      </c>
      <c r="O165" s="244">
        <f t="shared" si="254"/>
        <v>3.1536000000000002E-2</v>
      </c>
      <c r="P165" s="460">
        <v>0.2</v>
      </c>
      <c r="Q165" s="245">
        <v>30</v>
      </c>
      <c r="R165" s="227">
        <v>1.05</v>
      </c>
      <c r="T165" s="268">
        <f t="shared" si="212"/>
        <v>0.41189877551020415</v>
      </c>
      <c r="U165" s="268"/>
      <c r="V165" s="602" t="str">
        <f>'Data manipulation'!$B$25</f>
        <v>Liquefied natural gas</v>
      </c>
      <c r="W165" s="428" t="s">
        <v>798</v>
      </c>
      <c r="X165" s="246">
        <v>2019</v>
      </c>
      <c r="Y165" s="435">
        <f>_xlfn.IFNA(INDEX('Data manipulation'!$C$23:$O$39,MATCH($V165,'Data manipulation'!$B$23:$B$39,0),MATCH($X165,'Data manipulation'!$C$22:$O$22,0))/1000,0)*SUMIFS('Regional split'!$F$4:$F$6,'Regional split'!$B$4:$B$6,Y$3)*SUMIFS('Data manipulation'!$V$39:$V$42,'Data manipulation'!$X$39:$X$42,$E165,'Data manipulation'!$Y$39:$Y$42,$D165)</f>
        <v>0.39210305400000001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6"/>
        <v>0.38426099291999999</v>
      </c>
      <c r="AC165" s="433">
        <f t="shared" si="247"/>
        <v>0</v>
      </c>
      <c r="AD165" s="454">
        <f t="shared" si="248"/>
        <v>0</v>
      </c>
      <c r="AU165" s="260"/>
      <c r="AZ165" s="252"/>
    </row>
    <row r="166" spans="2:52" ht="15" customHeight="1">
      <c r="B166" s="227" t="str">
        <f>B86</f>
        <v>RHTUDNGAE1</v>
      </c>
      <c r="C166" s="227" t="str">
        <f t="shared" ref="C166:G166" si="280">C86</f>
        <v>Residential Heating Technology Urban Detached - Natural Gas - Existing 1</v>
      </c>
      <c r="D166" s="227" t="str">
        <f t="shared" si="280"/>
        <v>Urban</v>
      </c>
      <c r="E166" s="227" t="str">
        <f t="shared" si="280"/>
        <v>Detached</v>
      </c>
      <c r="F166" s="227" t="str">
        <f t="shared" si="280"/>
        <v>RESNGA,RESSNG,RESBGA</v>
      </c>
      <c r="G166" s="227" t="str">
        <f t="shared" si="280"/>
        <v>RESHUDB</v>
      </c>
      <c r="H166" s="573">
        <f t="shared" ref="H166:H205" si="281">H86+Q166</f>
        <v>2040</v>
      </c>
      <c r="I166" s="250">
        <v>0</v>
      </c>
      <c r="J166" s="250">
        <v>0</v>
      </c>
      <c r="K166" s="250">
        <v>0</v>
      </c>
      <c r="L166" s="462">
        <v>0.72</v>
      </c>
      <c r="M166" s="462">
        <v>0.72</v>
      </c>
      <c r="N166" s="462">
        <v>0.72</v>
      </c>
      <c r="O166" s="244">
        <f>31.536/1000</f>
        <v>3.1536000000000002E-2</v>
      </c>
      <c r="P166" s="460">
        <v>0.2</v>
      </c>
      <c r="Q166" s="245">
        <v>22</v>
      </c>
      <c r="R166" s="227">
        <v>1.05</v>
      </c>
      <c r="T166" s="268">
        <f t="shared" si="105"/>
        <v>0</v>
      </c>
      <c r="U166" s="268"/>
      <c r="V166" s="602"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312.46247172</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224.97297963839998</v>
      </c>
      <c r="AC166" s="251">
        <f t="shared" si="178"/>
        <v>0</v>
      </c>
      <c r="AD166" s="446">
        <f t="shared" si="179"/>
        <v>0</v>
      </c>
      <c r="AE166" s="262"/>
      <c r="AU166" s="260"/>
      <c r="AZ166" s="252"/>
    </row>
    <row r="167" spans="2:52" ht="15" customHeight="1">
      <c r="B167" s="227" t="str">
        <f t="shared" ref="B167:G167" si="282">B87</f>
        <v>RHTUDDSLE1</v>
      </c>
      <c r="C167" s="227" t="str">
        <f t="shared" si="282"/>
        <v>Residential Heating Technology Urban Detached - Diesel - Existing 1</v>
      </c>
      <c r="D167" s="227" t="str">
        <f t="shared" si="282"/>
        <v>Urban</v>
      </c>
      <c r="E167" s="227" t="str">
        <f t="shared" si="282"/>
        <v>Detached</v>
      </c>
      <c r="F167" s="227" t="str">
        <f t="shared" si="282"/>
        <v>RESDSL,RESDSB</v>
      </c>
      <c r="G167" s="227" t="str">
        <f t="shared" si="282"/>
        <v>RESHUDB</v>
      </c>
      <c r="H167" s="573">
        <f t="shared" si="281"/>
        <v>2038</v>
      </c>
      <c r="I167" s="250">
        <v>0</v>
      </c>
      <c r="J167" s="250">
        <v>0</v>
      </c>
      <c r="K167" s="250">
        <v>0</v>
      </c>
      <c r="L167" s="462">
        <v>0.71</v>
      </c>
      <c r="M167" s="462">
        <v>0.71</v>
      </c>
      <c r="N167" s="462">
        <v>0.71</v>
      </c>
      <c r="O167" s="244">
        <f>31.536/1000</f>
        <v>3.1536000000000002E-2</v>
      </c>
      <c r="P167" s="460">
        <v>0.2</v>
      </c>
      <c r="Q167" s="245">
        <v>20</v>
      </c>
      <c r="R167" s="227">
        <v>1.05</v>
      </c>
      <c r="T167" s="268">
        <f t="shared" si="105"/>
        <v>0</v>
      </c>
      <c r="V167" s="602" t="str">
        <f>'Data manipulation'!$B$35</f>
        <v>Oil products</v>
      </c>
      <c r="W167" s="254" t="s">
        <v>757</v>
      </c>
      <c r="X167" s="246">
        <v>2019</v>
      </c>
      <c r="Y167" s="434">
        <f>_xlfn.IFNA(INDEX('Data manipulation'!$C$23:$O$39,MATCH($V167,'Data manipulation'!$B$23:$B$39,0),MATCH($X167,'Data manipulation'!$C$22:$O$22,0))/1000,0)*SUMIFS('Regional split'!$F$4:$F$6,'Regional split'!$B$4:$B$6,Y$3)*SUMIFS('Data manipulation'!$V$39:$V$42,'Data manipulation'!$X$39:$X$42,$E167,'Data manipulation'!$Y$39:$Y$42,$D167)</f>
        <v>339.04578875999999</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240.72251001959998</v>
      </c>
      <c r="AC167" s="251">
        <f t="shared" si="178"/>
        <v>0</v>
      </c>
      <c r="AD167" s="446">
        <f t="shared" si="179"/>
        <v>0</v>
      </c>
      <c r="AE167" s="262"/>
      <c r="AU167" s="260"/>
      <c r="AZ167" s="252"/>
    </row>
    <row r="168" spans="2:52" ht="15" customHeight="1">
      <c r="B168" s="227" t="str">
        <f t="shared" ref="B168:G168" si="283">B88</f>
        <v>RHTUDWPEE1</v>
      </c>
      <c r="C168" s="227" t="str">
        <f t="shared" si="283"/>
        <v>Residential Heating Technology Urban Detached - Wood pellets - Existing 1</v>
      </c>
      <c r="D168" s="227" t="str">
        <f t="shared" si="283"/>
        <v>Urban</v>
      </c>
      <c r="E168" s="227" t="str">
        <f t="shared" si="283"/>
        <v>Detached</v>
      </c>
      <c r="F168" s="227" t="str">
        <f t="shared" si="283"/>
        <v>RESWPE</v>
      </c>
      <c r="G168" s="227" t="str">
        <f t="shared" si="283"/>
        <v>RESHUDB</v>
      </c>
      <c r="H168" s="573">
        <f t="shared" si="281"/>
        <v>2038</v>
      </c>
      <c r="I168" s="250">
        <v>0</v>
      </c>
      <c r="J168" s="250">
        <v>0</v>
      </c>
      <c r="K168" s="250">
        <v>0</v>
      </c>
      <c r="L168" s="462">
        <v>0.61</v>
      </c>
      <c r="M168" s="462">
        <v>0.61</v>
      </c>
      <c r="N168" s="462">
        <v>0.61</v>
      </c>
      <c r="O168" s="244">
        <f t="shared" ref="O168:O185" si="284">31.536/1000</f>
        <v>3.1536000000000002E-2</v>
      </c>
      <c r="P168" s="460">
        <v>0.2</v>
      </c>
      <c r="Q168" s="245">
        <v>20</v>
      </c>
      <c r="R168" s="227">
        <v>1.05</v>
      </c>
      <c r="T168" s="268">
        <f t="shared" si="105"/>
        <v>0</v>
      </c>
      <c r="U168" s="268"/>
      <c r="V168" s="602" t="s">
        <v>206</v>
      </c>
      <c r="W168" s="254" t="s">
        <v>927</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5">B89</f>
        <v>RHTUDFIWE1</v>
      </c>
      <c r="C169" s="227" t="str">
        <f t="shared" si="285"/>
        <v>Residential Heating Technology Urban Detached - Fire wood - Existing 1</v>
      </c>
      <c r="D169" s="227" t="str">
        <f t="shared" si="285"/>
        <v>Urban</v>
      </c>
      <c r="E169" s="227" t="str">
        <f t="shared" si="285"/>
        <v>Detached</v>
      </c>
      <c r="F169" s="227" t="str">
        <f t="shared" si="285"/>
        <v>RESFIW</v>
      </c>
      <c r="G169" s="227" t="str">
        <f t="shared" si="285"/>
        <v>RESHUDB</v>
      </c>
      <c r="H169" s="573">
        <f t="shared" si="281"/>
        <v>2038</v>
      </c>
      <c r="I169" s="250">
        <v>0</v>
      </c>
      <c r="J169" s="250">
        <v>0</v>
      </c>
      <c r="K169" s="250">
        <v>0</v>
      </c>
      <c r="L169" s="462">
        <v>0.65000022993955098</v>
      </c>
      <c r="M169" s="462">
        <v>0.65000022993955098</v>
      </c>
      <c r="N169" s="462">
        <v>0.65000022993955098</v>
      </c>
      <c r="O169" s="244">
        <f t="shared" si="284"/>
        <v>3.1536000000000002E-2</v>
      </c>
      <c r="P169" s="460">
        <v>0.2</v>
      </c>
      <c r="Q169" s="245">
        <v>20</v>
      </c>
      <c r="R169" s="227">
        <v>1.05</v>
      </c>
      <c r="T169" s="268">
        <f t="shared" si="105"/>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59.285778503523787</v>
      </c>
      <c r="AC169" s="251">
        <f t="shared" si="178"/>
        <v>0</v>
      </c>
      <c r="AD169" s="446">
        <f t="shared" si="179"/>
        <v>0</v>
      </c>
      <c r="AE169" s="262"/>
      <c r="AU169" s="260"/>
      <c r="AZ169" s="252"/>
    </row>
    <row r="170" spans="2:52" ht="15" customHeight="1">
      <c r="B170" s="233" t="str">
        <f t="shared" ref="B170:G170" si="286">B90</f>
        <v>RHTUDCOAE1</v>
      </c>
      <c r="C170" s="233" t="str">
        <f t="shared" si="286"/>
        <v>Residential Heating Technology Urban Detached - Coal - Existing 1</v>
      </c>
      <c r="D170" s="233" t="str">
        <f t="shared" si="286"/>
        <v>Urban</v>
      </c>
      <c r="E170" s="233" t="str">
        <f t="shared" si="286"/>
        <v>Detached</v>
      </c>
      <c r="F170" s="233" t="str">
        <f t="shared" si="286"/>
        <v>RESCOA</v>
      </c>
      <c r="G170" s="233" t="str">
        <f t="shared" si="286"/>
        <v>RESHUDB</v>
      </c>
      <c r="H170" s="573">
        <f t="shared" si="281"/>
        <v>2038</v>
      </c>
      <c r="I170" s="250">
        <v>0</v>
      </c>
      <c r="J170" s="250">
        <v>0</v>
      </c>
      <c r="K170" s="250">
        <v>0</v>
      </c>
      <c r="L170" s="462">
        <v>0.7</v>
      </c>
      <c r="M170" s="462">
        <v>0.7</v>
      </c>
      <c r="N170" s="462">
        <v>0.7</v>
      </c>
      <c r="O170" s="244">
        <f t="shared" si="284"/>
        <v>3.1536000000000002E-2</v>
      </c>
      <c r="P170" s="460">
        <v>0.2</v>
      </c>
      <c r="Q170" s="245">
        <v>20</v>
      </c>
      <c r="R170" s="227">
        <v>1.05</v>
      </c>
      <c r="T170" s="268">
        <f t="shared" si="105"/>
        <v>0</v>
      </c>
      <c r="U170" s="268"/>
      <c r="V170" s="602" t="str">
        <f>'Data manipulation'!$B$23</f>
        <v>Solid fossil fuels, peat, peat products, oil shale and oil sands</v>
      </c>
      <c r="W170" s="254" t="s">
        <v>924</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7">B91</f>
        <v>RHTUDSOLE1</v>
      </c>
      <c r="C171" s="233" t="str">
        <f t="shared" si="287"/>
        <v>Residential Heating Technology Urban Detached - Solar - Existing 1</v>
      </c>
      <c r="D171" s="233" t="str">
        <f t="shared" si="287"/>
        <v>Urban</v>
      </c>
      <c r="E171" s="233" t="str">
        <f t="shared" si="287"/>
        <v>Detached</v>
      </c>
      <c r="F171" s="233" t="str">
        <f t="shared" si="287"/>
        <v>RESSOL</v>
      </c>
      <c r="G171" s="233" t="str">
        <f t="shared" si="287"/>
        <v>RESHUDB</v>
      </c>
      <c r="H171" s="573">
        <f t="shared" si="281"/>
        <v>2038</v>
      </c>
      <c r="I171" s="250">
        <v>0</v>
      </c>
      <c r="J171" s="250">
        <v>0</v>
      </c>
      <c r="K171" s="250">
        <v>0</v>
      </c>
      <c r="L171" s="462">
        <v>1</v>
      </c>
      <c r="M171" s="462">
        <v>1</v>
      </c>
      <c r="N171" s="462">
        <v>1</v>
      </c>
      <c r="O171" s="244">
        <f t="shared" si="284"/>
        <v>3.1536000000000002E-2</v>
      </c>
      <c r="P171" s="460">
        <v>0.2</v>
      </c>
      <c r="Q171" s="245">
        <v>20</v>
      </c>
      <c r="R171" s="227">
        <v>1.05</v>
      </c>
      <c r="T171" s="268">
        <f t="shared" si="105"/>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8">B92</f>
        <v>RHTUDELCHE1</v>
      </c>
      <c r="C172" s="233" t="str">
        <f t="shared" si="288"/>
        <v>Residential Heating Technology Urban Detached - Electricity Heating - Existing 1</v>
      </c>
      <c r="D172" s="233" t="str">
        <f t="shared" si="288"/>
        <v>Urban</v>
      </c>
      <c r="E172" s="233" t="str">
        <f t="shared" si="288"/>
        <v>Detached</v>
      </c>
      <c r="F172" s="233" t="str">
        <f t="shared" si="288"/>
        <v>RESELCH</v>
      </c>
      <c r="G172" s="233" t="str">
        <f t="shared" si="288"/>
        <v>RESHUDB</v>
      </c>
      <c r="H172" s="573">
        <f t="shared" si="281"/>
        <v>2048</v>
      </c>
      <c r="I172" s="250">
        <v>0</v>
      </c>
      <c r="J172" s="250">
        <v>0</v>
      </c>
      <c r="K172" s="250">
        <v>0</v>
      </c>
      <c r="L172" s="462">
        <v>1</v>
      </c>
      <c r="M172" s="462">
        <v>1</v>
      </c>
      <c r="N172" s="462">
        <v>1</v>
      </c>
      <c r="O172" s="244">
        <f t="shared" si="284"/>
        <v>3.1536000000000002E-2</v>
      </c>
      <c r="P172" s="460">
        <v>0.2</v>
      </c>
      <c r="Q172" s="245">
        <v>30</v>
      </c>
      <c r="R172" s="227">
        <v>1.05</v>
      </c>
      <c r="T172" s="268">
        <f t="shared" si="105"/>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89">B93</f>
        <v>RHTUDELCHE2</v>
      </c>
      <c r="C173" s="233" t="str">
        <f t="shared" si="289"/>
        <v>Residential Heating Technology Urban Detached - Electricity Heating - Existing 2</v>
      </c>
      <c r="D173" s="233" t="str">
        <f t="shared" si="289"/>
        <v>Urban</v>
      </c>
      <c r="E173" s="233" t="str">
        <f t="shared" si="289"/>
        <v>Detached</v>
      </c>
      <c r="F173" s="233" t="str">
        <f t="shared" si="289"/>
        <v>RESELCH</v>
      </c>
      <c r="G173" s="233" t="str">
        <f t="shared" si="289"/>
        <v>RESHUDB</v>
      </c>
      <c r="H173" s="573">
        <f t="shared" si="281"/>
        <v>2048</v>
      </c>
      <c r="I173" s="250">
        <v>0</v>
      </c>
      <c r="J173" s="250">
        <v>0</v>
      </c>
      <c r="K173" s="250">
        <v>0</v>
      </c>
      <c r="L173" s="462">
        <v>2.3149999999999999</v>
      </c>
      <c r="M173" s="462">
        <v>2.3149999999999999</v>
      </c>
      <c r="N173" s="462">
        <v>2.3149999999999999</v>
      </c>
      <c r="O173" s="244">
        <f t="shared" si="284"/>
        <v>3.1536000000000002E-2</v>
      </c>
      <c r="P173" s="460">
        <v>0.2</v>
      </c>
      <c r="Q173" s="245">
        <v>30</v>
      </c>
      <c r="R173" s="227">
        <v>1.05</v>
      </c>
      <c r="T173" s="268">
        <f t="shared" si="105"/>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0">B94</f>
        <v>RHTUDHCEE1</v>
      </c>
      <c r="C174" s="233" t="str">
        <f t="shared" si="290"/>
        <v>Residential Heating Technology Urban Detached - District heating Central - Existing 1</v>
      </c>
      <c r="D174" s="233" t="str">
        <f t="shared" si="290"/>
        <v>Urban</v>
      </c>
      <c r="E174" s="233" t="str">
        <f t="shared" si="290"/>
        <v>Detached</v>
      </c>
      <c r="F174" s="233" t="str">
        <f t="shared" si="290"/>
        <v>RESHCE</v>
      </c>
      <c r="G174" s="233" t="str">
        <f t="shared" si="290"/>
        <v>RESHUDX</v>
      </c>
      <c r="H174" s="573">
        <f t="shared" si="281"/>
        <v>2048</v>
      </c>
      <c r="I174" s="572">
        <v>0</v>
      </c>
      <c r="J174" s="572">
        <v>0</v>
      </c>
      <c r="K174" s="572">
        <v>0</v>
      </c>
      <c r="L174" s="462">
        <v>0.95</v>
      </c>
      <c r="M174" s="462">
        <v>0.95</v>
      </c>
      <c r="N174" s="462">
        <v>0.95</v>
      </c>
      <c r="O174" s="244">
        <f t="shared" si="284"/>
        <v>3.1536000000000002E-2</v>
      </c>
      <c r="P174" s="460">
        <v>0.2</v>
      </c>
      <c r="Q174" s="245">
        <v>30</v>
      </c>
      <c r="R174" s="227">
        <v>1.05</v>
      </c>
      <c r="T174" s="268">
        <f t="shared" si="105"/>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1">B95</f>
        <v>RHTUDLPGE1</v>
      </c>
      <c r="C175" s="255" t="str">
        <f t="shared" si="291"/>
        <v>Residential Heating Technology Urban Detached - LPG - Existing 1</v>
      </c>
      <c r="D175" s="535" t="str">
        <f t="shared" si="291"/>
        <v>Urban</v>
      </c>
      <c r="E175" s="535" t="str">
        <f t="shared" si="291"/>
        <v>Detached</v>
      </c>
      <c r="F175" s="255" t="str">
        <f t="shared" si="291"/>
        <v>RESLPG</v>
      </c>
      <c r="G175" s="255" t="str">
        <f t="shared" si="291"/>
        <v>RESHUDB</v>
      </c>
      <c r="H175" s="575">
        <f t="shared" si="281"/>
        <v>2048</v>
      </c>
      <c r="I175" s="297">
        <v>0</v>
      </c>
      <c r="J175" s="297">
        <v>0</v>
      </c>
      <c r="K175" s="297">
        <v>0</v>
      </c>
      <c r="L175" s="463">
        <v>0.95</v>
      </c>
      <c r="M175" s="463">
        <v>0.95</v>
      </c>
      <c r="N175" s="463">
        <v>0.95</v>
      </c>
      <c r="O175" s="257">
        <f t="shared" si="284"/>
        <v>3.1536000000000002E-2</v>
      </c>
      <c r="P175" s="460">
        <v>0.2</v>
      </c>
      <c r="Q175" s="258">
        <v>30</v>
      </c>
      <c r="R175" s="227">
        <v>1.05</v>
      </c>
      <c r="T175" s="268">
        <f t="shared" ref="T175:T205" si="292">SUM(I175:K175)*O175*P175/L175</f>
        <v>0</v>
      </c>
      <c r="U175" s="268"/>
      <c r="V175" s="602" t="str">
        <f>'Data manipulation'!$B$25</f>
        <v>Liquefied natural gas</v>
      </c>
      <c r="W175" s="428" t="s">
        <v>798</v>
      </c>
      <c r="X175" s="246">
        <v>2019</v>
      </c>
      <c r="Y175" s="434">
        <f>_xlfn.IFNA(INDEX('Data manipulation'!$C$23:$O$39,MATCH($V175,'Data manipulation'!$B$23:$B$39,0),MATCH($X175,'Data manipulation'!$C$22:$O$22,0))/1000,0)*SUMIFS('Regional split'!$F$4:$F$6,'Regional split'!$B$4:$B$6,Y$3)*SUMIFS('Data manipulation'!$V$39:$V$42,'Data manipulation'!$X$39:$X$42,$E175,'Data manipulation'!$Y$39:$Y$42,$D175)</f>
        <v>11.763091619999999</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11.174937038999998</v>
      </c>
      <c r="AC175" s="277">
        <f t="shared" si="178"/>
        <v>0</v>
      </c>
      <c r="AD175" s="448">
        <f t="shared" si="179"/>
        <v>0</v>
      </c>
      <c r="AU175" s="260"/>
      <c r="AZ175" s="252"/>
    </row>
    <row r="176" spans="2:52" ht="15" customHeight="1">
      <c r="B176" s="233" t="str">
        <f t="shared" ref="B176:G176" si="293">B96</f>
        <v>RHTRDNGAE1</v>
      </c>
      <c r="C176" s="233" t="str">
        <f t="shared" si="293"/>
        <v>Residential Heating Technology Rural Detached - Natural Gas - Existing 1</v>
      </c>
      <c r="D176" s="233" t="str">
        <f t="shared" si="293"/>
        <v>Rural</v>
      </c>
      <c r="E176" s="233" t="str">
        <f t="shared" si="293"/>
        <v>Detached</v>
      </c>
      <c r="F176" s="233" t="str">
        <f t="shared" si="293"/>
        <v>RESNGA,RESSNG</v>
      </c>
      <c r="G176" s="233" t="str">
        <f t="shared" si="293"/>
        <v>RESHRDB</v>
      </c>
      <c r="H176" s="574">
        <f t="shared" si="281"/>
        <v>2043</v>
      </c>
      <c r="I176" s="250">
        <v>0</v>
      </c>
      <c r="J176" s="250">
        <v>0</v>
      </c>
      <c r="K176" s="250">
        <v>0</v>
      </c>
      <c r="L176" s="462">
        <v>0.79</v>
      </c>
      <c r="M176" s="462">
        <v>0.79</v>
      </c>
      <c r="N176" s="462">
        <v>0.79</v>
      </c>
      <c r="O176" s="244">
        <f t="shared" si="284"/>
        <v>3.1536000000000002E-2</v>
      </c>
      <c r="P176" s="460">
        <v>0.2</v>
      </c>
      <c r="Q176" s="245">
        <v>25</v>
      </c>
      <c r="R176" s="227">
        <v>1.05</v>
      </c>
      <c r="T176" s="268">
        <f t="shared" si="292"/>
        <v>0</v>
      </c>
      <c r="U176" s="268"/>
      <c r="V176" s="602"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237.32268685400001</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187.48492261466001</v>
      </c>
      <c r="AC176" s="278">
        <f t="shared" si="178"/>
        <v>0</v>
      </c>
      <c r="AD176" s="449">
        <f t="shared" si="179"/>
        <v>0</v>
      </c>
      <c r="AU176" s="260"/>
      <c r="AZ176" s="252"/>
    </row>
    <row r="177" spans="2:52" ht="15" customHeight="1">
      <c r="B177" s="233" t="str">
        <f t="shared" ref="B177:G177" si="294">B97</f>
        <v>RHTRDDSLE1</v>
      </c>
      <c r="C177" s="233" t="str">
        <f t="shared" si="294"/>
        <v>Residential Heating Technology Rural Detached - Diesel - Existing 1</v>
      </c>
      <c r="D177" s="233" t="str">
        <f t="shared" si="294"/>
        <v>Rural</v>
      </c>
      <c r="E177" s="233" t="str">
        <f t="shared" si="294"/>
        <v>Detached</v>
      </c>
      <c r="F177" s="233" t="str">
        <f t="shared" si="294"/>
        <v>RESDSL,RESDSB</v>
      </c>
      <c r="G177" s="233" t="str">
        <f t="shared" si="294"/>
        <v>RESHRDB</v>
      </c>
      <c r="H177" s="574">
        <f t="shared" si="281"/>
        <v>2038</v>
      </c>
      <c r="I177" s="250">
        <v>0</v>
      </c>
      <c r="J177" s="250">
        <v>0</v>
      </c>
      <c r="K177" s="250">
        <v>0</v>
      </c>
      <c r="L177" s="462">
        <v>0.79</v>
      </c>
      <c r="M177" s="462">
        <v>0.79</v>
      </c>
      <c r="N177" s="462">
        <v>0.79</v>
      </c>
      <c r="O177" s="244">
        <f t="shared" si="284"/>
        <v>3.1536000000000002E-2</v>
      </c>
      <c r="P177" s="460">
        <v>0.2</v>
      </c>
      <c r="Q177" s="245">
        <v>20</v>
      </c>
      <c r="R177" s="227">
        <v>1.05</v>
      </c>
      <c r="T177" s="268">
        <f t="shared" si="292"/>
        <v>0</v>
      </c>
      <c r="V177" s="602" t="str">
        <f>'Data manipulation'!$B$35</f>
        <v>Oil products</v>
      </c>
      <c r="W177" s="254" t="s">
        <v>757</v>
      </c>
      <c r="X177" s="246">
        <v>2019</v>
      </c>
      <c r="Y177" s="434">
        <f>_xlfn.IFNA(INDEX('Data manipulation'!$C$23:$O$39,MATCH($V177,'Data manipulation'!$B$23:$B$39,0),MATCH($X177,'Data manipulation'!$C$22:$O$22,0))/1000,0)*SUMIFS('Regional split'!$F$4:$F$6,'Regional split'!$B$4:$B$6,Y$3)*SUMIFS('Data manipulation'!$V$39:$V$42,'Data manipulation'!$X$39:$X$42,$E177,'Data manipulation'!$Y$39:$Y$42,$D177)</f>
        <v>257.51334908199999</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203.43554577478</v>
      </c>
      <c r="AC177" s="251">
        <f t="shared" si="178"/>
        <v>0</v>
      </c>
      <c r="AD177" s="446">
        <f t="shared" si="179"/>
        <v>0</v>
      </c>
      <c r="AU177" s="260"/>
      <c r="AZ177" s="252"/>
    </row>
    <row r="178" spans="2:52" ht="15" customHeight="1">
      <c r="B178" s="233" t="str">
        <f t="shared" ref="B178:G178" si="295">B98</f>
        <v>RHTRDWPEE1</v>
      </c>
      <c r="C178" s="233" t="str">
        <f t="shared" si="295"/>
        <v>Residential Heating Technology Rural Detached - Wood pellets - Existing 1</v>
      </c>
      <c r="D178" s="233" t="str">
        <f t="shared" si="295"/>
        <v>Rural</v>
      </c>
      <c r="E178" s="233" t="str">
        <f t="shared" si="295"/>
        <v>Detached</v>
      </c>
      <c r="F178" s="233" t="str">
        <f t="shared" si="295"/>
        <v>RESWPE</v>
      </c>
      <c r="G178" s="233" t="str">
        <f t="shared" si="295"/>
        <v>RESHRDB</v>
      </c>
      <c r="H178" s="574">
        <f t="shared" si="281"/>
        <v>2038</v>
      </c>
      <c r="I178" s="250">
        <v>0</v>
      </c>
      <c r="J178" s="250">
        <v>0</v>
      </c>
      <c r="K178" s="250">
        <v>0</v>
      </c>
      <c r="L178" s="462">
        <v>0.67</v>
      </c>
      <c r="M178" s="462">
        <v>0.67</v>
      </c>
      <c r="N178" s="462">
        <v>0.67</v>
      </c>
      <c r="O178" s="244">
        <f>31.536/1000</f>
        <v>3.1536000000000002E-2</v>
      </c>
      <c r="P178" s="460">
        <v>0.2</v>
      </c>
      <c r="Q178" s="245">
        <v>20</v>
      </c>
      <c r="R178" s="227">
        <v>1.05</v>
      </c>
      <c r="T178" s="268">
        <f t="shared" si="292"/>
        <v>0</v>
      </c>
      <c r="U178" s="268"/>
      <c r="V178" s="602" t="s">
        <v>206</v>
      </c>
      <c r="W178" s="254" t="s">
        <v>927</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6">B99</f>
        <v>RHTRDFIWE1</v>
      </c>
      <c r="C179" s="233" t="str">
        <f t="shared" si="296"/>
        <v>Residential Heating Technology Rural Detached - Fire wood - Existing 1</v>
      </c>
      <c r="D179" s="233" t="str">
        <f t="shared" si="296"/>
        <v>Rural</v>
      </c>
      <c r="E179" s="233" t="str">
        <f t="shared" si="296"/>
        <v>Detached</v>
      </c>
      <c r="F179" s="233" t="str">
        <f t="shared" si="296"/>
        <v>RESFIW</v>
      </c>
      <c r="G179" s="233" t="str">
        <f t="shared" si="296"/>
        <v>RESHRDB</v>
      </c>
      <c r="H179" s="574">
        <f t="shared" si="281"/>
        <v>2038</v>
      </c>
      <c r="I179" s="250">
        <v>0</v>
      </c>
      <c r="J179" s="250">
        <v>0</v>
      </c>
      <c r="K179" s="250">
        <v>0</v>
      </c>
      <c r="L179" s="462">
        <v>0.67</v>
      </c>
      <c r="M179" s="462">
        <v>0.67</v>
      </c>
      <c r="N179" s="462">
        <v>0.67</v>
      </c>
      <c r="O179" s="244">
        <f>31.536/1000</f>
        <v>3.1536000000000002E-2</v>
      </c>
      <c r="P179" s="460">
        <v>0.2</v>
      </c>
      <c r="Q179" s="245">
        <v>20</v>
      </c>
      <c r="R179" s="227">
        <v>1.05</v>
      </c>
      <c r="T179" s="268">
        <f t="shared" si="292"/>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46.414450392310002</v>
      </c>
      <c r="AC179" s="251">
        <f t="shared" si="178"/>
        <v>0</v>
      </c>
      <c r="AD179" s="446">
        <f t="shared" si="179"/>
        <v>0</v>
      </c>
      <c r="AU179" s="260"/>
      <c r="AZ179" s="252"/>
    </row>
    <row r="180" spans="2:52" ht="15" customHeight="1">
      <c r="B180" s="233" t="str">
        <f t="shared" ref="B180:G180" si="297">B100</f>
        <v>RHTRDCOAE1</v>
      </c>
      <c r="C180" s="233" t="str">
        <f t="shared" si="297"/>
        <v>Residential Heating Technology Rural Detached - Coal - Existing 1</v>
      </c>
      <c r="D180" s="233" t="str">
        <f t="shared" si="297"/>
        <v>Rural</v>
      </c>
      <c r="E180" s="233" t="str">
        <f t="shared" si="297"/>
        <v>Detached</v>
      </c>
      <c r="F180" s="233" t="str">
        <f t="shared" si="297"/>
        <v>RESCOA</v>
      </c>
      <c r="G180" s="233" t="str">
        <f t="shared" si="297"/>
        <v>RESHRDB</v>
      </c>
      <c r="H180" s="574">
        <f t="shared" si="281"/>
        <v>2038</v>
      </c>
      <c r="I180" s="250">
        <v>0</v>
      </c>
      <c r="J180" s="250">
        <v>0</v>
      </c>
      <c r="K180" s="250">
        <v>0</v>
      </c>
      <c r="L180" s="462">
        <v>0.72</v>
      </c>
      <c r="M180" s="462">
        <v>0.72</v>
      </c>
      <c r="N180" s="462">
        <v>0.72</v>
      </c>
      <c r="O180" s="244">
        <f t="shared" si="284"/>
        <v>3.1536000000000002E-2</v>
      </c>
      <c r="P180" s="460">
        <v>0.2</v>
      </c>
      <c r="Q180" s="245">
        <v>20</v>
      </c>
      <c r="R180" s="227">
        <v>1.05</v>
      </c>
      <c r="T180" s="268">
        <f t="shared" si="292"/>
        <v>0</v>
      </c>
      <c r="U180" s="268"/>
      <c r="V180" s="602" t="str">
        <f>'Data manipulation'!$B$23</f>
        <v>Solid fossil fuels, peat, peat products, oil shale and oil sands</v>
      </c>
      <c r="W180" s="254" t="s">
        <v>924</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8">B101</f>
        <v>RHTRDSOLE1</v>
      </c>
      <c r="C181" s="233" t="str">
        <f t="shared" si="298"/>
        <v>Residential Heating Technology Rural Detached - Solar - Existing 1</v>
      </c>
      <c r="D181" s="233" t="str">
        <f t="shared" si="298"/>
        <v>Rural</v>
      </c>
      <c r="E181" s="233" t="str">
        <f t="shared" si="298"/>
        <v>Detached</v>
      </c>
      <c r="F181" s="233" t="str">
        <f t="shared" si="298"/>
        <v>RESSOL</v>
      </c>
      <c r="G181" s="233" t="str">
        <f t="shared" si="298"/>
        <v>RESHRDB</v>
      </c>
      <c r="H181" s="574">
        <f t="shared" si="281"/>
        <v>2038</v>
      </c>
      <c r="I181" s="250">
        <v>0</v>
      </c>
      <c r="J181" s="250">
        <v>0</v>
      </c>
      <c r="K181" s="250">
        <v>0</v>
      </c>
      <c r="L181" s="462">
        <v>1</v>
      </c>
      <c r="M181" s="462">
        <v>1</v>
      </c>
      <c r="N181" s="462">
        <v>1</v>
      </c>
      <c r="O181" s="244">
        <f t="shared" si="284"/>
        <v>3.1536000000000002E-2</v>
      </c>
      <c r="P181" s="460">
        <v>0.2</v>
      </c>
      <c r="Q181" s="245">
        <v>20</v>
      </c>
      <c r="R181" s="227">
        <v>1.05</v>
      </c>
      <c r="T181" s="268">
        <f t="shared" si="292"/>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299">B102</f>
        <v>RHTRDELCHE1</v>
      </c>
      <c r="C182" s="233" t="str">
        <f t="shared" si="299"/>
        <v>Residential Heating Technology Rural Detached - Electricity Heating - Existing 1</v>
      </c>
      <c r="D182" s="233" t="str">
        <f t="shared" si="299"/>
        <v>Rural</v>
      </c>
      <c r="E182" s="233" t="str">
        <f t="shared" si="299"/>
        <v>Detached</v>
      </c>
      <c r="F182" s="233" t="str">
        <f t="shared" si="299"/>
        <v>RESELCH</v>
      </c>
      <c r="G182" s="233" t="str">
        <f t="shared" si="299"/>
        <v>RESHRDB</v>
      </c>
      <c r="H182" s="574">
        <f t="shared" si="281"/>
        <v>2048</v>
      </c>
      <c r="I182" s="250">
        <v>0</v>
      </c>
      <c r="J182" s="250">
        <v>0</v>
      </c>
      <c r="K182" s="250">
        <v>0</v>
      </c>
      <c r="L182" s="462">
        <v>1</v>
      </c>
      <c r="M182" s="462">
        <v>1</v>
      </c>
      <c r="N182" s="462">
        <v>1</v>
      </c>
      <c r="O182" s="244">
        <f t="shared" si="284"/>
        <v>3.1536000000000002E-2</v>
      </c>
      <c r="P182" s="460">
        <v>0.2</v>
      </c>
      <c r="Q182" s="245">
        <v>30</v>
      </c>
      <c r="R182" s="227">
        <v>1.05</v>
      </c>
      <c r="T182" s="268">
        <f t="shared" si="292"/>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0">B103</f>
        <v>RHTRDELCHE2</v>
      </c>
      <c r="C183" s="233" t="str">
        <f t="shared" si="300"/>
        <v>Residential Heating Technology Rural Detached - Electricity Heating - Existing 2</v>
      </c>
      <c r="D183" s="233" t="str">
        <f t="shared" si="300"/>
        <v>Rural</v>
      </c>
      <c r="E183" s="233" t="str">
        <f t="shared" si="300"/>
        <v>Detached</v>
      </c>
      <c r="F183" s="233" t="str">
        <f t="shared" si="300"/>
        <v>RESELCH</v>
      </c>
      <c r="G183" s="233" t="str">
        <f t="shared" si="300"/>
        <v>RESHRDB</v>
      </c>
      <c r="H183" s="574">
        <f t="shared" si="281"/>
        <v>2048</v>
      </c>
      <c r="I183" s="250">
        <v>0</v>
      </c>
      <c r="J183" s="250">
        <v>0</v>
      </c>
      <c r="K183" s="250">
        <v>0</v>
      </c>
      <c r="L183" s="462">
        <v>2.3149999999999999</v>
      </c>
      <c r="M183" s="462">
        <v>2.3149999999999999</v>
      </c>
      <c r="N183" s="462">
        <v>2.3149999999999999</v>
      </c>
      <c r="O183" s="244">
        <f t="shared" si="284"/>
        <v>3.1536000000000002E-2</v>
      </c>
      <c r="P183" s="460">
        <v>0.2</v>
      </c>
      <c r="Q183" s="245">
        <v>30</v>
      </c>
      <c r="R183" s="227">
        <v>1.05</v>
      </c>
      <c r="T183" s="268">
        <f t="shared" si="292"/>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1">B104</f>
        <v>RHTRDHCEE1</v>
      </c>
      <c r="C184" s="233" t="str">
        <f t="shared" si="301"/>
        <v>Residential Heating Technology Rural Detached - District heating Central - Existing 1</v>
      </c>
      <c r="D184" s="233" t="str">
        <f t="shared" si="301"/>
        <v>Rural</v>
      </c>
      <c r="E184" s="233" t="str">
        <f t="shared" si="301"/>
        <v>Detached</v>
      </c>
      <c r="F184" s="233" t="str">
        <f t="shared" si="301"/>
        <v>RESHDE</v>
      </c>
      <c r="G184" s="233" t="str">
        <f t="shared" si="301"/>
        <v>RESHRDX</v>
      </c>
      <c r="H184" s="576">
        <f t="shared" si="281"/>
        <v>2048</v>
      </c>
      <c r="I184" s="572">
        <v>0</v>
      </c>
      <c r="J184" s="572">
        <v>0</v>
      </c>
      <c r="K184" s="572">
        <v>0</v>
      </c>
      <c r="L184" s="462">
        <v>0.98</v>
      </c>
      <c r="M184" s="462">
        <v>0.98</v>
      </c>
      <c r="N184" s="462">
        <v>0.98</v>
      </c>
      <c r="O184" s="244">
        <f t="shared" si="284"/>
        <v>3.1536000000000002E-2</v>
      </c>
      <c r="P184" s="460">
        <v>0.2</v>
      </c>
      <c r="Q184" s="245">
        <v>30</v>
      </c>
      <c r="R184" s="227">
        <v>1.05</v>
      </c>
      <c r="T184" s="268">
        <f t="shared" si="292"/>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2">B105</f>
        <v>RHTRDLPGE1</v>
      </c>
      <c r="C185" s="233" t="str">
        <f t="shared" si="302"/>
        <v>Residential Heating Technology Rural Detached - LPG - Existing 1</v>
      </c>
      <c r="D185" s="233" t="str">
        <f t="shared" si="302"/>
        <v>Rural</v>
      </c>
      <c r="E185" s="233" t="str">
        <f t="shared" si="302"/>
        <v>Detached</v>
      </c>
      <c r="F185" s="233" t="str">
        <f t="shared" si="302"/>
        <v>RESLPG</v>
      </c>
      <c r="G185" s="233" t="str">
        <f t="shared" si="302"/>
        <v>RESHRDB</v>
      </c>
      <c r="H185" s="576">
        <f t="shared" si="281"/>
        <v>2048</v>
      </c>
      <c r="I185" s="250">
        <v>0</v>
      </c>
      <c r="J185" s="250">
        <v>0</v>
      </c>
      <c r="K185" s="250">
        <v>0</v>
      </c>
      <c r="L185" s="462">
        <v>0.98</v>
      </c>
      <c r="M185" s="462">
        <v>0.98</v>
      </c>
      <c r="N185" s="462">
        <v>0.98</v>
      </c>
      <c r="O185" s="244">
        <f t="shared" si="284"/>
        <v>3.1536000000000002E-2</v>
      </c>
      <c r="P185" s="460">
        <v>0.2</v>
      </c>
      <c r="Q185" s="245">
        <v>30</v>
      </c>
      <c r="R185" s="227">
        <v>1.05</v>
      </c>
      <c r="T185" s="268">
        <f t="shared" si="292"/>
        <v>0</v>
      </c>
      <c r="U185" s="268"/>
      <c r="V185" s="602" t="str">
        <f>'Data manipulation'!$B$25</f>
        <v>Liquefied natural gas</v>
      </c>
      <c r="W185" s="428" t="s">
        <v>798</v>
      </c>
      <c r="X185" s="246">
        <v>2019</v>
      </c>
      <c r="Y185" s="434">
        <f>_xlfn.IFNA(INDEX('Data manipulation'!$C$23:$O$39,MATCH($V185,'Data manipulation'!$B$23:$B$39,0),MATCH($X185,'Data manipulation'!$C$22:$O$22,0))/1000,0)*SUMIFS('Regional split'!$F$4:$F$6,'Regional split'!$B$4:$B$6,Y$3)*SUMIFS('Data manipulation'!$V$39:$V$42,'Data manipulation'!$X$39:$X$42,$E185,'Data manipulation'!$Y$39:$Y$42,$D185)</f>
        <v>8.9343481590000007</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8.7556611958200001</v>
      </c>
      <c r="AC185" s="433">
        <f t="shared" si="178"/>
        <v>0</v>
      </c>
      <c r="AD185" s="454">
        <f t="shared" si="179"/>
        <v>0</v>
      </c>
      <c r="AU185" s="260"/>
      <c r="AZ185" s="252"/>
    </row>
    <row r="186" spans="2:52" ht="15" customHeight="1">
      <c r="B186" s="227" t="str">
        <f t="shared" ref="B186:E186" si="303">B106</f>
        <v>RHTUMNGAE1</v>
      </c>
      <c r="C186" s="227" t="str">
        <f t="shared" si="303"/>
        <v>Residential Heating Technology Urban Multi - Natural Gas - Existing 1</v>
      </c>
      <c r="D186" s="227" t="str">
        <f t="shared" si="303"/>
        <v>Urban</v>
      </c>
      <c r="E186" s="227" t="str">
        <f t="shared" si="303"/>
        <v>Multi storey</v>
      </c>
      <c r="F186" s="227" t="str">
        <f>F106</f>
        <v>RESNGA,RESSNG</v>
      </c>
      <c r="G186" s="227" t="str">
        <f>G106</f>
        <v>RESHUMB</v>
      </c>
      <c r="H186" s="573">
        <f t="shared" si="281"/>
        <v>2040</v>
      </c>
      <c r="I186" s="250">
        <v>0</v>
      </c>
      <c r="J186" s="250">
        <v>0</v>
      </c>
      <c r="K186" s="250">
        <v>0</v>
      </c>
      <c r="L186" s="462">
        <v>0.72</v>
      </c>
      <c r="M186" s="462">
        <v>0.72</v>
      </c>
      <c r="N186" s="462">
        <v>0.72</v>
      </c>
      <c r="O186" s="244">
        <f>31.536/1000</f>
        <v>3.1536000000000002E-2</v>
      </c>
      <c r="P186" s="460">
        <v>0.2</v>
      </c>
      <c r="Q186" s="245">
        <v>22</v>
      </c>
      <c r="R186" s="227">
        <v>1.05</v>
      </c>
      <c r="T186" s="268">
        <f t="shared" si="292"/>
        <v>0</v>
      </c>
      <c r="U186" s="268"/>
      <c r="V186" s="602"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183.75769170199999</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4">Y186*L186</f>
        <v>132.30553802544</v>
      </c>
      <c r="AC186" s="251">
        <f t="shared" ref="AC186:AC205" si="305">Z186*M186</f>
        <v>0</v>
      </c>
      <c r="AD186" s="446">
        <f t="shared" ref="AD186:AD205" si="306">AA186*N186</f>
        <v>0</v>
      </c>
      <c r="AE186" s="262"/>
      <c r="AU186" s="260"/>
      <c r="AZ186" s="252"/>
    </row>
    <row r="187" spans="2:52" ht="15" customHeight="1">
      <c r="B187" s="227" t="str">
        <f t="shared" ref="B187:G187" si="307">B107</f>
        <v>RHTUMDSLE1</v>
      </c>
      <c r="C187" s="227" t="str">
        <f t="shared" si="307"/>
        <v>Residential Heating Technology Urban Multi - Diesel - Existing 1</v>
      </c>
      <c r="D187" s="227" t="str">
        <f t="shared" si="307"/>
        <v>Urban</v>
      </c>
      <c r="E187" s="227" t="str">
        <f t="shared" si="307"/>
        <v>Multi storey</v>
      </c>
      <c r="F187" s="227" t="str">
        <f t="shared" si="307"/>
        <v>RESDSL,RESDSB</v>
      </c>
      <c r="G187" s="227" t="str">
        <f t="shared" si="307"/>
        <v>RESHUMB</v>
      </c>
      <c r="H187" s="573">
        <f t="shared" si="281"/>
        <v>2038</v>
      </c>
      <c r="I187" s="250">
        <v>0</v>
      </c>
      <c r="J187" s="250">
        <v>0</v>
      </c>
      <c r="K187" s="250">
        <v>0</v>
      </c>
      <c r="L187" s="462">
        <v>0.71</v>
      </c>
      <c r="M187" s="462">
        <v>0.71</v>
      </c>
      <c r="N187" s="462">
        <v>0.71</v>
      </c>
      <c r="O187" s="244">
        <f>31.536/1000</f>
        <v>3.1536000000000002E-2</v>
      </c>
      <c r="P187" s="460">
        <v>0.2</v>
      </c>
      <c r="Q187" s="245">
        <v>20</v>
      </c>
      <c r="R187" s="227">
        <v>1.05</v>
      </c>
      <c r="T187" s="268">
        <f t="shared" si="292"/>
        <v>0</v>
      </c>
      <c r="V187" s="602" t="str">
        <f>'Data manipulation'!$B$35</f>
        <v>Oil products</v>
      </c>
      <c r="W187" s="254" t="s">
        <v>757</v>
      </c>
      <c r="X187" s="246">
        <v>2019</v>
      </c>
      <c r="Y187" s="434">
        <f>_xlfn.IFNA(INDEX('Data manipulation'!$C$23:$O$39,MATCH($V187,'Data manipulation'!$B$23:$B$39,0),MATCH($X187,'Data manipulation'!$C$22:$O$22,0))/1000,0)*SUMIFS('Regional split'!$F$4:$F$6,'Regional split'!$B$4:$B$6,Y$3)*SUMIFS('Data manipulation'!$V$39:$V$42,'Data manipulation'!$X$39:$X$42,$E187,'Data manipulation'!$Y$39:$Y$42,$D187)</f>
        <v>199.39121386600002</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4"/>
        <v>141.56776184486</v>
      </c>
      <c r="AC187" s="251">
        <f t="shared" si="305"/>
        <v>0</v>
      </c>
      <c r="AD187" s="446">
        <f t="shared" si="306"/>
        <v>0</v>
      </c>
      <c r="AE187" s="262"/>
      <c r="AU187" s="260"/>
      <c r="AZ187" s="252"/>
    </row>
    <row r="188" spans="2:52" ht="15" customHeight="1">
      <c r="B188" s="227" t="str">
        <f t="shared" ref="B188:G188" si="308">B108</f>
        <v>RHTUMWPEE1</v>
      </c>
      <c r="C188" s="227" t="str">
        <f t="shared" si="308"/>
        <v>Residential Heating Technology Urban Multi - Wood pellets - Existing 1</v>
      </c>
      <c r="D188" s="227" t="str">
        <f t="shared" si="308"/>
        <v>Urban</v>
      </c>
      <c r="E188" s="227" t="str">
        <f t="shared" si="308"/>
        <v>Multi storey</v>
      </c>
      <c r="F188" s="227" t="str">
        <f t="shared" si="308"/>
        <v>RESWPE</v>
      </c>
      <c r="G188" s="227" t="str">
        <f t="shared" si="308"/>
        <v>RESHUMB</v>
      </c>
      <c r="H188" s="573">
        <f t="shared" si="281"/>
        <v>2038</v>
      </c>
      <c r="I188" s="250">
        <v>0</v>
      </c>
      <c r="J188" s="250">
        <v>0</v>
      </c>
      <c r="K188" s="250">
        <v>0</v>
      </c>
      <c r="L188" s="462">
        <v>0.61</v>
      </c>
      <c r="M188" s="462">
        <v>0.61</v>
      </c>
      <c r="N188" s="462">
        <v>0.61</v>
      </c>
      <c r="O188" s="244">
        <f t="shared" ref="O188:O205" si="309">31.536/1000</f>
        <v>3.1536000000000002E-2</v>
      </c>
      <c r="P188" s="460">
        <v>0.2</v>
      </c>
      <c r="Q188" s="245">
        <v>20</v>
      </c>
      <c r="R188" s="227">
        <v>1.05</v>
      </c>
      <c r="T188" s="268">
        <f t="shared" si="292"/>
        <v>0</v>
      </c>
      <c r="U188" s="268"/>
      <c r="V188" s="602" t="s">
        <v>206</v>
      </c>
      <c r="W188" s="254" t="s">
        <v>927</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4"/>
        <v>0</v>
      </c>
      <c r="AC188" s="251">
        <f t="shared" si="305"/>
        <v>0</v>
      </c>
      <c r="AD188" s="446">
        <f t="shared" si="306"/>
        <v>0</v>
      </c>
      <c r="AE188" s="262"/>
      <c r="AU188" s="260"/>
      <c r="AZ188" s="252"/>
    </row>
    <row r="189" spans="2:52" ht="15" customHeight="1">
      <c r="B189" s="227" t="str">
        <f t="shared" ref="B189:G189" si="310">B109</f>
        <v>RHTUMFIWE1</v>
      </c>
      <c r="C189" s="227" t="str">
        <f t="shared" si="310"/>
        <v>Residential Heating Technology Urban Multi - Fire wood - Existing 1</v>
      </c>
      <c r="D189" s="227" t="str">
        <f t="shared" si="310"/>
        <v>Urban</v>
      </c>
      <c r="E189" s="227" t="str">
        <f t="shared" si="310"/>
        <v>Multi storey</v>
      </c>
      <c r="F189" s="227" t="str">
        <f t="shared" si="310"/>
        <v>RESFIW</v>
      </c>
      <c r="G189" s="227" t="str">
        <f t="shared" si="310"/>
        <v>RESHUMB</v>
      </c>
      <c r="H189" s="573">
        <f t="shared" si="281"/>
        <v>2038</v>
      </c>
      <c r="I189" s="250">
        <v>0</v>
      </c>
      <c r="J189" s="250">
        <v>0</v>
      </c>
      <c r="K189" s="250">
        <v>0</v>
      </c>
      <c r="L189" s="462">
        <v>0.65000022993955098</v>
      </c>
      <c r="M189" s="462">
        <v>0.65000022993955098</v>
      </c>
      <c r="N189" s="462">
        <v>0.65000022993955098</v>
      </c>
      <c r="O189" s="244">
        <f t="shared" si="309"/>
        <v>3.1536000000000002E-2</v>
      </c>
      <c r="P189" s="460">
        <v>0.2</v>
      </c>
      <c r="Q189" s="245">
        <v>20</v>
      </c>
      <c r="R189" s="227">
        <v>1.05</v>
      </c>
      <c r="T189" s="268">
        <f t="shared" si="292"/>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4"/>
        <v>34.865684024691369</v>
      </c>
      <c r="AC189" s="251">
        <f t="shared" si="305"/>
        <v>0</v>
      </c>
      <c r="AD189" s="446">
        <f t="shared" si="306"/>
        <v>0</v>
      </c>
      <c r="AE189" s="262"/>
      <c r="AU189" s="260"/>
      <c r="AZ189" s="252"/>
    </row>
    <row r="190" spans="2:52" ht="15" customHeight="1">
      <c r="B190" s="233" t="str">
        <f t="shared" ref="B190:G190" si="311">B110</f>
        <v>RHTUMCOAE1</v>
      </c>
      <c r="C190" s="233" t="str">
        <f t="shared" si="311"/>
        <v>Residential Heating Technology Urban Multi - Coal - Existing 1</v>
      </c>
      <c r="D190" s="233" t="str">
        <f t="shared" si="311"/>
        <v>Urban</v>
      </c>
      <c r="E190" s="233" t="str">
        <f t="shared" si="311"/>
        <v>Multi storey</v>
      </c>
      <c r="F190" s="233" t="str">
        <f t="shared" si="311"/>
        <v>RESCOA</v>
      </c>
      <c r="G190" s="233" t="str">
        <f t="shared" si="311"/>
        <v>RESHUMB</v>
      </c>
      <c r="H190" s="573">
        <f t="shared" si="281"/>
        <v>2038</v>
      </c>
      <c r="I190" s="250">
        <v>0</v>
      </c>
      <c r="J190" s="250">
        <v>0</v>
      </c>
      <c r="K190" s="250">
        <v>0</v>
      </c>
      <c r="L190" s="462">
        <v>0.7</v>
      </c>
      <c r="M190" s="462">
        <v>0.7</v>
      </c>
      <c r="N190" s="462">
        <v>0.7</v>
      </c>
      <c r="O190" s="244">
        <f t="shared" si="309"/>
        <v>3.1536000000000002E-2</v>
      </c>
      <c r="P190" s="460">
        <v>0.2</v>
      </c>
      <c r="Q190" s="245">
        <v>20</v>
      </c>
      <c r="R190" s="227">
        <v>1.05</v>
      </c>
      <c r="T190" s="268">
        <f t="shared" si="292"/>
        <v>0</v>
      </c>
      <c r="U190" s="268"/>
      <c r="V190" s="602" t="str">
        <f>'Data manipulation'!$B$23</f>
        <v>Solid fossil fuels, peat, peat products, oil shale and oil sands</v>
      </c>
      <c r="W190" s="254" t="s">
        <v>924</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4"/>
        <v>2.4990627115999997</v>
      </c>
      <c r="AC190" s="251">
        <f t="shared" si="305"/>
        <v>0</v>
      </c>
      <c r="AD190" s="446">
        <f t="shared" si="306"/>
        <v>0</v>
      </c>
      <c r="AE190" s="262"/>
      <c r="AU190" s="260"/>
      <c r="AZ190" s="252"/>
    </row>
    <row r="191" spans="2:52" ht="15" customHeight="1">
      <c r="B191" s="233" t="str">
        <f t="shared" ref="B191:G191" si="312">B111</f>
        <v>RHTUMSOLE1</v>
      </c>
      <c r="C191" s="233" t="str">
        <f t="shared" si="312"/>
        <v>Residential Heating Technology Urban Multi - Solar - Existing 1</v>
      </c>
      <c r="D191" s="233" t="str">
        <f t="shared" si="312"/>
        <v>Urban</v>
      </c>
      <c r="E191" s="233" t="str">
        <f t="shared" si="312"/>
        <v>Multi storey</v>
      </c>
      <c r="F191" s="233" t="str">
        <f t="shared" si="312"/>
        <v>RESSOL</v>
      </c>
      <c r="G191" s="233" t="str">
        <f t="shared" si="312"/>
        <v>RESHUMB</v>
      </c>
      <c r="H191" s="573">
        <f t="shared" si="281"/>
        <v>2038</v>
      </c>
      <c r="I191" s="250">
        <v>0</v>
      </c>
      <c r="J191" s="250">
        <v>0</v>
      </c>
      <c r="K191" s="250">
        <v>0</v>
      </c>
      <c r="L191" s="462">
        <v>1</v>
      </c>
      <c r="M191" s="462">
        <v>1</v>
      </c>
      <c r="N191" s="462">
        <v>1</v>
      </c>
      <c r="O191" s="244">
        <f t="shared" si="309"/>
        <v>3.1536000000000002E-2</v>
      </c>
      <c r="P191" s="460">
        <v>0.2</v>
      </c>
      <c r="Q191" s="245">
        <v>20</v>
      </c>
      <c r="R191" s="227">
        <v>1.05</v>
      </c>
      <c r="T191" s="268">
        <f t="shared" si="292"/>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4"/>
        <v>0.94518032699999999</v>
      </c>
      <c r="AC191" s="251">
        <f t="shared" si="305"/>
        <v>0</v>
      </c>
      <c r="AD191" s="446">
        <f t="shared" si="306"/>
        <v>0</v>
      </c>
      <c r="AE191" s="262"/>
      <c r="AU191" s="260"/>
      <c r="AZ191" s="252"/>
    </row>
    <row r="192" spans="2:52" ht="15" customHeight="1">
      <c r="B192" s="233" t="str">
        <f t="shared" ref="B192:G192" si="313">B112</f>
        <v>RHTUMELCHE1</v>
      </c>
      <c r="C192" s="233" t="str">
        <f t="shared" si="313"/>
        <v>Residential Heating Technology Urban Multi - Electricity Heating - Existing 1</v>
      </c>
      <c r="D192" s="233" t="str">
        <f t="shared" si="313"/>
        <v>Urban</v>
      </c>
      <c r="E192" s="233" t="str">
        <f t="shared" si="313"/>
        <v>Multi storey</v>
      </c>
      <c r="F192" s="233" t="str">
        <f t="shared" si="313"/>
        <v>RESELCH</v>
      </c>
      <c r="G192" s="233" t="str">
        <f t="shared" si="313"/>
        <v>RESHUMB</v>
      </c>
      <c r="H192" s="573">
        <f t="shared" si="281"/>
        <v>2048</v>
      </c>
      <c r="I192" s="250">
        <v>0</v>
      </c>
      <c r="J192" s="250">
        <v>0</v>
      </c>
      <c r="K192" s="250">
        <v>0</v>
      </c>
      <c r="L192" s="462">
        <v>1</v>
      </c>
      <c r="M192" s="462">
        <v>1</v>
      </c>
      <c r="N192" s="462">
        <v>1</v>
      </c>
      <c r="O192" s="244">
        <f t="shared" si="309"/>
        <v>3.1536000000000002E-2</v>
      </c>
      <c r="P192" s="460">
        <v>0.2</v>
      </c>
      <c r="Q192" s="245">
        <v>30</v>
      </c>
      <c r="R192" s="227">
        <v>1.05</v>
      </c>
      <c r="T192" s="268">
        <f t="shared" si="292"/>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4"/>
        <v>6.7219661859999995</v>
      </c>
      <c r="AC192" s="251">
        <f t="shared" si="305"/>
        <v>0</v>
      </c>
      <c r="AD192" s="446">
        <f t="shared" si="306"/>
        <v>0</v>
      </c>
      <c r="AU192" s="260"/>
      <c r="AZ192" s="252"/>
    </row>
    <row r="193" spans="2:52" ht="15" customHeight="1">
      <c r="B193" s="233" t="str">
        <f t="shared" ref="B193:G193" si="314">B113</f>
        <v>RHTUMELCHE2</v>
      </c>
      <c r="C193" s="233" t="str">
        <f t="shared" si="314"/>
        <v>Residential Heating Technology Urban Multi - Electricity Heating - Existing 2</v>
      </c>
      <c r="D193" s="233" t="str">
        <f t="shared" si="314"/>
        <v>Urban</v>
      </c>
      <c r="E193" s="233" t="str">
        <f t="shared" si="314"/>
        <v>Multi storey</v>
      </c>
      <c r="F193" s="233" t="str">
        <f t="shared" si="314"/>
        <v>RESELCH</v>
      </c>
      <c r="G193" s="233" t="str">
        <f t="shared" si="314"/>
        <v>RESHUMB</v>
      </c>
      <c r="H193" s="573">
        <f t="shared" si="281"/>
        <v>2048</v>
      </c>
      <c r="I193" s="250">
        <v>0</v>
      </c>
      <c r="J193" s="250">
        <v>0</v>
      </c>
      <c r="K193" s="250">
        <v>0</v>
      </c>
      <c r="L193" s="462">
        <v>2.3149999999999999</v>
      </c>
      <c r="M193" s="462">
        <v>2.3149999999999999</v>
      </c>
      <c r="N193" s="462">
        <v>2.3149999999999999</v>
      </c>
      <c r="O193" s="244">
        <f t="shared" si="309"/>
        <v>3.1536000000000002E-2</v>
      </c>
      <c r="P193" s="460">
        <v>0.2</v>
      </c>
      <c r="Q193" s="245">
        <v>30</v>
      </c>
      <c r="R193" s="227">
        <v>1.05</v>
      </c>
      <c r="T193" s="268">
        <f t="shared" si="292"/>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4"/>
        <v>25.036281793250001</v>
      </c>
      <c r="AC193" s="251">
        <f t="shared" si="305"/>
        <v>0</v>
      </c>
      <c r="AD193" s="446">
        <f t="shared" si="306"/>
        <v>0</v>
      </c>
      <c r="AU193" s="260"/>
      <c r="AZ193" s="252"/>
    </row>
    <row r="194" spans="2:52" ht="15" customHeight="1">
      <c r="B194" s="233" t="str">
        <f t="shared" ref="B194:G194" si="315">B114</f>
        <v>RHTUMHCEE1</v>
      </c>
      <c r="C194" s="233" t="str">
        <f t="shared" si="315"/>
        <v>Residential Heating Technology Urban Multi - District heating Central - Existing 1</v>
      </c>
      <c r="D194" s="233" t="str">
        <f t="shared" si="315"/>
        <v>Urban</v>
      </c>
      <c r="E194" s="233" t="str">
        <f t="shared" si="315"/>
        <v>Multi storey</v>
      </c>
      <c r="F194" s="233" t="str">
        <f t="shared" si="315"/>
        <v>RESHCE</v>
      </c>
      <c r="G194" s="233" t="str">
        <f t="shared" si="315"/>
        <v>RESHUMX</v>
      </c>
      <c r="H194" s="573">
        <f t="shared" si="281"/>
        <v>2048</v>
      </c>
      <c r="I194" s="572">
        <v>0</v>
      </c>
      <c r="J194" s="572">
        <v>0</v>
      </c>
      <c r="K194" s="572">
        <v>0</v>
      </c>
      <c r="L194" s="462">
        <v>0.95</v>
      </c>
      <c r="M194" s="462">
        <v>0.95</v>
      </c>
      <c r="N194" s="462">
        <v>0.95</v>
      </c>
      <c r="O194" s="244">
        <f t="shared" si="309"/>
        <v>3.1536000000000002E-2</v>
      </c>
      <c r="P194" s="460">
        <v>0.2</v>
      </c>
      <c r="Q194" s="245">
        <v>30</v>
      </c>
      <c r="R194" s="227">
        <v>1.05</v>
      </c>
      <c r="T194" s="268">
        <f t="shared" si="292"/>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4"/>
        <v>32.685203818799998</v>
      </c>
      <c r="AC194" s="251">
        <f t="shared" si="305"/>
        <v>0</v>
      </c>
      <c r="AD194" s="446">
        <f t="shared" si="306"/>
        <v>0</v>
      </c>
      <c r="AU194" s="260"/>
      <c r="AZ194" s="252"/>
    </row>
    <row r="195" spans="2:52" ht="15" customHeight="1" thickBot="1">
      <c r="B195" s="255" t="str">
        <f t="shared" ref="B195:G195" si="316">B115</f>
        <v>RHTUMLPGE1</v>
      </c>
      <c r="C195" s="255" t="str">
        <f t="shared" si="316"/>
        <v>Residential Heating Technology Urban Multi - LPG - Existing 1</v>
      </c>
      <c r="D195" s="535" t="str">
        <f t="shared" si="316"/>
        <v>Urban</v>
      </c>
      <c r="E195" s="535" t="str">
        <f t="shared" si="316"/>
        <v>Multi storey</v>
      </c>
      <c r="F195" s="255" t="str">
        <f t="shared" si="316"/>
        <v>RESLPG</v>
      </c>
      <c r="G195" s="255" t="str">
        <f t="shared" si="316"/>
        <v>RESHUMB</v>
      </c>
      <c r="H195" s="575">
        <f t="shared" si="281"/>
        <v>2048</v>
      </c>
      <c r="I195" s="297">
        <v>0</v>
      </c>
      <c r="J195" s="297">
        <v>0</v>
      </c>
      <c r="K195" s="297">
        <v>0</v>
      </c>
      <c r="L195" s="463">
        <v>0.95</v>
      </c>
      <c r="M195" s="463">
        <v>0.95</v>
      </c>
      <c r="N195" s="463">
        <v>0.95</v>
      </c>
      <c r="O195" s="257">
        <f t="shared" si="309"/>
        <v>3.1536000000000002E-2</v>
      </c>
      <c r="P195" s="460">
        <v>0.2</v>
      </c>
      <c r="Q195" s="258">
        <v>30</v>
      </c>
      <c r="R195" s="227">
        <v>1.05</v>
      </c>
      <c r="T195" s="268">
        <f t="shared" si="292"/>
        <v>0</v>
      </c>
      <c r="U195" s="268"/>
      <c r="V195" s="602" t="str">
        <f>'Data manipulation'!$B$25</f>
        <v>Liquefied natural gas</v>
      </c>
      <c r="W195" s="428" t="s">
        <v>798</v>
      </c>
      <c r="X195" s="246">
        <v>2019</v>
      </c>
      <c r="Y195" s="434">
        <f>_xlfn.IFNA(INDEX('Data manipulation'!$C$23:$O$39,MATCH($V195,'Data manipulation'!$B$23:$B$39,0),MATCH($X195,'Data manipulation'!$C$22:$O$22,0))/1000,0)*SUMIFS('Regional split'!$F$4:$F$6,'Regional split'!$B$4:$B$6,Y$3)*SUMIFS('Data manipulation'!$V$39:$V$42,'Data manipulation'!$X$39:$X$42,$E195,'Data manipulation'!$Y$39:$Y$42,$D195)</f>
        <v>6.9178181670000001</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4"/>
        <v>6.5719272586499997</v>
      </c>
      <c r="AC195" s="277">
        <f t="shared" si="305"/>
        <v>0</v>
      </c>
      <c r="AD195" s="448">
        <f t="shared" si="306"/>
        <v>0</v>
      </c>
      <c r="AU195" s="260"/>
      <c r="AZ195" s="252"/>
    </row>
    <row r="196" spans="2:52" ht="15" customHeight="1">
      <c r="B196" s="233" t="str">
        <f t="shared" ref="B196:G196" si="317">B116</f>
        <v>RHTRMNGAE1</v>
      </c>
      <c r="C196" s="233" t="str">
        <f t="shared" si="317"/>
        <v>Residential Heating Technology Rural Multi - Natural Gas - Existing 1</v>
      </c>
      <c r="D196" s="233" t="str">
        <f t="shared" si="317"/>
        <v>Rural</v>
      </c>
      <c r="E196" s="233" t="str">
        <f t="shared" si="317"/>
        <v>Multi storey</v>
      </c>
      <c r="F196" s="233" t="str">
        <f t="shared" si="317"/>
        <v>RESNGA,RESSNG</v>
      </c>
      <c r="G196" s="233" t="str">
        <f t="shared" si="317"/>
        <v>RESHRMB</v>
      </c>
      <c r="H196" s="574">
        <f t="shared" si="281"/>
        <v>2043</v>
      </c>
      <c r="I196" s="250">
        <v>0</v>
      </c>
      <c r="J196" s="250">
        <v>0</v>
      </c>
      <c r="K196" s="250">
        <v>0</v>
      </c>
      <c r="L196" s="462">
        <v>0.79</v>
      </c>
      <c r="M196" s="462">
        <v>0.79</v>
      </c>
      <c r="N196" s="462">
        <v>0.79</v>
      </c>
      <c r="O196" s="244">
        <f t="shared" si="309"/>
        <v>3.1536000000000002E-2</v>
      </c>
      <c r="P196" s="460">
        <v>0.2</v>
      </c>
      <c r="Q196" s="245">
        <v>25</v>
      </c>
      <c r="R196" s="227">
        <v>1.05</v>
      </c>
      <c r="T196" s="268">
        <f t="shared" si="292"/>
        <v>0</v>
      </c>
      <c r="U196" s="268"/>
      <c r="V196" s="602"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10.415415724000001</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4"/>
        <v>8.2281784219600009</v>
      </c>
      <c r="AC196" s="278">
        <f t="shared" si="305"/>
        <v>0</v>
      </c>
      <c r="AD196" s="449">
        <f t="shared" si="306"/>
        <v>0</v>
      </c>
      <c r="AU196" s="260"/>
      <c r="AZ196" s="252"/>
    </row>
    <row r="197" spans="2:52" ht="15" customHeight="1">
      <c r="B197" s="233" t="str">
        <f t="shared" ref="B197:G197" si="318">B117</f>
        <v>RHTRMDSLE1</v>
      </c>
      <c r="C197" s="233" t="str">
        <f t="shared" si="318"/>
        <v>Residential Heating Technology Rural Multi - Diesel - Existing 1</v>
      </c>
      <c r="D197" s="233" t="str">
        <f t="shared" si="318"/>
        <v>Rural</v>
      </c>
      <c r="E197" s="233" t="str">
        <f t="shared" si="318"/>
        <v>Multi storey</v>
      </c>
      <c r="F197" s="233" t="str">
        <f t="shared" si="318"/>
        <v>RESDSL,RESDSB</v>
      </c>
      <c r="G197" s="233" t="str">
        <f t="shared" si="318"/>
        <v>RESHRMB</v>
      </c>
      <c r="H197" s="574">
        <f t="shared" si="281"/>
        <v>2038</v>
      </c>
      <c r="I197" s="250">
        <v>0</v>
      </c>
      <c r="J197" s="250">
        <v>0</v>
      </c>
      <c r="K197" s="250">
        <v>0</v>
      </c>
      <c r="L197" s="462">
        <v>0.79</v>
      </c>
      <c r="M197" s="462">
        <v>0.79</v>
      </c>
      <c r="N197" s="462">
        <v>0.79</v>
      </c>
      <c r="O197" s="244">
        <f t="shared" si="309"/>
        <v>3.1536000000000002E-2</v>
      </c>
      <c r="P197" s="460">
        <v>0.2</v>
      </c>
      <c r="Q197" s="245">
        <v>20</v>
      </c>
      <c r="R197" s="227">
        <v>1.05</v>
      </c>
      <c r="T197" s="268">
        <f t="shared" si="292"/>
        <v>0</v>
      </c>
      <c r="V197" s="602" t="str">
        <f>'Data manipulation'!$B$35</f>
        <v>Oil products</v>
      </c>
      <c r="W197" s="254" t="s">
        <v>757</v>
      </c>
      <c r="X197" s="246">
        <v>2019</v>
      </c>
      <c r="Y197" s="434">
        <f>_xlfn.IFNA(INDEX('Data manipulation'!$C$23:$O$39,MATCH($V197,'Data manipulation'!$B$23:$B$39,0),MATCH($X197,'Data manipulation'!$C$22:$O$22,0))/1000,0)*SUMIFS('Regional split'!$F$4:$F$6,'Regional split'!$B$4:$B$6,Y$3)*SUMIFS('Data manipulation'!$V$39:$V$42,'Data manipulation'!$X$39:$X$42,$E197,'Data manipulation'!$Y$39:$Y$42,$D197)</f>
        <v>11.301526292</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4"/>
        <v>8.92820577068</v>
      </c>
      <c r="AC197" s="251">
        <f t="shared" si="305"/>
        <v>0</v>
      </c>
      <c r="AD197" s="446">
        <f t="shared" si="306"/>
        <v>0</v>
      </c>
      <c r="AU197" s="260"/>
      <c r="AZ197" s="252"/>
    </row>
    <row r="198" spans="2:52" ht="15" customHeight="1">
      <c r="B198" s="233" t="str">
        <f t="shared" ref="B198:G198" si="319">B118</f>
        <v>RHTRMWPEE1</v>
      </c>
      <c r="C198" s="233" t="str">
        <f t="shared" si="319"/>
        <v>Residential Heating Technology Rural Multi - Wood pellets - Existing 1</v>
      </c>
      <c r="D198" s="233" t="str">
        <f t="shared" si="319"/>
        <v>Rural</v>
      </c>
      <c r="E198" s="233" t="str">
        <f t="shared" si="319"/>
        <v>Multi storey</v>
      </c>
      <c r="F198" s="233" t="str">
        <f t="shared" si="319"/>
        <v>RESWPE</v>
      </c>
      <c r="G198" s="233" t="str">
        <f t="shared" si="319"/>
        <v>RESHRMB</v>
      </c>
      <c r="H198" s="574">
        <f t="shared" si="281"/>
        <v>2038</v>
      </c>
      <c r="I198" s="250">
        <v>0</v>
      </c>
      <c r="J198" s="250">
        <v>0</v>
      </c>
      <c r="K198" s="250">
        <v>0</v>
      </c>
      <c r="L198" s="462">
        <v>0.67</v>
      </c>
      <c r="M198" s="462">
        <v>0.67</v>
      </c>
      <c r="N198" s="462">
        <v>0.67</v>
      </c>
      <c r="O198" s="244">
        <f>31.536/1000</f>
        <v>3.1536000000000002E-2</v>
      </c>
      <c r="P198" s="460">
        <v>0.2</v>
      </c>
      <c r="Q198" s="245">
        <v>20</v>
      </c>
      <c r="R198" s="227">
        <v>1.05</v>
      </c>
      <c r="T198" s="268">
        <f t="shared" si="292"/>
        <v>0</v>
      </c>
      <c r="U198" s="268"/>
      <c r="V198" s="602" t="s">
        <v>206</v>
      </c>
      <c r="W198" s="254" t="s">
        <v>927</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4"/>
        <v>0</v>
      </c>
      <c r="AC198" s="251">
        <f t="shared" si="305"/>
        <v>0</v>
      </c>
      <c r="AD198" s="446">
        <f t="shared" si="306"/>
        <v>0</v>
      </c>
      <c r="AU198" s="260"/>
      <c r="AZ198" s="252"/>
    </row>
    <row r="199" spans="2:52" ht="15" customHeight="1">
      <c r="B199" s="233" t="str">
        <f t="shared" ref="B199:G199" si="320">B119</f>
        <v>RHTRMFIWE1</v>
      </c>
      <c r="C199" s="233" t="str">
        <f t="shared" si="320"/>
        <v>Residential Heating Technology Rural Multi - Fire wood - Existing 1</v>
      </c>
      <c r="D199" s="233" t="str">
        <f t="shared" si="320"/>
        <v>Rural</v>
      </c>
      <c r="E199" s="233" t="str">
        <f t="shared" si="320"/>
        <v>Multi storey</v>
      </c>
      <c r="F199" s="233" t="str">
        <f t="shared" si="320"/>
        <v>RESFIW</v>
      </c>
      <c r="G199" s="233" t="str">
        <f t="shared" si="320"/>
        <v>RESHRMB</v>
      </c>
      <c r="H199" s="574">
        <f t="shared" si="281"/>
        <v>2038</v>
      </c>
      <c r="I199" s="250">
        <v>0</v>
      </c>
      <c r="J199" s="250">
        <v>0</v>
      </c>
      <c r="K199" s="250">
        <v>0</v>
      </c>
      <c r="L199" s="462">
        <v>0.67</v>
      </c>
      <c r="M199" s="462">
        <v>0.67</v>
      </c>
      <c r="N199" s="462">
        <v>0.67</v>
      </c>
      <c r="O199" s="244">
        <f>31.536/1000</f>
        <v>3.1536000000000002E-2</v>
      </c>
      <c r="P199" s="460">
        <v>0.2</v>
      </c>
      <c r="Q199" s="245">
        <v>20</v>
      </c>
      <c r="R199" s="227">
        <v>1.05</v>
      </c>
      <c r="T199" s="268">
        <f t="shared" si="292"/>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4"/>
        <v>2.0369978228599996</v>
      </c>
      <c r="AC199" s="251">
        <f t="shared" si="305"/>
        <v>0</v>
      </c>
      <c r="AD199" s="446">
        <f t="shared" si="306"/>
        <v>0</v>
      </c>
      <c r="AU199" s="260"/>
      <c r="AZ199" s="252"/>
    </row>
    <row r="200" spans="2:52" ht="15" customHeight="1">
      <c r="B200" s="233" t="str">
        <f t="shared" ref="B200:G200" si="321">B120</f>
        <v>RHTRMCOAE1</v>
      </c>
      <c r="C200" s="233" t="str">
        <f t="shared" si="321"/>
        <v>Residential Heating Technology Rural Multi - Coal - Existing 1</v>
      </c>
      <c r="D200" s="233" t="str">
        <f t="shared" si="321"/>
        <v>Rural</v>
      </c>
      <c r="E200" s="233" t="str">
        <f t="shared" si="321"/>
        <v>Multi storey</v>
      </c>
      <c r="F200" s="233" t="str">
        <f t="shared" si="321"/>
        <v>RESCOA</v>
      </c>
      <c r="G200" s="233" t="str">
        <f t="shared" si="321"/>
        <v>RESHRMB</v>
      </c>
      <c r="H200" s="574">
        <f t="shared" si="281"/>
        <v>2038</v>
      </c>
      <c r="I200" s="250">
        <v>0</v>
      </c>
      <c r="J200" s="250">
        <v>0</v>
      </c>
      <c r="K200" s="250">
        <v>0</v>
      </c>
      <c r="L200" s="462">
        <v>0.72</v>
      </c>
      <c r="M200" s="462">
        <v>0.72</v>
      </c>
      <c r="N200" s="462">
        <v>0.72</v>
      </c>
      <c r="O200" s="244">
        <f t="shared" si="309"/>
        <v>3.1536000000000002E-2</v>
      </c>
      <c r="P200" s="460">
        <v>0.2</v>
      </c>
      <c r="Q200" s="245">
        <v>20</v>
      </c>
      <c r="R200" s="227">
        <v>1.05</v>
      </c>
      <c r="T200" s="268">
        <f t="shared" si="292"/>
        <v>0</v>
      </c>
      <c r="U200" s="268"/>
      <c r="V200" s="602" t="str">
        <f>'Data manipulation'!$B$23</f>
        <v>Solid fossil fuels, peat, peat products, oil shale and oil sands</v>
      </c>
      <c r="W200" s="254" t="s">
        <v>924</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4"/>
        <v>0.14569434432</v>
      </c>
      <c r="AC200" s="251">
        <f t="shared" si="305"/>
        <v>0</v>
      </c>
      <c r="AD200" s="446">
        <f t="shared" si="306"/>
        <v>0</v>
      </c>
      <c r="AU200" s="260"/>
      <c r="AZ200" s="252"/>
    </row>
    <row r="201" spans="2:52" ht="15" customHeight="1">
      <c r="B201" s="233" t="str">
        <f t="shared" ref="B201:G201" si="322">B121</f>
        <v>RHTRMSOLE1</v>
      </c>
      <c r="C201" s="233" t="str">
        <f t="shared" si="322"/>
        <v>Residential Heating Technology Rural Multi - Solar - Existing 1</v>
      </c>
      <c r="D201" s="233" t="str">
        <f t="shared" si="322"/>
        <v>Rural</v>
      </c>
      <c r="E201" s="233" t="str">
        <f t="shared" si="322"/>
        <v>Multi storey</v>
      </c>
      <c r="F201" s="233" t="str">
        <f t="shared" si="322"/>
        <v>RESSOL</v>
      </c>
      <c r="G201" s="233" t="str">
        <f t="shared" si="322"/>
        <v>RESHRMB</v>
      </c>
      <c r="H201" s="574">
        <f t="shared" si="281"/>
        <v>2038</v>
      </c>
      <c r="I201" s="250">
        <v>0</v>
      </c>
      <c r="J201" s="250">
        <v>0</v>
      </c>
      <c r="K201" s="250">
        <v>0</v>
      </c>
      <c r="L201" s="462">
        <v>1</v>
      </c>
      <c r="M201" s="462">
        <v>1</v>
      </c>
      <c r="N201" s="462">
        <v>1</v>
      </c>
      <c r="O201" s="244">
        <f t="shared" si="309"/>
        <v>3.1536000000000002E-2</v>
      </c>
      <c r="P201" s="460">
        <v>0.2</v>
      </c>
      <c r="Q201" s="245">
        <v>20</v>
      </c>
      <c r="R201" s="227">
        <v>1.05</v>
      </c>
      <c r="T201" s="268">
        <f t="shared" si="292"/>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4"/>
        <v>5.3572974000000002E-2</v>
      </c>
      <c r="AC201" s="251">
        <f t="shared" si="305"/>
        <v>0</v>
      </c>
      <c r="AD201" s="446">
        <f t="shared" si="306"/>
        <v>0</v>
      </c>
      <c r="AU201" s="260"/>
      <c r="AZ201" s="252"/>
    </row>
    <row r="202" spans="2:52" ht="15" customHeight="1">
      <c r="B202" s="233" t="str">
        <f t="shared" ref="B202:G202" si="323">B122</f>
        <v>RHTRMELCHE1</v>
      </c>
      <c r="C202" s="233" t="str">
        <f t="shared" si="323"/>
        <v>Residential Heating Technology Rural Multi - Electricity Heating - Existing 1</v>
      </c>
      <c r="D202" s="233" t="str">
        <f t="shared" si="323"/>
        <v>Rural</v>
      </c>
      <c r="E202" s="233" t="str">
        <f t="shared" si="323"/>
        <v>Multi storey</v>
      </c>
      <c r="F202" s="233" t="str">
        <f t="shared" si="323"/>
        <v>RESELCH</v>
      </c>
      <c r="G202" s="233" t="str">
        <f t="shared" si="323"/>
        <v>RESHRMB</v>
      </c>
      <c r="H202" s="574">
        <f t="shared" si="281"/>
        <v>2048</v>
      </c>
      <c r="I202" s="250">
        <v>0</v>
      </c>
      <c r="J202" s="250">
        <v>0</v>
      </c>
      <c r="K202" s="250">
        <v>0</v>
      </c>
      <c r="L202" s="462">
        <v>1</v>
      </c>
      <c r="M202" s="462">
        <v>1</v>
      </c>
      <c r="N202" s="462">
        <v>1</v>
      </c>
      <c r="O202" s="244">
        <f t="shared" si="309"/>
        <v>3.1536000000000002E-2</v>
      </c>
      <c r="P202" s="460">
        <v>0.2</v>
      </c>
      <c r="Q202" s="245">
        <v>30</v>
      </c>
      <c r="R202" s="227">
        <v>1.05</v>
      </c>
      <c r="T202" s="268">
        <f t="shared" si="292"/>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4"/>
        <v>0.38100213199999999</v>
      </c>
      <c r="AC202" s="251">
        <f t="shared" si="305"/>
        <v>0</v>
      </c>
      <c r="AD202" s="446">
        <f t="shared" si="306"/>
        <v>0</v>
      </c>
      <c r="AU202" s="260"/>
      <c r="AZ202" s="252"/>
    </row>
    <row r="203" spans="2:52" ht="15" customHeight="1">
      <c r="B203" s="233" t="str">
        <f t="shared" ref="B203:G203" si="324">B123</f>
        <v>RHTRMELCHE2</v>
      </c>
      <c r="C203" s="233" t="str">
        <f t="shared" si="324"/>
        <v>Residential Heating Technology Rural Multi - Electricity Heating - Existing 2</v>
      </c>
      <c r="D203" s="233" t="str">
        <f t="shared" si="324"/>
        <v>Rural</v>
      </c>
      <c r="E203" s="233" t="str">
        <f t="shared" si="324"/>
        <v>Multi storey</v>
      </c>
      <c r="F203" s="233" t="str">
        <f t="shared" si="324"/>
        <v>RESELCH</v>
      </c>
      <c r="G203" s="233" t="str">
        <f t="shared" si="324"/>
        <v>RESHRMB</v>
      </c>
      <c r="H203" s="574">
        <f t="shared" si="281"/>
        <v>2048</v>
      </c>
      <c r="I203" s="250">
        <v>0</v>
      </c>
      <c r="J203" s="250">
        <v>0</v>
      </c>
      <c r="K203" s="250">
        <v>0</v>
      </c>
      <c r="L203" s="462">
        <v>2.3149999999999999</v>
      </c>
      <c r="M203" s="462">
        <v>2.3149999999999999</v>
      </c>
      <c r="N203" s="462">
        <v>2.3149999999999999</v>
      </c>
      <c r="O203" s="244">
        <f t="shared" si="309"/>
        <v>3.1536000000000002E-2</v>
      </c>
      <c r="P203" s="460">
        <v>0.2</v>
      </c>
      <c r="Q203" s="245">
        <v>30</v>
      </c>
      <c r="R203" s="227">
        <v>1.05</v>
      </c>
      <c r="T203" s="268">
        <f t="shared" si="292"/>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4"/>
        <v>1.4190605064999999</v>
      </c>
      <c r="AC203" s="251">
        <f t="shared" si="305"/>
        <v>0</v>
      </c>
      <c r="AD203" s="446">
        <f t="shared" si="306"/>
        <v>0</v>
      </c>
      <c r="AU203" s="260"/>
      <c r="AZ203" s="252"/>
    </row>
    <row r="204" spans="2:52" ht="15" customHeight="1">
      <c r="B204" s="233" t="str">
        <f t="shared" ref="B204:G204" si="325">B124</f>
        <v>RHTRMHCEE1</v>
      </c>
      <c r="C204" s="233" t="str">
        <f t="shared" si="325"/>
        <v>Residential Heating Technology Rural Multi - District heating Central - Existing 1</v>
      </c>
      <c r="D204" s="233" t="str">
        <f t="shared" si="325"/>
        <v>Rural</v>
      </c>
      <c r="E204" s="233" t="str">
        <f t="shared" si="325"/>
        <v>Multi storey</v>
      </c>
      <c r="F204" s="233" t="str">
        <f t="shared" si="325"/>
        <v>RESHDE</v>
      </c>
      <c r="G204" s="233" t="str">
        <f t="shared" si="325"/>
        <v>RESHRMX</v>
      </c>
      <c r="H204" s="576">
        <f t="shared" si="281"/>
        <v>2048</v>
      </c>
      <c r="I204" s="572">
        <v>0</v>
      </c>
      <c r="J204" s="572">
        <v>0</v>
      </c>
      <c r="K204" s="572">
        <v>0</v>
      </c>
      <c r="L204" s="462">
        <v>0.98</v>
      </c>
      <c r="M204" s="462">
        <v>0.98</v>
      </c>
      <c r="N204" s="462">
        <v>0.98</v>
      </c>
      <c r="O204" s="244">
        <f t="shared" si="309"/>
        <v>3.1536000000000002E-2</v>
      </c>
      <c r="P204" s="460">
        <v>0.2</v>
      </c>
      <c r="Q204" s="245">
        <v>30</v>
      </c>
      <c r="R204" s="227">
        <v>1.05</v>
      </c>
      <c r="T204" s="268">
        <f t="shared" si="292"/>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4"/>
        <v>1.91110588704</v>
      </c>
      <c r="AC204" s="251">
        <f t="shared" si="305"/>
        <v>0</v>
      </c>
      <c r="AD204" s="446">
        <f t="shared" si="306"/>
        <v>0</v>
      </c>
      <c r="AU204" s="260"/>
      <c r="AZ204" s="252"/>
    </row>
    <row r="205" spans="2:52" ht="15" customHeight="1" thickBot="1">
      <c r="B205" s="233" t="str">
        <f t="shared" ref="B205:G205" si="326">B125</f>
        <v>RHTRMLPGE1</v>
      </c>
      <c r="C205" s="233" t="str">
        <f t="shared" si="326"/>
        <v>Residential Heating Technology Rural Multi - LPG - Existing 1</v>
      </c>
      <c r="D205" s="233" t="str">
        <f t="shared" si="326"/>
        <v>Rural</v>
      </c>
      <c r="E205" s="233" t="str">
        <f t="shared" si="326"/>
        <v>Multi storey</v>
      </c>
      <c r="F205" s="233" t="str">
        <f t="shared" si="326"/>
        <v>RESLPG</v>
      </c>
      <c r="G205" s="233" t="str">
        <f t="shared" si="326"/>
        <v>RESHRMB</v>
      </c>
      <c r="H205" s="576">
        <f t="shared" si="281"/>
        <v>2048</v>
      </c>
      <c r="I205" s="250">
        <v>0</v>
      </c>
      <c r="J205" s="250">
        <v>0</v>
      </c>
      <c r="K205" s="250">
        <v>0</v>
      </c>
      <c r="L205" s="462">
        <v>0.98</v>
      </c>
      <c r="M205" s="462">
        <v>0.98</v>
      </c>
      <c r="N205" s="462">
        <v>0.98</v>
      </c>
      <c r="O205" s="244">
        <f t="shared" si="309"/>
        <v>3.1536000000000002E-2</v>
      </c>
      <c r="P205" s="460">
        <v>0.2</v>
      </c>
      <c r="Q205" s="245">
        <v>30</v>
      </c>
      <c r="R205" s="227">
        <v>1.05</v>
      </c>
      <c r="T205" s="268">
        <f t="shared" si="292"/>
        <v>0</v>
      </c>
      <c r="U205" s="268"/>
      <c r="V205" s="602" t="str">
        <f>'Data manipulation'!$B$25</f>
        <v>Liquefied natural gas</v>
      </c>
      <c r="W205" s="428" t="s">
        <v>798</v>
      </c>
      <c r="X205" s="246">
        <v>2019</v>
      </c>
      <c r="Y205" s="434">
        <f>_xlfn.IFNA(INDEX('Data manipulation'!$C$23:$O$39,MATCH($V205,'Data manipulation'!$B$23:$B$39,0),MATCH($X205,'Data manipulation'!$C$22:$O$22,0))/1000,0)*SUMIFS('Regional split'!$F$4:$F$6,'Regional split'!$B$4:$B$6,Y$3)*SUMIFS('Data manipulation'!$V$39:$V$42,'Data manipulation'!$X$39:$X$42,$E205,'Data manipulation'!$Y$39:$Y$42,$D205)</f>
        <v>0.39210305400000001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4"/>
        <v>0.38426099291999999</v>
      </c>
      <c r="AC205" s="433">
        <f t="shared" si="305"/>
        <v>0</v>
      </c>
      <c r="AD205" s="454">
        <f t="shared" si="306"/>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opLeftCell="A37" zoomScale="60" zoomScaleNormal="60" workbookViewId="0">
      <selection activeCell="T51" sqref="T51"/>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19" width="8.6328125" style="156" customWidth="1"/>
    <col min="20" max="20" width="10.7265625" style="156" customWidth="1"/>
    <col min="21"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16384" width="9.08984375" style="147"/>
  </cols>
  <sheetData>
    <row r="1" spans="1:70" ht="13">
      <c r="D1" s="154"/>
      <c r="E1" s="154"/>
      <c r="F1" s="154"/>
      <c r="G1" s="154" t="s">
        <v>753</v>
      </c>
      <c r="H1" s="154"/>
      <c r="I1" s="154"/>
      <c r="J1" s="154" t="s">
        <v>860</v>
      </c>
      <c r="K1" s="154"/>
      <c r="L1" s="154"/>
      <c r="M1" s="154"/>
      <c r="N1" s="154"/>
      <c r="O1" s="154"/>
      <c r="P1" s="154"/>
      <c r="Q1" s="154"/>
      <c r="R1" s="154"/>
      <c r="S1" s="154"/>
      <c r="T1" s="154"/>
      <c r="U1" s="154"/>
      <c r="V1" s="154"/>
      <c r="W1" s="154"/>
      <c r="X1" s="154"/>
      <c r="Y1" s="154"/>
      <c r="Z1" s="154"/>
      <c r="AA1" s="154"/>
      <c r="AB1" s="154"/>
    </row>
    <row r="2" spans="1:70" ht="13">
      <c r="D2" s="154"/>
      <c r="E2" s="154"/>
      <c r="F2" s="154"/>
      <c r="G2" s="154" t="s">
        <v>754</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8" t="s">
        <v>765</v>
      </c>
      <c r="D3" s="154"/>
      <c r="E3" s="154"/>
      <c r="F3" s="154"/>
      <c r="G3" s="154" t="s">
        <v>755</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756</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938</v>
      </c>
      <c r="I7" s="204" t="s">
        <v>749</v>
      </c>
      <c r="J7" s="204" t="s">
        <v>750</v>
      </c>
      <c r="K7" s="204" t="s">
        <v>940</v>
      </c>
      <c r="L7" s="204" t="s">
        <v>865</v>
      </c>
      <c r="M7" s="204" t="s">
        <v>866</v>
      </c>
      <c r="N7" s="204" t="s">
        <v>941</v>
      </c>
      <c r="O7" s="204" t="s">
        <v>867</v>
      </c>
      <c r="P7" s="204" t="s">
        <v>868</v>
      </c>
      <c r="Q7" s="571" t="str">
        <f>H7&amp;"~2100"</f>
        <v>STOCK~DE1~2100</v>
      </c>
      <c r="R7" s="571" t="str">
        <f>I7&amp;"~2100"</f>
        <v>STOCK~AZ2~2100</v>
      </c>
      <c r="S7" s="571" t="str">
        <f>J7&amp;"~2100"</f>
        <v>STOCK~AZ3~2100</v>
      </c>
      <c r="T7" s="571" t="s">
        <v>942</v>
      </c>
      <c r="U7" s="571" t="s">
        <v>850</v>
      </c>
      <c r="V7" s="571" t="s">
        <v>851</v>
      </c>
      <c r="W7" s="571" t="s">
        <v>943</v>
      </c>
      <c r="X7" s="571" t="s">
        <v>869</v>
      </c>
      <c r="Y7" s="571" t="s">
        <v>870</v>
      </c>
      <c r="Z7" s="571" t="s">
        <v>944</v>
      </c>
      <c r="AA7" s="571" t="s">
        <v>871</v>
      </c>
      <c r="AB7" s="571" t="s">
        <v>872</v>
      </c>
      <c r="AC7" s="571" t="s">
        <v>945</v>
      </c>
      <c r="AD7" s="571" t="s">
        <v>855</v>
      </c>
      <c r="AE7" s="571" t="s">
        <v>852</v>
      </c>
      <c r="AF7" s="571" t="s">
        <v>946</v>
      </c>
      <c r="AG7" s="571" t="s">
        <v>853</v>
      </c>
      <c r="AH7" s="571" t="s">
        <v>854</v>
      </c>
      <c r="AI7" s="205" t="s">
        <v>939</v>
      </c>
      <c r="AJ7" s="205" t="s">
        <v>751</v>
      </c>
      <c r="AK7" s="205" t="s">
        <v>752</v>
      </c>
      <c r="AL7" s="205" t="s">
        <v>947</v>
      </c>
      <c r="AM7" s="205" t="s">
        <v>861</v>
      </c>
      <c r="AN7" s="205" t="s">
        <v>862</v>
      </c>
      <c r="AO7" s="205" t="s">
        <v>948</v>
      </c>
      <c r="AP7" s="205" t="s">
        <v>863</v>
      </c>
      <c r="AQ7" s="205" t="s">
        <v>864</v>
      </c>
      <c r="AR7" s="205" t="s">
        <v>949</v>
      </c>
      <c r="AS7" s="205" t="s">
        <v>874</v>
      </c>
      <c r="AT7" s="205" t="s">
        <v>875</v>
      </c>
      <c r="AU7" s="159" t="s">
        <v>114</v>
      </c>
      <c r="AV7" s="159" t="s">
        <v>184</v>
      </c>
      <c r="AW7" s="159" t="s">
        <v>107</v>
      </c>
      <c r="AX7" s="298"/>
      <c r="AY7" s="198"/>
      <c r="AZ7" s="199"/>
      <c r="BA7" s="216" t="s">
        <v>937</v>
      </c>
      <c r="BB7" s="217" t="s">
        <v>237</v>
      </c>
      <c r="BC7" s="217" t="s">
        <v>238</v>
      </c>
      <c r="BD7" s="217" t="s">
        <v>937</v>
      </c>
      <c r="BE7" s="217" t="s">
        <v>237</v>
      </c>
      <c r="BF7" s="217" t="s">
        <v>238</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0.93</v>
      </c>
      <c r="AJ9" s="523" t="e">
        <f t="shared" si="9"/>
        <v>#DIV/0!</v>
      </c>
      <c r="AK9" s="523" t="e">
        <f t="shared" si="9"/>
        <v>#DIV/0!</v>
      </c>
      <c r="AL9" s="523">
        <f>AL10/2</f>
        <v>1.1580099999999998</v>
      </c>
      <c r="AM9" s="523" t="e">
        <f t="shared" si="9"/>
        <v>#DIV/0!</v>
      </c>
      <c r="AN9" s="523" t="e">
        <f t="shared" si="9"/>
        <v>#DIV/0!</v>
      </c>
      <c r="AO9" s="523">
        <f t="shared" si="9"/>
        <v>1.2149999999999999</v>
      </c>
      <c r="AP9" s="523" t="e">
        <f t="shared" si="9"/>
        <v>#DIV/0!</v>
      </c>
      <c r="AQ9" s="523" t="e">
        <f t="shared" si="9"/>
        <v>#DIV/0!</v>
      </c>
      <c r="AR9" s="523">
        <f t="shared" si="9"/>
        <v>1.1449999999999998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1.86</v>
      </c>
      <c r="AJ10" s="524" t="e">
        <f>ROUNDUP(SUM(I9:I15)/SUM(Boilers_DR!AC6:AC15),2)</f>
        <v>#DIV/0!</v>
      </c>
      <c r="AK10" s="524" t="e">
        <f>ROUNDUP(SUM(J9:J15)/SUM(Boilers_DR!AD6:AD15),2)</f>
        <v>#DIV/0!</v>
      </c>
      <c r="AL10" s="524">
        <f>ROUNDUP(SUM(K9:K15)/SUM(Boilers_DR!AB46:AB55),2)*AL3</f>
        <v>2.3160199999999995</v>
      </c>
      <c r="AM10" s="524" t="e">
        <f>ROUNDUP(SUM(L9:L15)/SUM(Boilers_DR!AC46:AC55),2)*AM3</f>
        <v>#DIV/0!</v>
      </c>
      <c r="AN10" s="524" t="e">
        <f>ROUNDUP(SUM(M9:M15)/SUM(Boilers_DR!AD46:AD55),2)*AN3</f>
        <v>#DIV/0!</v>
      </c>
      <c r="AO10" s="524">
        <f>ROUNDUP(SUM(N9:N15)/SUM(Boilers_DR!AB86:AB95),2)</f>
        <v>2.4299999999999997</v>
      </c>
      <c r="AP10" s="524" t="e">
        <f>ROUNDUP(SUM(O9:O15)/SUM(Boilers_DR!AC86:AC95),2)</f>
        <v>#DIV/0!</v>
      </c>
      <c r="AQ10" s="524" t="e">
        <f>ROUNDUP(SUM(P9:P15)/SUM(Boilers_DR!AD86:AD95),2)</f>
        <v>#DIV/0!</v>
      </c>
      <c r="AR10" s="524">
        <f>ROUNDUP(SUM(N9:N15)/SUM(Boilers_DR!AB126:AB135),2)</f>
        <v>2.2899999999999996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764.60752688172045</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2.9350000000000001</v>
      </c>
      <c r="AJ11" s="524" t="e">
        <f t="shared" si="16"/>
        <v>#DIV/0!</v>
      </c>
      <c r="AK11" s="524" t="e">
        <f t="shared" si="16"/>
        <v>#DIV/0!</v>
      </c>
      <c r="AL11" s="524">
        <f t="shared" si="16"/>
        <v>3.1630099999999999</v>
      </c>
      <c r="AM11" s="524" t="e">
        <f t="shared" si="16"/>
        <v>#DIV/0!</v>
      </c>
      <c r="AN11" s="524" t="e">
        <f t="shared" si="16"/>
        <v>#DIV/0!</v>
      </c>
      <c r="AO11" s="524">
        <f t="shared" si="16"/>
        <v>3.2199999999999998</v>
      </c>
      <c r="AP11" s="524" t="e">
        <f t="shared" si="16"/>
        <v>#DIV/0!</v>
      </c>
      <c r="AQ11" s="524" t="e">
        <f t="shared" si="16"/>
        <v>#DIV/0!</v>
      </c>
      <c r="AR11" s="524">
        <f t="shared" ref="AR11:AT11" si="17">AR10/2+AR12/2</f>
        <v>3.1499999999999995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0.86</v>
      </c>
      <c r="AJ16" s="523" t="e">
        <f t="shared" si="21"/>
        <v>#DIV/0!</v>
      </c>
      <c r="AK16" s="523" t="e">
        <f t="shared" si="21"/>
        <v>#DIV/0!</v>
      </c>
      <c r="AL16" s="523">
        <f t="shared" si="21"/>
        <v>1.0735199999999998</v>
      </c>
      <c r="AM16" s="523" t="e">
        <f t="shared" si="21"/>
        <v>#DIV/0!</v>
      </c>
      <c r="AN16" s="523" t="e">
        <f t="shared" si="21"/>
        <v>#DIV/0!</v>
      </c>
      <c r="AO16" s="523">
        <f t="shared" si="21"/>
        <v>1.125</v>
      </c>
      <c r="AP16" s="523" t="e">
        <f t="shared" si="21"/>
        <v>#DIV/0!</v>
      </c>
      <c r="AQ16" s="523" t="e">
        <f t="shared" si="21"/>
        <v>#DIV/0!</v>
      </c>
      <c r="AR16" s="523">
        <f t="shared" si="21"/>
        <v>1.0599999999999998</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1.72</v>
      </c>
      <c r="AJ17" s="524" t="e">
        <f>ROUNDUP(SUM(I16:I22)/SUM(Boilers_DR!AC16:AC25),2)</f>
        <v>#DIV/0!</v>
      </c>
      <c r="AK17" s="524" t="e">
        <f>ROUNDUP(SUM(J16:J22)/SUM(Boilers_DR!AD16:AD25),2)</f>
        <v>#DIV/0!</v>
      </c>
      <c r="AL17" s="524">
        <f>ROUNDUP(SUM(K16:K22)/SUM(Boilers_DR!AB56:AB65),2)*AL3</f>
        <v>2.1470399999999996</v>
      </c>
      <c r="AM17" s="524" t="e">
        <f>ROUNDUP(SUM(L16:L22)/SUM(Boilers_DR!AC56:AC65),2)*AM3</f>
        <v>#DIV/0!</v>
      </c>
      <c r="AN17" s="524" t="e">
        <f>ROUNDUP(SUM(M16:M22)/SUM(Boilers_DR!AD56:AD65),2)*AN3</f>
        <v>#DIV/0!</v>
      </c>
      <c r="AO17" s="524">
        <f>ROUNDUP(SUM(N16:N22)/SUM(Boilers_DR!AB96:AB105),2)</f>
        <v>2.25</v>
      </c>
      <c r="AP17" s="524" t="e">
        <f>ROUNDUP(SUM(O16:O22)/SUM(Boilers_DR!AC96:AC105),2)</f>
        <v>#DIV/0!</v>
      </c>
      <c r="AQ17" s="524" t="e">
        <f>ROUNDUP(SUM(P16:P22)/SUM(Boilers_DR!AD96:AD105),2)</f>
        <v>#DIV/0!</v>
      </c>
      <c r="AR17" s="524">
        <f>ROUNDUP(SUM(N16:N22)/SUM(Boilers_DR!AB136:AB145),2)</f>
        <v>2.1199999999999997</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629.52325581395348</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2.8649999999999998</v>
      </c>
      <c r="AJ18" s="524" t="e">
        <f t="shared" si="27"/>
        <v>#DIV/0!</v>
      </c>
      <c r="AK18" s="524" t="e">
        <f t="shared" si="27"/>
        <v>#DIV/0!</v>
      </c>
      <c r="AL18" s="524">
        <f t="shared" si="27"/>
        <v>3.0785199999999997</v>
      </c>
      <c r="AM18" s="524" t="e">
        <f t="shared" si="27"/>
        <v>#DIV/0!</v>
      </c>
      <c r="AN18" s="524" t="e">
        <f t="shared" si="27"/>
        <v>#DIV/0!</v>
      </c>
      <c r="AO18" s="524">
        <f t="shared" si="27"/>
        <v>3.13</v>
      </c>
      <c r="AP18" s="524" t="e">
        <f t="shared" si="27"/>
        <v>#DIV/0!</v>
      </c>
      <c r="AQ18" s="524" t="e">
        <f t="shared" si="27"/>
        <v>#DIV/0!</v>
      </c>
      <c r="AR18" s="524">
        <f t="shared" ref="AR18:AT18" si="28">AR17/2+AR19/2</f>
        <v>3.0649999999999995</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52"/>
      <c r="BM19" s="652"/>
      <c r="BN19" s="652"/>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1.1099999999999999</v>
      </c>
      <c r="AJ23" s="523" t="e">
        <f t="shared" si="31"/>
        <v>#DIV/0!</v>
      </c>
      <c r="AK23" s="523" t="e">
        <f t="shared" si="31"/>
        <v>#DIV/0!</v>
      </c>
      <c r="AL23" s="523">
        <f t="shared" si="31"/>
        <v>1.3816599999999999</v>
      </c>
      <c r="AM23" s="523" t="e">
        <f t="shared" si="31"/>
        <v>#DIV/0!</v>
      </c>
      <c r="AN23" s="523" t="e">
        <f t="shared" si="31"/>
        <v>#DIV/0!</v>
      </c>
      <c r="AO23" s="523">
        <f t="shared" si="31"/>
        <v>1.4449999999999998</v>
      </c>
      <c r="AP23" s="523" t="e">
        <f t="shared" si="31"/>
        <v>#DIV/0!</v>
      </c>
      <c r="AQ23" s="523" t="e">
        <f t="shared" si="31"/>
        <v>#DIV/0!</v>
      </c>
      <c r="AR23" s="523">
        <f t="shared" si="31"/>
        <v>1.365</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2.2199999999999998</v>
      </c>
      <c r="AJ24" s="524" t="e">
        <f>ROUNDUP(SUM(I23:I29)/SUM(Boilers_DR!AC26:AC35),2)</f>
        <v>#DIV/0!</v>
      </c>
      <c r="AK24" s="524" t="e">
        <f>ROUNDUP(SUM(J23:J29)/SUM(Boilers_DR!AD26:AD35),2)</f>
        <v>#DIV/0!</v>
      </c>
      <c r="AL24" s="524">
        <f>ROUNDUP(SUM(K23:K29)/SUM(Boilers_DR!AB66:AB75),2)*AL3</f>
        <v>2.7633199999999998</v>
      </c>
      <c r="AM24" s="524" t="e">
        <f>ROUNDUP(SUM(L23:L29)/SUM(Boilers_DR!AC66:AC75),2)*AM3</f>
        <v>#DIV/0!</v>
      </c>
      <c r="AN24" s="524" t="e">
        <f>ROUNDUP(SUM(M23:M29)/SUM(Boilers_DR!AD66:AD75),2)*AN3</f>
        <v>#DIV/0!</v>
      </c>
      <c r="AO24" s="524">
        <f>ROUNDUP(SUM(N23:N29)/SUM(Boilers_DR!AB106:AB115),2)</f>
        <v>2.8899999999999997</v>
      </c>
      <c r="AP24" s="524" t="e">
        <f>ROUNDUP(SUM(O23:O29)/SUM(Boilers_DR!AC106:AC115),2)</f>
        <v>#DIV/0!</v>
      </c>
      <c r="AQ24" s="524" t="e">
        <f>ROUNDUP(SUM(P23:P29)/SUM(Boilers_DR!AD106:AD115),2)</f>
        <v>#DIV/0!</v>
      </c>
      <c r="AR24" s="524">
        <f>ROUNDUP(SUM(N23:N29)/SUM(Boilers_DR!AB146:AB155),2)</f>
        <v>2.73</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449.22522522522524</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2.6799999999999997</v>
      </c>
      <c r="AJ25" s="524" t="e">
        <f t="shared" si="34"/>
        <v>#DIV/0!</v>
      </c>
      <c r="AK25" s="524" t="e">
        <f t="shared" si="34"/>
        <v>#DIV/0!</v>
      </c>
      <c r="AL25" s="524">
        <f t="shared" si="34"/>
        <v>2.95166</v>
      </c>
      <c r="AM25" s="524" t="e">
        <f t="shared" si="34"/>
        <v>#DIV/0!</v>
      </c>
      <c r="AN25" s="524" t="e">
        <f t="shared" si="34"/>
        <v>#DIV/0!</v>
      </c>
      <c r="AO25" s="524">
        <f t="shared" si="34"/>
        <v>3.0149999999999997</v>
      </c>
      <c r="AP25" s="524" t="e">
        <f t="shared" si="34"/>
        <v>#DIV/0!</v>
      </c>
      <c r="AQ25" s="524" t="e">
        <f t="shared" si="34"/>
        <v>#DIV/0!</v>
      </c>
      <c r="AR25" s="524">
        <f t="shared" ref="AR25:AT25" si="35">AR24/2+AR26/2</f>
        <v>2.9350000000000001</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1.0099999999999998</v>
      </c>
      <c r="AJ30" s="523" t="e">
        <f t="shared" si="39"/>
        <v>#DIV/0!</v>
      </c>
      <c r="AK30" s="523" t="e">
        <f t="shared" si="39"/>
        <v>#DIV/0!</v>
      </c>
      <c r="AL30" s="524">
        <f t="shared" si="39"/>
        <v>1.2623799999999998</v>
      </c>
      <c r="AM30" s="523" t="e">
        <f t="shared" si="39"/>
        <v>#DIV/0!</v>
      </c>
      <c r="AN30" s="523" t="e">
        <f t="shared" si="39"/>
        <v>#DIV/0!</v>
      </c>
      <c r="AO30" s="524">
        <f t="shared" si="39"/>
        <v>1.3199999999999998</v>
      </c>
      <c r="AP30" s="523" t="e">
        <f t="shared" si="39"/>
        <v>#DIV/0!</v>
      </c>
      <c r="AQ30" s="523" t="e">
        <f t="shared" si="39"/>
        <v>#DIV/0!</v>
      </c>
      <c r="AR30" s="524">
        <f t="shared" si="39"/>
        <v>1.2449999999999999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2.0199999999999996</v>
      </c>
      <c r="AJ31" s="524" t="e">
        <f>ROUNDUP(SUM(I30:I36)/SUM(Boilers_DR!AC36:AC45),2)</f>
        <v>#DIV/0!</v>
      </c>
      <c r="AK31" s="524" t="e">
        <f>ROUNDUP(SUM(J30:J36)/SUM(Boilers_DR!AD36:AD45),2)</f>
        <v>#DIV/0!</v>
      </c>
      <c r="AL31" s="524">
        <f>ROUNDUP(SUM(K30:K36)/SUM(Boilers_DR!AB76:AB85),2)*AL3</f>
        <v>2.5247599999999997</v>
      </c>
      <c r="AM31" s="524" t="e">
        <f>ROUNDUP(SUM(L30:L36)/SUM(Boilers_DR!AC76:AC85),2)*AM3</f>
        <v>#DIV/0!</v>
      </c>
      <c r="AN31" s="524" t="e">
        <f>ROUNDUP(SUM(M30:M36)/SUM(Boilers_DR!AD76:AD85),2)*AN3</f>
        <v>#DIV/0!</v>
      </c>
      <c r="AO31" s="524">
        <f>ROUNDUP(SUM(N30:N36)/SUM(Boilers_DR!AB116:AB125),2)</f>
        <v>2.6399999999999997</v>
      </c>
      <c r="AP31" s="524" t="e">
        <f>ROUNDUP(SUM(O30:O36)/SUM(Boilers_DR!AC116:AC125),2)</f>
        <v>#DIV/0!</v>
      </c>
      <c r="AQ31" s="524" t="e">
        <f>ROUNDUP(SUM(P30:P36)/SUM(Boilers_DR!AD116:AD125),2)</f>
        <v>#DIV/0!</v>
      </c>
      <c r="AR31" s="524">
        <f>ROUNDUP(SUM(N30:N36)/SUM(Boilers_DR!AB156:AB165),2)</f>
        <v>2.4899999999999998</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27.618811881188122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2.58</v>
      </c>
      <c r="AJ32" s="524" t="e">
        <f t="shared" si="43"/>
        <v>#DIV/0!</v>
      </c>
      <c r="AK32" s="524" t="e">
        <f t="shared" si="43"/>
        <v>#DIV/0!</v>
      </c>
      <c r="AL32" s="524">
        <f t="shared" si="43"/>
        <v>2.8323799999999997</v>
      </c>
      <c r="AM32" s="524" t="e">
        <f t="shared" si="43"/>
        <v>#DIV/0!</v>
      </c>
      <c r="AN32" s="524" t="e">
        <f t="shared" si="43"/>
        <v>#DIV/0!</v>
      </c>
      <c r="AO32" s="524">
        <f t="shared" si="43"/>
        <v>2.8899999999999997</v>
      </c>
      <c r="AP32" s="524" t="e">
        <f t="shared" si="43"/>
        <v>#DIV/0!</v>
      </c>
      <c r="AQ32" s="524" t="e">
        <f t="shared" si="43"/>
        <v>#DIV/0!</v>
      </c>
      <c r="AR32" s="524">
        <f t="shared" ref="AR32:AT32" si="44">AR31/2+AR33/2</f>
        <v>2.8149999999999999</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1398.1334802058593</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478.62355667153457</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1394.130782695674</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476.84403710641334</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4.0026975101852713</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1.7795195651212339</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4">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0"/>
      <c r="E45" s="154"/>
      <c r="F45" s="154"/>
      <c r="G45" s="154" t="s">
        <v>753</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0"/>
      <c r="E46" s="154"/>
      <c r="F46" s="154"/>
      <c r="G46" s="154" t="s">
        <v>754</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8" t="s">
        <v>766</v>
      </c>
      <c r="D47" s="560"/>
      <c r="E47" s="154"/>
      <c r="F47" s="154"/>
      <c r="G47" s="154" t="s">
        <v>755</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0"/>
      <c r="E48" s="154"/>
      <c r="F48" s="154"/>
      <c r="G48" s="154" t="s">
        <v>756</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62" t="s">
        <v>14</v>
      </c>
      <c r="E51" s="159" t="s">
        <v>15</v>
      </c>
      <c r="F51" s="159" t="s">
        <v>117</v>
      </c>
      <c r="G51" s="159" t="s">
        <v>67</v>
      </c>
      <c r="H51" s="204" t="str">
        <f t="shared" ref="H51:J51" si="46">H7</f>
        <v>STOCK~DE1</v>
      </c>
      <c r="I51" s="204" t="str">
        <f t="shared" si="46"/>
        <v>STOCK~AZ2</v>
      </c>
      <c r="J51" s="204" t="str">
        <f t="shared" si="46"/>
        <v>STOCK~AZ3</v>
      </c>
      <c r="K51" s="204" t="str">
        <f>K7</f>
        <v>STOCK~2015~DE1</v>
      </c>
      <c r="L51" s="204" t="str">
        <f t="shared" ref="L51:M51" si="47">L7</f>
        <v>STOCK~2015~AZ2</v>
      </c>
      <c r="M51" s="204" t="str">
        <f t="shared" si="47"/>
        <v>STOCK~2015~AZ3</v>
      </c>
      <c r="N51" s="204" t="str">
        <f>N7</f>
        <v>STOCK~2017~DE1</v>
      </c>
      <c r="O51" s="204" t="str">
        <f t="shared" ref="O51:P51" si="48">O7</f>
        <v>STOCK~2017~AZ2</v>
      </c>
      <c r="P51" s="204" t="str">
        <f t="shared" si="48"/>
        <v>STOCK~2017~AZ3</v>
      </c>
      <c r="Q51" s="571" t="str">
        <f>H51&amp;"~2100"</f>
        <v>STOCK~DE1~2100</v>
      </c>
      <c r="R51" s="571" t="str">
        <f>I51&amp;"~2100"</f>
        <v>STOCK~AZ2~2100</v>
      </c>
      <c r="S51" s="571" t="str">
        <f>J51&amp;"~2100"</f>
        <v>STOCK~AZ3~2100</v>
      </c>
      <c r="T51" s="571" t="s">
        <v>942</v>
      </c>
      <c r="U51" s="571" t="s">
        <v>850</v>
      </c>
      <c r="V51" s="571" t="s">
        <v>851</v>
      </c>
      <c r="W51" s="571" t="str">
        <f t="shared" ref="W51:AB51" si="49">W7</f>
        <v>ACTBND~LO~DE1~2015</v>
      </c>
      <c r="X51" s="571" t="str">
        <f t="shared" si="49"/>
        <v>ACTBND~LO~AZ2~2015</v>
      </c>
      <c r="Y51" s="571" t="str">
        <f t="shared" si="49"/>
        <v>ACTBND~LO~AZ3~2015</v>
      </c>
      <c r="Z51" s="571" t="str">
        <f t="shared" si="49"/>
        <v>ACTBND~LO~DE1~2017</v>
      </c>
      <c r="AA51" s="571" t="str">
        <f t="shared" si="49"/>
        <v>ACTBND~LO~AZ2~2017</v>
      </c>
      <c r="AB51" s="571" t="str">
        <f t="shared" si="49"/>
        <v>ACTBND~LO~AZ3~2017</v>
      </c>
      <c r="AC51" s="571" t="s">
        <v>945</v>
      </c>
      <c r="AD51" s="571" t="s">
        <v>855</v>
      </c>
      <c r="AE51" s="571" t="s">
        <v>852</v>
      </c>
      <c r="AF51" s="571" t="s">
        <v>946</v>
      </c>
      <c r="AG51" s="571" t="s">
        <v>853</v>
      </c>
      <c r="AH51" s="571" t="s">
        <v>854</v>
      </c>
      <c r="AI51" s="205" t="str">
        <f t="shared" ref="AI51:AQ51" si="50">AI7</f>
        <v>EFF~DE1</v>
      </c>
      <c r="AJ51" s="205" t="str">
        <f t="shared" si="50"/>
        <v>EFF~AZ2</v>
      </c>
      <c r="AK51" s="205" t="str">
        <f t="shared" si="50"/>
        <v>EFF~AZ3</v>
      </c>
      <c r="AL51" s="205" t="str">
        <f t="shared" si="50"/>
        <v>EFF~DE1~2015</v>
      </c>
      <c r="AM51" s="205" t="str">
        <f t="shared" si="50"/>
        <v>EFF~AZ2~2015</v>
      </c>
      <c r="AN51" s="205" t="str">
        <f t="shared" si="50"/>
        <v>EFF~AZ3~2015</v>
      </c>
      <c r="AO51" s="205" t="str">
        <f t="shared" si="50"/>
        <v>EFF~DE1~2018</v>
      </c>
      <c r="AP51" s="205" t="str">
        <f t="shared" si="50"/>
        <v>EFF~AZ2~2018</v>
      </c>
      <c r="AQ51" s="205" t="str">
        <f t="shared" si="50"/>
        <v>EFF~AZ3~2018</v>
      </c>
      <c r="AR51" s="205" t="str">
        <f t="shared" ref="AR51:AT51" si="51">AR7</f>
        <v>EFF~DE1~2019</v>
      </c>
      <c r="AS51" s="205" t="str">
        <f t="shared" si="51"/>
        <v>EFF~AZ2~2019</v>
      </c>
      <c r="AT51" s="205" t="str">
        <f t="shared" si="51"/>
        <v>EFF~AZ3~2019</v>
      </c>
      <c r="AU51" s="159" t="s">
        <v>114</v>
      </c>
      <c r="AV51" s="159" t="s">
        <v>184</v>
      </c>
      <c r="AW51" s="159" t="s">
        <v>107</v>
      </c>
      <c r="AX51" s="298"/>
      <c r="AY51" s="198"/>
      <c r="AZ51" s="199"/>
      <c r="BA51" s="216" t="str">
        <f t="shared" ref="BA51:BF51" si="52">BA7</f>
        <v>DE1</v>
      </c>
      <c r="BB51" s="216" t="str">
        <f t="shared" si="52"/>
        <v>AZ2</v>
      </c>
      <c r="BC51" s="216" t="str">
        <f t="shared" si="52"/>
        <v>AZ3</v>
      </c>
      <c r="BD51" s="216" t="str">
        <f t="shared" si="52"/>
        <v>DE1</v>
      </c>
      <c r="BE51" s="216" t="str">
        <f t="shared" si="52"/>
        <v>AZ2</v>
      </c>
      <c r="BF51" s="216" t="str">
        <f t="shared" si="52"/>
        <v>AZ3</v>
      </c>
      <c r="BH51" s="201"/>
      <c r="BI51" s="201"/>
      <c r="BJ51" s="201"/>
      <c r="BK51" s="201"/>
      <c r="BL51" s="201"/>
      <c r="BM51" s="201"/>
      <c r="BN51" s="201"/>
      <c r="BO51" s="201"/>
      <c r="BP51" s="201"/>
      <c r="BQ51" s="201"/>
      <c r="BR51" s="201"/>
    </row>
    <row r="52" spans="1:70" ht="13"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t="e">
        <f t="shared" si="69"/>
        <v>#DIV/0!</v>
      </c>
      <c r="AK53" s="526" t="e">
        <f t="shared" si="69"/>
        <v>#DIV/0!</v>
      </c>
      <c r="AL53" s="526">
        <f>AL54/2</f>
        <v>420.89799999999997</v>
      </c>
      <c r="AM53" s="526" t="e">
        <f t="shared" si="69"/>
        <v>#DIV/0!</v>
      </c>
      <c r="AN53" s="526" t="e">
        <f t="shared" si="69"/>
        <v>#DIV/0!</v>
      </c>
      <c r="AO53" s="526">
        <f>AO54/2</f>
        <v>397.88849999999996</v>
      </c>
      <c r="AP53" s="526" t="e">
        <f t="shared" si="69"/>
        <v>#DIV/0!</v>
      </c>
      <c r="AQ53" s="526" t="e">
        <f t="shared" si="69"/>
        <v>#DIV/0!</v>
      </c>
      <c r="AR53" s="526">
        <f>AR54/2</f>
        <v>397.88849999999996</v>
      </c>
      <c r="AS53" s="526" t="e">
        <f t="shared" si="69"/>
        <v>#DIV/0!</v>
      </c>
      <c r="AT53" s="526"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 t="shared" si="61"/>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 t="shared" si="68"/>
        <v>844.76898000000006</v>
      </c>
      <c r="AD54" s="533">
        <f t="shared" si="68"/>
        <v>0</v>
      </c>
      <c r="AE54" s="533">
        <f t="shared" si="68"/>
        <v>0</v>
      </c>
      <c r="AF54" s="533">
        <f t="shared" si="68"/>
        <v>1393.868817</v>
      </c>
      <c r="AG54" s="533">
        <f t="shared" si="68"/>
        <v>0</v>
      </c>
      <c r="AH54" s="533">
        <f t="shared" si="68"/>
        <v>0</v>
      </c>
      <c r="AI54" s="527">
        <f>ROUNDUP(SUM(H53:H59)/Cooling!AA7,3)</f>
        <v>757.42099999999994</v>
      </c>
      <c r="AJ54" s="527" t="e">
        <f>ROUNDUP(SUM(I53:I59)/Cooling!AB7,3)</f>
        <v>#DIV/0!</v>
      </c>
      <c r="AK54" s="527" t="e">
        <f>ROUNDUP(SUM(J53:J59)/Cooling!AC7,3)</f>
        <v>#DIV/0!</v>
      </c>
      <c r="AL54" s="527">
        <f>ROUNDUP(SUM(K53:K59)/Cooling!AA11,3)</f>
        <v>841.79599999999994</v>
      </c>
      <c r="AM54" s="527" t="e">
        <f>ROUNDUP(SUM(L53:L59)/Cooling!AB11,3)</f>
        <v>#DIV/0!</v>
      </c>
      <c r="AN54" s="527" t="e">
        <f>ROUNDUP(SUM(M53:M59)/Cooling!AC11,3)</f>
        <v>#DIV/0!</v>
      </c>
      <c r="AO54" s="527">
        <f>ROUNDUP(SUM(N53:N59)/Cooling!AA15,3)</f>
        <v>795.77699999999993</v>
      </c>
      <c r="AP54" s="527" t="e">
        <f>ROUNDUP(SUM(O53:O59)/Cooling!AB15,3)</f>
        <v>#DIV/0!</v>
      </c>
      <c r="AQ54" s="527" t="e">
        <f>ROUNDUP(SUM(P53:P59)/Cooling!AC15,3)</f>
        <v>#DIV/0!</v>
      </c>
      <c r="AR54" s="527">
        <f>AO54</f>
        <v>795.77699999999993</v>
      </c>
      <c r="AS54" s="527" t="e">
        <f>AP54</f>
        <v>#DIV/0!</v>
      </c>
      <c r="AT54" s="527" t="e">
        <f>AQ54</f>
        <v>#DIV/0!</v>
      </c>
      <c r="AU54" s="163">
        <v>1</v>
      </c>
      <c r="AV54" s="162">
        <v>1</v>
      </c>
      <c r="AW54" s="160"/>
      <c r="AX54" s="162"/>
      <c r="AY54" s="162"/>
      <c r="AZ54" s="199"/>
      <c r="BA54" s="202">
        <f t="shared" si="70"/>
        <v>1422.17</v>
      </c>
      <c r="BB54" s="202">
        <f t="shared" si="71"/>
        <v>0</v>
      </c>
      <c r="BC54" s="202">
        <f t="shared" si="72"/>
        <v>0</v>
      </c>
      <c r="BD54" s="203">
        <f t="shared" si="73"/>
        <v>1.8776479659264798</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1195.1777607526881</v>
      </c>
      <c r="AJ55" s="527" t="e">
        <f t="shared" si="75"/>
        <v>#DIV/0!</v>
      </c>
      <c r="AK55" s="527" t="e">
        <f t="shared" si="75"/>
        <v>#DIV/0!</v>
      </c>
      <c r="AL55" s="527">
        <f t="shared" si="75"/>
        <v>1237.3652607526881</v>
      </c>
      <c r="AM55" s="527" t="e">
        <f t="shared" si="75"/>
        <v>#DIV/0!</v>
      </c>
      <c r="AN55" s="527" t="e">
        <f t="shared" si="75"/>
        <v>#DIV/0!</v>
      </c>
      <c r="AO55" s="527">
        <f t="shared" si="75"/>
        <v>1214.355760752688</v>
      </c>
      <c r="AP55" s="527" t="e">
        <f t="shared" si="75"/>
        <v>#DIV/0!</v>
      </c>
      <c r="AQ55" s="527" t="e">
        <f t="shared" si="75"/>
        <v>#DIV/0!</v>
      </c>
      <c r="AR55" s="527">
        <f t="shared" ref="AR55:AT55" si="76">AR54/2+AR56/2</f>
        <v>1214.355760752688</v>
      </c>
      <c r="AS55" s="527" t="e">
        <f t="shared" si="76"/>
        <v>#DIV/0!</v>
      </c>
      <c r="AT55" s="527"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1632.9345215053761</v>
      </c>
      <c r="AJ56" s="528">
        <f t="shared" si="77"/>
        <v>1632.9345215053761</v>
      </c>
      <c r="AK56" s="528">
        <f t="shared" si="77"/>
        <v>1632.9345215053761</v>
      </c>
      <c r="AL56" s="528">
        <f t="shared" si="77"/>
        <v>1632.9345215053761</v>
      </c>
      <c r="AM56" s="528">
        <f t="shared" si="77"/>
        <v>1632.9345215053761</v>
      </c>
      <c r="AN56" s="528">
        <f t="shared" si="77"/>
        <v>1632.9345215053761</v>
      </c>
      <c r="AO56" s="528">
        <f t="shared" si="77"/>
        <v>1632.9345215053761</v>
      </c>
      <c r="AP56" s="528">
        <f t="shared" si="77"/>
        <v>1632.9345215053761</v>
      </c>
      <c r="AQ56" s="528">
        <f t="shared" si="77"/>
        <v>1632.9345215053761</v>
      </c>
      <c r="AR56" s="528">
        <f t="shared" ref="AR56:AT56" si="78">$AI$54*AR12/$AI$10</f>
        <v>1632.9345215053761</v>
      </c>
      <c r="AS56" s="528">
        <f t="shared" si="78"/>
        <v>1632.9345215053761</v>
      </c>
      <c r="AT56" s="528">
        <f t="shared" si="78"/>
        <v>1632.9345215053761</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1934.2740591397846</v>
      </c>
      <c r="AJ57" s="528">
        <f t="shared" si="80"/>
        <v>1934.2740591397846</v>
      </c>
      <c r="AK57" s="528">
        <f t="shared" si="80"/>
        <v>1934.2740591397846</v>
      </c>
      <c r="AL57" s="528">
        <f t="shared" si="80"/>
        <v>1934.2740591397846</v>
      </c>
      <c r="AM57" s="528">
        <f t="shared" si="80"/>
        <v>1934.2740591397846</v>
      </c>
      <c r="AN57" s="528">
        <f t="shared" si="80"/>
        <v>1934.2740591397846</v>
      </c>
      <c r="AO57" s="528">
        <f t="shared" si="80"/>
        <v>1934.2740591397846</v>
      </c>
      <c r="AP57" s="528">
        <f t="shared" si="80"/>
        <v>1934.2740591397846</v>
      </c>
      <c r="AQ57" s="528">
        <f t="shared" si="80"/>
        <v>1934.2740591397846</v>
      </c>
      <c r="AR57" s="528">
        <f t="shared" ref="AR57:AT57" si="81">$AI$54*AR13/$AI$10</f>
        <v>1934.2740591397846</v>
      </c>
      <c r="AS57" s="528">
        <f t="shared" si="81"/>
        <v>1934.2740591397846</v>
      </c>
      <c r="AT57" s="528">
        <f t="shared" si="81"/>
        <v>1934.2740591397846</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2475.8707956989247</v>
      </c>
      <c r="AJ58" s="528">
        <f t="shared" si="82"/>
        <v>2475.8707956989247</v>
      </c>
      <c r="AK58" s="528">
        <f t="shared" si="82"/>
        <v>2475.8707956989247</v>
      </c>
      <c r="AL58" s="528">
        <f t="shared" si="82"/>
        <v>2475.8707956989247</v>
      </c>
      <c r="AM58" s="528">
        <f t="shared" si="82"/>
        <v>2475.8707956989247</v>
      </c>
      <c r="AN58" s="528">
        <f t="shared" si="82"/>
        <v>2475.8707956989247</v>
      </c>
      <c r="AO58" s="528">
        <f t="shared" si="82"/>
        <v>2475.8707956989247</v>
      </c>
      <c r="AP58" s="528">
        <f t="shared" si="82"/>
        <v>2475.8707956989247</v>
      </c>
      <c r="AQ58" s="528">
        <f t="shared" si="82"/>
        <v>2475.8707956989247</v>
      </c>
      <c r="AR58" s="528">
        <f t="shared" ref="AR58:AT58" si="83">$AI$54*AR14/$AI$10</f>
        <v>2475.8707956989247</v>
      </c>
      <c r="AS58" s="528">
        <f t="shared" si="83"/>
        <v>2475.8707956989247</v>
      </c>
      <c r="AT58" s="528">
        <f t="shared" si="83"/>
        <v>2475.8707956989247</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2826.076204301075</v>
      </c>
      <c r="AJ59" s="528">
        <f t="shared" si="84"/>
        <v>2826.076204301075</v>
      </c>
      <c r="AK59" s="528">
        <f t="shared" si="84"/>
        <v>2826.076204301075</v>
      </c>
      <c r="AL59" s="528">
        <f t="shared" si="84"/>
        <v>2826.076204301075</v>
      </c>
      <c r="AM59" s="528">
        <f t="shared" si="84"/>
        <v>2826.076204301075</v>
      </c>
      <c r="AN59" s="528">
        <f t="shared" si="84"/>
        <v>2826.076204301075</v>
      </c>
      <c r="AO59" s="528">
        <f t="shared" si="84"/>
        <v>2826.076204301075</v>
      </c>
      <c r="AP59" s="528">
        <f t="shared" si="84"/>
        <v>2826.076204301075</v>
      </c>
      <c r="AQ59" s="528">
        <f t="shared" si="84"/>
        <v>2826.076204301075</v>
      </c>
      <c r="AR59" s="528">
        <f t="shared" ref="AR59:AT59" si="85">$AI$54*AR15/$AI$10</f>
        <v>2826.076204301075</v>
      </c>
      <c r="AS59" s="528">
        <f t="shared" si="85"/>
        <v>2826.076204301075</v>
      </c>
      <c r="AT59" s="528">
        <f t="shared" si="85"/>
        <v>2826.076204301075</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t="e">
        <f t="shared" si="95"/>
        <v>#DIV/0!</v>
      </c>
      <c r="AK60" s="526" t="e">
        <f t="shared" si="95"/>
        <v>#DIV/0!</v>
      </c>
      <c r="AL60" s="526">
        <f t="shared" si="95"/>
        <v>421.91199999999998</v>
      </c>
      <c r="AM60" s="526" t="e">
        <f t="shared" si="95"/>
        <v>#DIV/0!</v>
      </c>
      <c r="AN60" s="526" t="e">
        <f t="shared" si="95"/>
        <v>#DIV/0!</v>
      </c>
      <c r="AO60" s="526">
        <f t="shared" si="95"/>
        <v>398.84899999999999</v>
      </c>
      <c r="AP60" s="526" t="e">
        <f t="shared" si="95"/>
        <v>#DIV/0!</v>
      </c>
      <c r="AQ60" s="526" t="e">
        <f t="shared" si="95"/>
        <v>#DIV/0!</v>
      </c>
      <c r="AR60" s="526">
        <f t="shared" si="95"/>
        <v>398.84899999999999</v>
      </c>
      <c r="AS60" s="526" t="e">
        <f t="shared" si="95"/>
        <v>#DIV/0!</v>
      </c>
      <c r="AT60" s="526"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 t="shared" si="87"/>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f t="shared" si="94"/>
        <v>1061.2326779999999</v>
      </c>
      <c r="AG61" s="533">
        <f t="shared" si="94"/>
        <v>0</v>
      </c>
      <c r="AH61" s="533">
        <f t="shared" si="94"/>
        <v>0</v>
      </c>
      <c r="AI61" s="527">
        <f>ROUNDUP(SUM(H60:H66)/Cooling!AA8,3)</f>
        <v>759.25</v>
      </c>
      <c r="AJ61" s="527" t="e">
        <f>ROUNDUP(SUM(I60:I66)/Cooling!AB8,3)</f>
        <v>#DIV/0!</v>
      </c>
      <c r="AK61" s="527" t="e">
        <f>ROUNDUP(SUM(J60:J66)/Cooling!AC8,3)</f>
        <v>#DIV/0!</v>
      </c>
      <c r="AL61" s="527">
        <f>ROUNDUP(SUM(K60:K66)/Cooling!AA12,3)</f>
        <v>843.82399999999996</v>
      </c>
      <c r="AM61" s="527" t="e">
        <f>ROUNDUP(SUM(L60:L66)/Cooling!AB12,3)</f>
        <v>#DIV/0!</v>
      </c>
      <c r="AN61" s="527" t="e">
        <f>ROUNDUP(SUM(M60:M66)/Cooling!AC12,3)</f>
        <v>#DIV/0!</v>
      </c>
      <c r="AO61" s="527">
        <f>ROUNDUP(SUM(N60:N66)/Cooling!AA16,3)</f>
        <v>797.69799999999998</v>
      </c>
      <c r="AP61" s="527" t="e">
        <f>ROUNDUP(SUM(O60:O66)/Cooling!AB16,3)</f>
        <v>#DIV/0!</v>
      </c>
      <c r="AQ61" s="527" t="e">
        <f>ROUNDUP(SUM(P60:P66)/Cooling!AC16,3)</f>
        <v>#DIV/0!</v>
      </c>
      <c r="AR61" s="527">
        <f>AO61</f>
        <v>797.69799999999998</v>
      </c>
      <c r="AS61" s="527" t="e">
        <f>AP61</f>
        <v>#DIV/0!</v>
      </c>
      <c r="AT61" s="527" t="e">
        <f>AQ61</f>
        <v>#DIV/0!</v>
      </c>
      <c r="AU61" s="163">
        <v>1</v>
      </c>
      <c r="AV61" s="162">
        <v>1</v>
      </c>
      <c r="AW61" s="160"/>
      <c r="AX61" s="162"/>
      <c r="AY61" s="162"/>
      <c r="AZ61" s="199"/>
      <c r="BA61" s="202">
        <f t="shared" si="70"/>
        <v>1082.78</v>
      </c>
      <c r="BB61" s="202">
        <f t="shared" si="71"/>
        <v>0</v>
      </c>
      <c r="BC61" s="202">
        <f t="shared" si="72"/>
        <v>0</v>
      </c>
      <c r="BD61" s="203">
        <f t="shared" si="96"/>
        <v>1.4261178794863352</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9">AI61/2+AI63/2</f>
        <v>1264.6809593023254</v>
      </c>
      <c r="AJ62" s="527" t="e">
        <f t="shared" si="99"/>
        <v>#DIV/0!</v>
      </c>
      <c r="AK62" s="527" t="e">
        <f t="shared" si="99"/>
        <v>#DIV/0!</v>
      </c>
      <c r="AL62" s="527">
        <f t="shared" si="99"/>
        <v>1306.9679593023254</v>
      </c>
      <c r="AM62" s="527" t="e">
        <f t="shared" si="99"/>
        <v>#DIV/0!</v>
      </c>
      <c r="AN62" s="527" t="e">
        <f t="shared" si="99"/>
        <v>#DIV/0!</v>
      </c>
      <c r="AO62" s="527">
        <f t="shared" si="99"/>
        <v>1283.9049593023256</v>
      </c>
      <c r="AP62" s="527" t="e">
        <f t="shared" si="99"/>
        <v>#DIV/0!</v>
      </c>
      <c r="AQ62" s="527" t="e">
        <f t="shared" si="99"/>
        <v>#DIV/0!</v>
      </c>
      <c r="AR62" s="527">
        <f t="shared" ref="AR62:AT62" si="100">AR61/2+AR63/2</f>
        <v>1283.9049593023256</v>
      </c>
      <c r="AS62" s="527" t="e">
        <f t="shared" si="100"/>
        <v>#DIV/0!</v>
      </c>
      <c r="AT62" s="527"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1770.111918604651</v>
      </c>
      <c r="AJ63" s="528">
        <f t="shared" si="101"/>
        <v>1770.111918604651</v>
      </c>
      <c r="AK63" s="528">
        <f t="shared" si="101"/>
        <v>1770.111918604651</v>
      </c>
      <c r="AL63" s="528">
        <f t="shared" si="101"/>
        <v>1770.111918604651</v>
      </c>
      <c r="AM63" s="528">
        <f t="shared" si="101"/>
        <v>1770.111918604651</v>
      </c>
      <c r="AN63" s="528">
        <f t="shared" si="101"/>
        <v>1770.111918604651</v>
      </c>
      <c r="AO63" s="528">
        <f t="shared" si="101"/>
        <v>1770.111918604651</v>
      </c>
      <c r="AP63" s="528">
        <f t="shared" si="101"/>
        <v>1770.111918604651</v>
      </c>
      <c r="AQ63" s="528">
        <f t="shared" si="101"/>
        <v>1770.111918604651</v>
      </c>
      <c r="AR63" s="528">
        <f t="shared" ref="AR63:AT63" si="102">$AI$61*AR19/$AI$17</f>
        <v>1770.111918604651</v>
      </c>
      <c r="AS63" s="528">
        <f t="shared" si="102"/>
        <v>1770.111918604651</v>
      </c>
      <c r="AT63" s="528">
        <f t="shared" si="102"/>
        <v>1770.111918604651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52"/>
      <c r="BM63" s="652"/>
      <c r="BN63" s="652"/>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2096.765988372093</v>
      </c>
      <c r="AJ64" s="528">
        <f t="shared" si="103"/>
        <v>2096.765988372093</v>
      </c>
      <c r="AK64" s="528">
        <f t="shared" si="103"/>
        <v>2096.765988372093</v>
      </c>
      <c r="AL64" s="528">
        <f t="shared" si="103"/>
        <v>2096.765988372093</v>
      </c>
      <c r="AM64" s="528">
        <f t="shared" si="103"/>
        <v>2096.765988372093</v>
      </c>
      <c r="AN64" s="528">
        <f t="shared" si="103"/>
        <v>2096.765988372093</v>
      </c>
      <c r="AO64" s="528">
        <f t="shared" si="103"/>
        <v>2096.765988372093</v>
      </c>
      <c r="AP64" s="528">
        <f t="shared" si="103"/>
        <v>2096.765988372093</v>
      </c>
      <c r="AQ64" s="528">
        <f t="shared" si="103"/>
        <v>2096.765988372093</v>
      </c>
      <c r="AR64" s="528">
        <f t="shared" ref="AR64:AT64" si="104">$AI$61*AR20/$AI$17</f>
        <v>2096.765988372093</v>
      </c>
      <c r="AS64" s="528">
        <f t="shared" si="104"/>
        <v>2096.765988372093</v>
      </c>
      <c r="AT64" s="528">
        <f t="shared" si="104"/>
        <v>2096.765988372093</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2683.8604651162791</v>
      </c>
      <c r="AJ65" s="528">
        <f t="shared" si="105"/>
        <v>2683.8604651162791</v>
      </c>
      <c r="AK65" s="528">
        <f t="shared" si="105"/>
        <v>2683.8604651162791</v>
      </c>
      <c r="AL65" s="528">
        <f t="shared" si="105"/>
        <v>2683.8604651162791</v>
      </c>
      <c r="AM65" s="528">
        <f t="shared" si="105"/>
        <v>2683.8604651162791</v>
      </c>
      <c r="AN65" s="528">
        <f t="shared" si="105"/>
        <v>2683.8604651162791</v>
      </c>
      <c r="AO65" s="528">
        <f t="shared" si="105"/>
        <v>2683.8604651162791</v>
      </c>
      <c r="AP65" s="528">
        <f t="shared" si="105"/>
        <v>2683.8604651162791</v>
      </c>
      <c r="AQ65" s="528">
        <f t="shared" si="105"/>
        <v>2683.8604651162791</v>
      </c>
      <c r="AR65" s="528">
        <f t="shared" ref="AR65:AT65" si="106">$AI$61*AR21/$AI$17</f>
        <v>2683.8604651162791</v>
      </c>
      <c r="AS65" s="528">
        <f t="shared" si="106"/>
        <v>2683.8604651162791</v>
      </c>
      <c r="AT65" s="528">
        <f t="shared" si="106"/>
        <v>2683.8604651162791</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3063.4854651162796</v>
      </c>
      <c r="AJ66" s="528">
        <f t="shared" si="107"/>
        <v>3063.4854651162796</v>
      </c>
      <c r="AK66" s="528">
        <f t="shared" si="107"/>
        <v>3063.4854651162796</v>
      </c>
      <c r="AL66" s="528">
        <f t="shared" si="107"/>
        <v>3063.4854651162796</v>
      </c>
      <c r="AM66" s="528">
        <f t="shared" si="107"/>
        <v>3063.4854651162796</v>
      </c>
      <c r="AN66" s="528">
        <f t="shared" si="107"/>
        <v>3063.4854651162796</v>
      </c>
      <c r="AO66" s="528">
        <f t="shared" si="107"/>
        <v>3063.4854651162796</v>
      </c>
      <c r="AP66" s="528">
        <f t="shared" si="107"/>
        <v>3063.4854651162796</v>
      </c>
      <c r="AQ66" s="528">
        <f t="shared" si="107"/>
        <v>3063.4854651162796</v>
      </c>
      <c r="AR66" s="528">
        <f t="shared" ref="AR66:AT66" si="108">$AI$61*AR22/$AI$17</f>
        <v>3063.4854651162796</v>
      </c>
      <c r="AS66" s="528">
        <f t="shared" si="108"/>
        <v>3063.4854651162796</v>
      </c>
      <c r="AT66" s="528">
        <f t="shared" si="108"/>
        <v>3063.4854651162796</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t="e">
        <f t="shared" si="118"/>
        <v>#DIV/0!</v>
      </c>
      <c r="AK67" s="526" t="e">
        <f t="shared" si="118"/>
        <v>#DIV/0!</v>
      </c>
      <c r="AL67" s="526">
        <f t="shared" si="118"/>
        <v>501.87200000000001</v>
      </c>
      <c r="AM67" s="526" t="e">
        <f t="shared" si="118"/>
        <v>#DIV/0!</v>
      </c>
      <c r="AN67" s="526" t="e">
        <f t="shared" si="118"/>
        <v>#DIV/0!</v>
      </c>
      <c r="AO67" s="526">
        <f t="shared" si="118"/>
        <v>474.43899999999996</v>
      </c>
      <c r="AP67" s="526" t="e">
        <f t="shared" si="118"/>
        <v>#DIV/0!</v>
      </c>
      <c r="AQ67" s="526" t="e">
        <f t="shared" si="118"/>
        <v>#DIV/0!</v>
      </c>
      <c r="AR67" s="526">
        <f t="shared" si="118"/>
        <v>474.43899999999996</v>
      </c>
      <c r="AS67" s="526" t="e">
        <f t="shared" si="118"/>
        <v>#DIV/0!</v>
      </c>
      <c r="AT67" s="526"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f t="shared" si="117"/>
        <v>977.43412799999999</v>
      </c>
      <c r="AG68" s="533">
        <f t="shared" si="117"/>
        <v>0</v>
      </c>
      <c r="AH68" s="533">
        <f t="shared" si="117"/>
        <v>0</v>
      </c>
      <c r="AI68" s="527">
        <f>ROUNDUP(SUM(H67:H73)/Cooling!AA9,3)</f>
        <v>903.14099999999996</v>
      </c>
      <c r="AJ68" s="527" t="e">
        <f>ROUNDUP(SUM(I67:I73)/Cooling!AB9,3)</f>
        <v>#DIV/0!</v>
      </c>
      <c r="AK68" s="527" t="e">
        <f>ROUNDUP(SUM(J67:J73)/Cooling!AC9,3)</f>
        <v>#DIV/0!</v>
      </c>
      <c r="AL68" s="527">
        <f>ROUNDUP(SUM(K67:K73)/Cooling!AA13,3)</f>
        <v>1003.744</v>
      </c>
      <c r="AM68" s="527" t="e">
        <f>ROUNDUP(SUM(L67:L73)/Cooling!AB13,3)</f>
        <v>#DIV/0!</v>
      </c>
      <c r="AN68" s="527" t="e">
        <f>ROUNDUP(SUM(M67:M73)/Cooling!AC13,3)</f>
        <v>#DIV/0!</v>
      </c>
      <c r="AO68" s="527">
        <f>ROUNDUP(SUM(N67:N73)/Cooling!AA17,3)</f>
        <v>948.87799999999993</v>
      </c>
      <c r="AP68" s="527" t="e">
        <f>ROUNDUP(SUM(O67:O73)/Cooling!AB17,3)</f>
        <v>#DIV/0!</v>
      </c>
      <c r="AQ68" s="527" t="e">
        <f>ROUNDUP(SUM(P67:P73)/Cooling!AC17,3)</f>
        <v>#DIV/0!</v>
      </c>
      <c r="AR68" s="527">
        <f>AO68</f>
        <v>948.87799999999993</v>
      </c>
      <c r="AS68" s="527" t="e">
        <f>AP68</f>
        <v>#DIV/0!</v>
      </c>
      <c r="AT68" s="527" t="e">
        <f>AQ68</f>
        <v>#DIV/0!</v>
      </c>
      <c r="AU68" s="163">
        <v>1</v>
      </c>
      <c r="AV68" s="162">
        <v>1</v>
      </c>
      <c r="AW68" s="160"/>
      <c r="AX68" s="162"/>
      <c r="AY68" s="162"/>
      <c r="AZ68" s="199"/>
      <c r="BA68" s="202">
        <f t="shared" si="70"/>
        <v>997.28</v>
      </c>
      <c r="BB68" s="202">
        <f t="shared" si="71"/>
        <v>0</v>
      </c>
      <c r="BC68" s="202">
        <f t="shared" si="72"/>
        <v>0</v>
      </c>
      <c r="BD68" s="203">
        <f t="shared" si="96"/>
        <v>1.10423510836071</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1090.2783243243243</v>
      </c>
      <c r="AJ69" s="527" t="e">
        <f t="shared" si="119"/>
        <v>#DIV/0!</v>
      </c>
      <c r="AK69" s="527" t="e">
        <f t="shared" si="119"/>
        <v>#DIV/0!</v>
      </c>
      <c r="AL69" s="527">
        <f t="shared" si="119"/>
        <v>1140.5798243243244</v>
      </c>
      <c r="AM69" s="527" t="e">
        <f t="shared" si="119"/>
        <v>#DIV/0!</v>
      </c>
      <c r="AN69" s="527" t="e">
        <f t="shared" si="119"/>
        <v>#DIV/0!</v>
      </c>
      <c r="AO69" s="527">
        <f t="shared" si="119"/>
        <v>1113.1468243243244</v>
      </c>
      <c r="AP69" s="527" t="e">
        <f t="shared" si="119"/>
        <v>#DIV/0!</v>
      </c>
      <c r="AQ69" s="527" t="e">
        <f t="shared" si="119"/>
        <v>#DIV/0!</v>
      </c>
      <c r="AR69" s="527">
        <f t="shared" ref="AR69:AT69" si="120">AR68/2+AR70/2</f>
        <v>1113.1468243243244</v>
      </c>
      <c r="AS69" s="527" t="e">
        <f t="shared" si="120"/>
        <v>#DIV/0!</v>
      </c>
      <c r="AT69" s="527"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1277.4156486486488</v>
      </c>
      <c r="AJ70" s="528">
        <f t="shared" si="121"/>
        <v>1277.4156486486488</v>
      </c>
      <c r="AK70" s="528">
        <f t="shared" si="121"/>
        <v>1277.4156486486488</v>
      </c>
      <c r="AL70" s="528">
        <f t="shared" si="121"/>
        <v>1277.4156486486488</v>
      </c>
      <c r="AM70" s="528">
        <f t="shared" si="121"/>
        <v>1277.4156486486488</v>
      </c>
      <c r="AN70" s="528">
        <f t="shared" si="121"/>
        <v>1277.4156486486488</v>
      </c>
      <c r="AO70" s="528">
        <f t="shared" si="121"/>
        <v>1277.4156486486488</v>
      </c>
      <c r="AP70" s="528">
        <f t="shared" si="121"/>
        <v>1277.4156486486488</v>
      </c>
      <c r="AQ70" s="528">
        <f t="shared" si="121"/>
        <v>1277.4156486486488</v>
      </c>
      <c r="AR70" s="528">
        <f t="shared" ref="AR70:AT70" si="122">$AI$68*AR26/$AI$24</f>
        <v>1277.4156486486488</v>
      </c>
      <c r="AS70" s="528">
        <f t="shared" si="122"/>
        <v>1277.4156486486488</v>
      </c>
      <c r="AT70" s="528">
        <f t="shared" si="122"/>
        <v>1277.4156486486488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1501.1667972972973</v>
      </c>
      <c r="AJ71" s="528">
        <f t="shared" si="124"/>
        <v>1501.1667972972973</v>
      </c>
      <c r="AK71" s="528">
        <f t="shared" si="124"/>
        <v>1501.1667972972973</v>
      </c>
      <c r="AL71" s="528">
        <f t="shared" si="124"/>
        <v>1501.1667972972973</v>
      </c>
      <c r="AM71" s="528">
        <f t="shared" si="124"/>
        <v>1501.1667972972973</v>
      </c>
      <c r="AN71" s="528">
        <f t="shared" si="124"/>
        <v>1501.1667972972973</v>
      </c>
      <c r="AO71" s="528">
        <f t="shared" si="124"/>
        <v>1501.1667972972973</v>
      </c>
      <c r="AP71" s="528">
        <f t="shared" si="124"/>
        <v>1501.1667972972973</v>
      </c>
      <c r="AQ71" s="528">
        <f t="shared" si="124"/>
        <v>1501.1667972972973</v>
      </c>
      <c r="AR71" s="528">
        <f t="shared" ref="AR71:AT71" si="125">$AI$68*AR27/$AI$24</f>
        <v>1501.1667972972973</v>
      </c>
      <c r="AS71" s="528">
        <f t="shared" si="125"/>
        <v>1501.1667972972973</v>
      </c>
      <c r="AT71" s="528">
        <f t="shared" si="125"/>
        <v>1501.1667972972973</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2473.4672432432435</v>
      </c>
      <c r="AJ72" s="528">
        <f t="shared" si="126"/>
        <v>2473.4672432432435</v>
      </c>
      <c r="AK72" s="528">
        <f t="shared" si="126"/>
        <v>2473.4672432432435</v>
      </c>
      <c r="AL72" s="528">
        <f t="shared" si="126"/>
        <v>2473.4672432432435</v>
      </c>
      <c r="AM72" s="528">
        <f t="shared" si="126"/>
        <v>2473.4672432432435</v>
      </c>
      <c r="AN72" s="528">
        <f t="shared" si="126"/>
        <v>2473.4672432432435</v>
      </c>
      <c r="AO72" s="528">
        <f t="shared" si="126"/>
        <v>2473.4672432432435</v>
      </c>
      <c r="AP72" s="528">
        <f t="shared" si="126"/>
        <v>2473.4672432432435</v>
      </c>
      <c r="AQ72" s="528">
        <f t="shared" si="126"/>
        <v>2473.4672432432435</v>
      </c>
      <c r="AR72" s="528">
        <f t="shared" ref="AR72:AT72" si="127">$AI$68*AR28/$AI$24</f>
        <v>2473.4672432432435</v>
      </c>
      <c r="AS72" s="528">
        <f t="shared" si="127"/>
        <v>2473.4672432432435</v>
      </c>
      <c r="AT72" s="528">
        <f t="shared" si="127"/>
        <v>2473.4672432432435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2823.332675675676</v>
      </c>
      <c r="AJ73" s="528">
        <f t="shared" si="128"/>
        <v>2823.332675675676</v>
      </c>
      <c r="AK73" s="528">
        <f t="shared" si="128"/>
        <v>2823.332675675676</v>
      </c>
      <c r="AL73" s="528">
        <f t="shared" si="128"/>
        <v>2823.332675675676</v>
      </c>
      <c r="AM73" s="528">
        <f t="shared" si="128"/>
        <v>2823.332675675676</v>
      </c>
      <c r="AN73" s="528">
        <f t="shared" si="128"/>
        <v>2823.332675675676</v>
      </c>
      <c r="AO73" s="528">
        <f t="shared" si="128"/>
        <v>2823.332675675676</v>
      </c>
      <c r="AP73" s="528">
        <f t="shared" si="128"/>
        <v>2823.332675675676</v>
      </c>
      <c r="AQ73" s="528">
        <f t="shared" si="128"/>
        <v>2823.332675675676</v>
      </c>
      <c r="AR73" s="528">
        <f t="shared" ref="AR73:AT73" si="129">$AI$68*AR29/$AI$24</f>
        <v>2823.332675675676</v>
      </c>
      <c r="AS73" s="528">
        <f t="shared" si="129"/>
        <v>2823.332675675676</v>
      </c>
      <c r="AT73" s="528">
        <f t="shared" si="129"/>
        <v>2823.332675675676</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t="e">
        <f t="shared" si="139"/>
        <v>#DIV/0!</v>
      </c>
      <c r="AK74" s="526" t="e">
        <f t="shared" si="139"/>
        <v>#DIV/0!</v>
      </c>
      <c r="AL74" s="526">
        <f t="shared" si="139"/>
        <v>495.37200000000001</v>
      </c>
      <c r="AM74" s="526" t="e">
        <f t="shared" si="139"/>
        <v>#DIV/0!</v>
      </c>
      <c r="AN74" s="526" t="e">
        <f t="shared" si="139"/>
        <v>#DIV/0!</v>
      </c>
      <c r="AO74" s="526">
        <f t="shared" si="139"/>
        <v>468.27249999999998</v>
      </c>
      <c r="AP74" s="526" t="e">
        <f t="shared" si="139"/>
        <v>#DIV/0!</v>
      </c>
      <c r="AQ74" s="526" t="e">
        <f t="shared" si="139"/>
        <v>#DIV/0!</v>
      </c>
      <c r="AR74" s="526">
        <f t="shared" si="139"/>
        <v>468.27249999999998</v>
      </c>
      <c r="AS74" s="526" t="e">
        <f t="shared" si="139"/>
        <v>#DIV/0!</v>
      </c>
      <c r="AT74" s="526"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f t="shared" si="138"/>
        <v>54.679778999999996</v>
      </c>
      <c r="AG75" s="533">
        <f t="shared" si="138"/>
        <v>0</v>
      </c>
      <c r="AH75" s="533">
        <f t="shared" si="138"/>
        <v>0</v>
      </c>
      <c r="AI75" s="527">
        <f>ROUNDUP(SUM(H74:H80)/Cooling!AA10,3)</f>
        <v>891.38099999999997</v>
      </c>
      <c r="AJ75" s="527" t="e">
        <f>ROUNDUP(SUM(I74:I80)/Cooling!AB10,3)</f>
        <v>#DIV/0!</v>
      </c>
      <c r="AK75" s="527" t="e">
        <f>ROUNDUP(SUM(J74:J80)/Cooling!AC10,3)</f>
        <v>#DIV/0!</v>
      </c>
      <c r="AL75" s="527">
        <f>ROUNDUP(SUM(K74:K80)/Cooling!AA14,3)</f>
        <v>990.74400000000003</v>
      </c>
      <c r="AM75" s="527" t="e">
        <f>ROUNDUP(SUM(L74:L80)/Cooling!AB14,3)</f>
        <v>#DIV/0!</v>
      </c>
      <c r="AN75" s="527" t="e">
        <f>ROUNDUP(SUM(M74:M80)/Cooling!AC14,3)</f>
        <v>#DIV/0!</v>
      </c>
      <c r="AO75" s="527">
        <f>ROUNDUP(SUM(N74:N80)/Cooling!AA18,3)</f>
        <v>936.54499999999996</v>
      </c>
      <c r="AP75" s="527" t="e">
        <f>ROUNDUP(SUM(O74:O80)/Cooling!AB18,3)</f>
        <v>#DIV/0!</v>
      </c>
      <c r="AQ75" s="527" t="e">
        <f>ROUNDUP(SUM(P74:P80)/Cooling!AC18,3)</f>
        <v>#DIV/0!</v>
      </c>
      <c r="AR75" s="527">
        <f>AO75</f>
        <v>936.54499999999996</v>
      </c>
      <c r="AS75" s="527" t="e">
        <f>AP75</f>
        <v>#DIV/0!</v>
      </c>
      <c r="AT75" s="527" t="e">
        <f>AQ75</f>
        <v>#DIV/0!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1138.4965247524754</v>
      </c>
      <c r="AJ76" s="527" t="e">
        <f t="shared" si="141"/>
        <v>#DIV/0!</v>
      </c>
      <c r="AK76" s="527" t="e">
        <f t="shared" si="141"/>
        <v>#DIV/0!</v>
      </c>
      <c r="AL76" s="527">
        <f t="shared" si="141"/>
        <v>1188.1780247524755</v>
      </c>
      <c r="AM76" s="527" t="e">
        <f t="shared" si="141"/>
        <v>#DIV/0!</v>
      </c>
      <c r="AN76" s="527" t="e">
        <f t="shared" si="141"/>
        <v>#DIV/0!</v>
      </c>
      <c r="AO76" s="527">
        <f t="shared" si="141"/>
        <v>1161.0785247524755</v>
      </c>
      <c r="AP76" s="527" t="e">
        <f t="shared" si="141"/>
        <v>#DIV/0!</v>
      </c>
      <c r="AQ76" s="527" t="e">
        <f t="shared" si="141"/>
        <v>#DIV/0!</v>
      </c>
      <c r="AR76" s="527">
        <f t="shared" ref="AR76:AT76" si="142">AR75/2+AR77/2</f>
        <v>1161.0785247524755</v>
      </c>
      <c r="AS76" s="527" t="e">
        <f t="shared" si="142"/>
        <v>#DIV/0!</v>
      </c>
      <c r="AT76" s="527"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1385.6120495049508</v>
      </c>
      <c r="AJ77" s="528">
        <f t="shared" si="143"/>
        <v>1385.6120495049508</v>
      </c>
      <c r="AK77" s="528">
        <f t="shared" si="143"/>
        <v>1385.6120495049508</v>
      </c>
      <c r="AL77" s="528">
        <f t="shared" si="143"/>
        <v>1385.6120495049508</v>
      </c>
      <c r="AM77" s="528">
        <f t="shared" si="143"/>
        <v>1385.6120495049508</v>
      </c>
      <c r="AN77" s="528">
        <f t="shared" si="143"/>
        <v>1385.6120495049508</v>
      </c>
      <c r="AO77" s="528">
        <f t="shared" si="143"/>
        <v>1385.6120495049508</v>
      </c>
      <c r="AP77" s="528">
        <f t="shared" si="143"/>
        <v>1385.6120495049508</v>
      </c>
      <c r="AQ77" s="528">
        <f t="shared" si="143"/>
        <v>1385.6120495049508</v>
      </c>
      <c r="AR77" s="528">
        <f t="shared" ref="AR77:AT77" si="144">$AI$75*AR33/$AI$31</f>
        <v>1385.6120495049508</v>
      </c>
      <c r="AS77" s="528">
        <f t="shared" si="144"/>
        <v>1385.6120495049508</v>
      </c>
      <c r="AT77" s="528">
        <f t="shared" si="144"/>
        <v>1385.6120495049508</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1628.3147970297032</v>
      </c>
      <c r="AJ78" s="528">
        <f t="shared" si="145"/>
        <v>1628.3147970297032</v>
      </c>
      <c r="AK78" s="528">
        <f t="shared" si="145"/>
        <v>1628.3147970297032</v>
      </c>
      <c r="AL78" s="528">
        <f t="shared" si="145"/>
        <v>1628.3147970297032</v>
      </c>
      <c r="AM78" s="528">
        <f t="shared" si="145"/>
        <v>1628.3147970297032</v>
      </c>
      <c r="AN78" s="528">
        <f t="shared" si="145"/>
        <v>1628.3147970297032</v>
      </c>
      <c r="AO78" s="528">
        <f t="shared" si="145"/>
        <v>1628.3147970297032</v>
      </c>
      <c r="AP78" s="528">
        <f t="shared" si="145"/>
        <v>1628.3147970297032</v>
      </c>
      <c r="AQ78" s="528">
        <f t="shared" si="145"/>
        <v>1628.3147970297032</v>
      </c>
      <c r="AR78" s="528">
        <f t="shared" ref="AR78:AT78" si="146">$AI$75*AR34/$AI$31</f>
        <v>1628.3147970297032</v>
      </c>
      <c r="AS78" s="528">
        <f t="shared" si="146"/>
        <v>1628.3147970297032</v>
      </c>
      <c r="AT78" s="528">
        <f t="shared" si="146"/>
        <v>1628.3147970297032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2682.9685544554463</v>
      </c>
      <c r="AJ79" s="528">
        <f t="shared" si="147"/>
        <v>2682.9685544554463</v>
      </c>
      <c r="AK79" s="528">
        <f t="shared" si="147"/>
        <v>2682.9685544554463</v>
      </c>
      <c r="AL79" s="528">
        <f t="shared" si="147"/>
        <v>2682.9685544554463</v>
      </c>
      <c r="AM79" s="528">
        <f t="shared" si="147"/>
        <v>2682.9685544554463</v>
      </c>
      <c r="AN79" s="528">
        <f t="shared" si="147"/>
        <v>2682.9685544554463</v>
      </c>
      <c r="AO79" s="528">
        <f t="shared" si="147"/>
        <v>2682.9685544554463</v>
      </c>
      <c r="AP79" s="528">
        <f t="shared" si="147"/>
        <v>2682.9685544554463</v>
      </c>
      <c r="AQ79" s="528">
        <f t="shared" si="147"/>
        <v>2682.9685544554463</v>
      </c>
      <c r="AR79" s="528">
        <f t="shared" ref="AR79:AT79" si="148">$AI$75*AR35/$AI$31</f>
        <v>2682.9685544554463</v>
      </c>
      <c r="AS79" s="528">
        <f t="shared" si="148"/>
        <v>2682.9685544554463</v>
      </c>
      <c r="AT79" s="528">
        <f t="shared" si="148"/>
        <v>2682.9685544554463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3062.4673960396049</v>
      </c>
      <c r="AJ80" s="528">
        <f t="shared" si="149"/>
        <v>3062.4673960396049</v>
      </c>
      <c r="AK80" s="528">
        <f t="shared" si="149"/>
        <v>3062.4673960396049</v>
      </c>
      <c r="AL80" s="528">
        <f t="shared" si="149"/>
        <v>3062.4673960396049</v>
      </c>
      <c r="AM80" s="528">
        <f t="shared" si="149"/>
        <v>3062.4673960396049</v>
      </c>
      <c r="AN80" s="528">
        <f t="shared" si="149"/>
        <v>3062.4673960396049</v>
      </c>
      <c r="AO80" s="528">
        <f t="shared" si="149"/>
        <v>3062.4673960396049</v>
      </c>
      <c r="AP80" s="528">
        <f t="shared" si="149"/>
        <v>3062.4673960396049</v>
      </c>
      <c r="AQ80" s="528">
        <f t="shared" si="149"/>
        <v>3062.4673960396049</v>
      </c>
      <c r="AR80" s="528">
        <f t="shared" ref="AR80:AT80" si="150">$AI$75*AR36/$AI$31</f>
        <v>3062.4673960396049</v>
      </c>
      <c r="AS80" s="528">
        <f t="shared" si="150"/>
        <v>3062.4673960396049</v>
      </c>
      <c r="AT80" s="528">
        <f t="shared" si="150"/>
        <v>3062.4673960396049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57"/>
      <c r="E81" s="191"/>
      <c r="F81" s="191"/>
      <c r="G81" s="191"/>
      <c r="AC81" s="156"/>
      <c r="AD81" s="156"/>
      <c r="AE81" s="156"/>
      <c r="AF81" s="190"/>
      <c r="AG81" s="190"/>
      <c r="AH81" s="190"/>
      <c r="AI81" s="190"/>
      <c r="AJ81" s="190"/>
      <c r="AK81" s="190"/>
      <c r="AL81" s="190"/>
      <c r="AM81" s="190"/>
      <c r="AN81" s="190"/>
      <c r="AZ81" s="287" t="s">
        <v>195</v>
      </c>
      <c r="BD81" s="289">
        <f>SUM(Cooling!AA7:AA8)</f>
        <v>3.3037674880000001</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7"/>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1.1668245119999998</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194</v>
      </c>
      <c r="BA83"/>
      <c r="BB83"/>
      <c r="BC83"/>
      <c r="BD83" s="283">
        <f>SUM(BD53:BD66)</f>
        <v>3.3037658454128147</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1.1668233843055642</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1.6425871853797958E-6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7"/>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topLeftCell="A25" zoomScale="90" zoomScaleNormal="90" workbookViewId="0">
      <selection activeCell="K74" sqref="K74"/>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8" t="s">
        <v>286</v>
      </c>
      <c r="C2" s="227"/>
      <c r="D2" s="228"/>
      <c r="E2" s="229" t="s">
        <v>181</v>
      </c>
      <c r="F2" s="229"/>
      <c r="G2" s="271">
        <v>1.02</v>
      </c>
      <c r="H2" s="271"/>
      <c r="I2" s="271"/>
      <c r="J2" s="230"/>
      <c r="K2" s="230"/>
      <c r="L2" s="643" t="s">
        <v>936</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937</v>
      </c>
      <c r="W4" s="439" t="s">
        <v>237</v>
      </c>
      <c r="X4" s="440" t="s">
        <v>238</v>
      </c>
      <c r="Y4" s="438" t="s">
        <v>937</v>
      </c>
      <c r="Z4" s="439" t="s">
        <v>237</v>
      </c>
      <c r="AA4" s="440" t="s">
        <v>238</v>
      </c>
    </row>
    <row r="5" spans="2:31" ht="26">
      <c r="B5" s="238" t="s">
        <v>2</v>
      </c>
      <c r="C5" s="238" t="s">
        <v>26</v>
      </c>
      <c r="D5" s="238" t="s">
        <v>14</v>
      </c>
      <c r="E5" s="238" t="s">
        <v>15</v>
      </c>
      <c r="F5" s="422" t="s">
        <v>108</v>
      </c>
      <c r="G5" s="239" t="s">
        <v>938</v>
      </c>
      <c r="H5" s="239" t="s">
        <v>749</v>
      </c>
      <c r="I5" s="239" t="s">
        <v>750</v>
      </c>
      <c r="J5" s="240" t="s">
        <v>939</v>
      </c>
      <c r="K5" s="240" t="s">
        <v>751</v>
      </c>
      <c r="L5" s="240" t="s">
        <v>752</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783</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886</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883</v>
      </c>
      <c r="T10" s="246" t="s">
        <v>935</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886</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4.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883</v>
      </c>
      <c r="T14" s="246" t="s">
        <v>935</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0">
        <f t="shared" si="19"/>
        <v>0</v>
      </c>
      <c r="AA14" s="446">
        <f>X14*L14</f>
        <v>0</v>
      </c>
      <c r="AC14" s="568"/>
      <c r="AD14" s="569"/>
      <c r="AE14" s="569"/>
    </row>
    <row r="15" spans="2:31" ht="14.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886</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68"/>
      <c r="AD15" s="568"/>
    </row>
    <row r="16" spans="2:31" ht="14.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68"/>
      <c r="AD16" s="568"/>
    </row>
    <row r="17" spans="2:31" ht="14.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883</v>
      </c>
      <c r="T18" s="246" t="s">
        <v>935</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0">
        <f t="shared" si="31"/>
        <v>0</v>
      </c>
      <c r="AA18" s="446">
        <f>X18*L18</f>
        <v>0</v>
      </c>
      <c r="AC18" s="568"/>
      <c r="AD18" s="569"/>
      <c r="AE18" s="569"/>
    </row>
    <row r="19" spans="2:31" ht="14.5">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886</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5">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68"/>
      <c r="AD20" s="568"/>
    </row>
    <row r="21" spans="2:31" ht="14.5">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883</v>
      </c>
      <c r="T22" s="246" t="s">
        <v>935</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0">
        <f t="shared" si="41"/>
        <v>0</v>
      </c>
      <c r="AA22" s="446">
        <f>X22*L22</f>
        <v>0</v>
      </c>
      <c r="AC22" s="568"/>
      <c r="AD22" s="569"/>
      <c r="AE22" s="569"/>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8" t="s">
        <v>294</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937</v>
      </c>
      <c r="W27" s="439" t="s">
        <v>237</v>
      </c>
      <c r="X27" s="440" t="s">
        <v>238</v>
      </c>
      <c r="Y27" s="438" t="s">
        <v>937</v>
      </c>
      <c r="Z27" s="439" t="s">
        <v>237</v>
      </c>
      <c r="AA27" s="440" t="s">
        <v>238</v>
      </c>
    </row>
    <row r="28" spans="2:31" ht="26">
      <c r="B28" s="238" t="s">
        <v>2</v>
      </c>
      <c r="C28" s="238" t="s">
        <v>26</v>
      </c>
      <c r="D28" s="238" t="s">
        <v>14</v>
      </c>
      <c r="E28" s="238" t="s">
        <v>15</v>
      </c>
      <c r="F28" s="422" t="s">
        <v>108</v>
      </c>
      <c r="G28" s="239" t="s">
        <v>938</v>
      </c>
      <c r="H28" s="239" t="s">
        <v>749</v>
      </c>
      <c r="I28" s="239" t="s">
        <v>750</v>
      </c>
      <c r="J28" s="240" t="s">
        <v>939</v>
      </c>
      <c r="K28" s="240" t="s">
        <v>751</v>
      </c>
      <c r="L28" s="240" t="s">
        <v>752</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5" thickBot="1">
      <c r="B29" s="242" t="s">
        <v>27</v>
      </c>
      <c r="C29" s="242"/>
      <c r="D29" s="242"/>
      <c r="E29" s="242"/>
      <c r="F29" s="243"/>
      <c r="G29" s="243" t="s">
        <v>65</v>
      </c>
      <c r="H29" s="243" t="s">
        <v>65</v>
      </c>
      <c r="I29" s="243" t="s">
        <v>65</v>
      </c>
      <c r="J29" s="243" t="s">
        <v>75</v>
      </c>
      <c r="K29" s="243" t="s">
        <v>75</v>
      </c>
      <c r="L29" s="243" t="s">
        <v>75</v>
      </c>
      <c r="M29" s="242"/>
      <c r="N29" s="242" t="s">
        <v>783</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29.200000000000003</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920</v>
      </c>
      <c r="T31" s="254" t="s">
        <v>757</v>
      </c>
      <c r="U31" s="246">
        <v>2010</v>
      </c>
      <c r="V31" s="434" cm="1">
        <f t="array" ref="V31">_xlfn.IFNA(INDEX('Data manipulation'!$C$23:$N$128,MATCH($S31&amp;$R31,'Data manipulation'!$B$23:$B$128&amp;'Data manipulation'!$A$23:$A$128,0),MATCH($U31,'Data manipulation'!$C$22:$N$22,0))/1000,0)*SUMIFS('Regional split'!$F$4:$F$6,'Regional split'!$B$4:$B$6,V$4)</f>
        <v>4.8132890000000002</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0.72199334999999998</v>
      </c>
      <c r="Z31" s="251">
        <f t="shared" si="46"/>
        <v>0</v>
      </c>
      <c r="AA31" s="446">
        <f t="shared" si="47"/>
        <v>0</v>
      </c>
    </row>
    <row r="32" spans="2:31" ht="14.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4.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27.360000000000003</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920</v>
      </c>
      <c r="T33" s="254" t="s">
        <v>757</v>
      </c>
      <c r="U33" s="246">
        <v>2015</v>
      </c>
      <c r="V33" s="434" cm="1">
        <f t="array" ref="V33">_xlfn.IFNA(INDEX('Data manipulation'!$C$23:$N$128,MATCH($S33&amp;$R33,'Data manipulation'!$B$23:$B$128&amp;'Data manipulation'!$A$23:$A$128,0),MATCH($U33,'Data manipulation'!$C$22:$N$22,0))/1000,0)*SUMIFS('Regional split'!$F$4:$F$6,'Regional split'!$B$4:$B$6,V$4)</f>
        <v>4.5114020000000004</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0.67671029999999999</v>
      </c>
      <c r="Z33" s="251">
        <f t="shared" si="52"/>
        <v>0</v>
      </c>
      <c r="AA33" s="446">
        <f t="shared" si="53"/>
        <v>0</v>
      </c>
    </row>
    <row r="34" spans="2:27" ht="14.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4.5">
      <c r="B35" s="233" t="str">
        <f t="shared" si="48"/>
        <v>RATGSLE1</v>
      </c>
      <c r="C35" s="233" t="str">
        <f t="shared" si="48"/>
        <v>Residential Appliances Technology   - Gasoline - Existing 1</v>
      </c>
      <c r="D35" s="233" t="str">
        <f t="shared" si="48"/>
        <v>RESGSL</v>
      </c>
      <c r="E35" s="233" t="str">
        <f t="shared" si="48"/>
        <v>RADEM</v>
      </c>
      <c r="F35" s="259">
        <v>2018</v>
      </c>
      <c r="G35" s="250">
        <f t="shared" si="43"/>
        <v>29.62</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920</v>
      </c>
      <c r="T35" s="254" t="s">
        <v>757</v>
      </c>
      <c r="U35" s="246">
        <v>2018</v>
      </c>
      <c r="V35" s="434" cm="1">
        <f t="array" ref="V35">_xlfn.IFNA(INDEX('Data manipulation'!$C$23:$N$128,MATCH($S35&amp;$R35,'Data manipulation'!$B$23:$B$128&amp;'Data manipulation'!$A$23:$A$128,0),MATCH($U35,'Data manipulation'!$C$22:$N$22,0))/1000,0)*SUMIFS('Regional split'!$F$4:$F$6,'Regional split'!$B$4:$B$6,V$4)</f>
        <v>4.882657</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0.73239854999999998</v>
      </c>
      <c r="Z35" s="251">
        <f t="shared" si="46"/>
        <v>0</v>
      </c>
      <c r="AA35" s="446">
        <f t="shared" si="47"/>
        <v>0</v>
      </c>
    </row>
    <row r="36" spans="2:27" ht="14.5">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4.5">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920</v>
      </c>
      <c r="T37" s="254" t="s">
        <v>757</v>
      </c>
      <c r="U37" s="246">
        <v>2018</v>
      </c>
      <c r="V37" s="434" cm="1">
        <f t="array" ref="V37">_xlfn.IFNA(INDEX('Data manipulation'!$C$23:$N$128,MATCH($S37&amp;$R37,'Data manipulation'!$B$23:$B$128&amp;'Data manipulation'!$A$23:$A$128,0),MATCH($U37,'Data manipulation'!$C$22:$N$22,0))/1000,0)*SUMIFS('Regional split'!$F$4:$F$6,'Regional split'!$B$4:$B$6,V$4)</f>
        <v>4.882657</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0.73239854999999998</v>
      </c>
      <c r="Z37" s="251">
        <f t="shared" si="59"/>
        <v>0</v>
      </c>
      <c r="AA37" s="446">
        <f t="shared" si="60"/>
        <v>0</v>
      </c>
    </row>
    <row r="38" spans="2:27" ht="13">
      <c r="B38" s="227"/>
      <c r="C38" s="227"/>
    </row>
    <row r="39" spans="2:27" ht="13">
      <c r="B39" s="227"/>
      <c r="C39" s="227"/>
    </row>
    <row r="40" spans="2:27" ht="21.5" thickBot="1">
      <c r="B40" s="508" t="s">
        <v>768</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937</v>
      </c>
      <c r="W42" s="439" t="s">
        <v>237</v>
      </c>
      <c r="X42" s="440" t="s">
        <v>238</v>
      </c>
      <c r="Y42" s="438" t="s">
        <v>937</v>
      </c>
      <c r="Z42" s="439" t="s">
        <v>237</v>
      </c>
      <c r="AA42" s="440" t="s">
        <v>238</v>
      </c>
    </row>
    <row r="43" spans="2:27" ht="26">
      <c r="B43" s="238" t="s">
        <v>2</v>
      </c>
      <c r="C43" s="238" t="s">
        <v>26</v>
      </c>
      <c r="D43" s="238" t="s">
        <v>14</v>
      </c>
      <c r="E43" s="238" t="s">
        <v>15</v>
      </c>
      <c r="F43" s="422" t="s">
        <v>108</v>
      </c>
      <c r="G43" s="239" t="s">
        <v>938</v>
      </c>
      <c r="H43" s="239" t="s">
        <v>749</v>
      </c>
      <c r="I43" s="239" t="s">
        <v>750</v>
      </c>
      <c r="J43" s="240" t="s">
        <v>939</v>
      </c>
      <c r="K43" s="240" t="s">
        <v>751</v>
      </c>
      <c r="L43" s="240" t="s">
        <v>752</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5" thickBot="1">
      <c r="B44" s="242" t="s">
        <v>27</v>
      </c>
      <c r="C44" s="242"/>
      <c r="D44" s="242"/>
      <c r="E44" s="242"/>
      <c r="F44" s="243"/>
      <c r="G44" s="243" t="s">
        <v>65</v>
      </c>
      <c r="H44" s="243" t="s">
        <v>65</v>
      </c>
      <c r="I44" s="243" t="s">
        <v>65</v>
      </c>
      <c r="J44" s="243" t="s">
        <v>75</v>
      </c>
      <c r="K44" s="243" t="s">
        <v>75</v>
      </c>
      <c r="L44" s="243" t="s">
        <v>75</v>
      </c>
      <c r="M44" s="242"/>
      <c r="N44" s="242" t="s">
        <v>783</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886</v>
      </c>
      <c r="T45" s="246" t="s">
        <v>798</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3.6491352500000001</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3684.6000000000004</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
        <v>921</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113.91904872000002</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2933.9500000000003</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920</v>
      </c>
      <c r="T47" s="246" t="s">
        <v>930</v>
      </c>
      <c r="U47" s="246">
        <v>2010</v>
      </c>
      <c r="V47" s="434" cm="1">
        <f t="array" ref="V47">_xlfn.IFNA(INDEX('Data manipulation'!$C$23:$N$128,MATCH($S47&amp;$R47,'Data manipulation'!$B$23:$B$128&amp;'Data manipulation'!$A$23:$A$128,0),MATCH($U47,'Data manipulation'!$C$22:$N$22,0))/1000,0)*SUMIFS('Regional split'!$F$4:$F$6,'Regional split'!$B$4:$B$6,V$4)</f>
        <v>127.76136300000002</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90.710567730000008</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882</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881</v>
      </c>
      <c r="T49" s="246" t="s">
        <v>931</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880</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934</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4.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125.03</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0.8</v>
      </c>
      <c r="O53" s="245">
        <v>30</v>
      </c>
      <c r="P53" s="227"/>
      <c r="Q53" s="227"/>
      <c r="R53" s="268" t="str">
        <f>R45</f>
        <v>Hot Water</v>
      </c>
      <c r="S53" s="603" t="s">
        <v>886</v>
      </c>
      <c r="T53" s="246" t="s">
        <v>798</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3.0924399999999999</v>
      </c>
      <c r="Z53" s="251">
        <f t="shared" si="67"/>
        <v>0</v>
      </c>
      <c r="AA53" s="446">
        <f t="shared" si="68"/>
        <v>0</v>
      </c>
    </row>
    <row r="54" spans="2:27" ht="14.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4490.9400000000005</v>
      </c>
      <c r="H54" s="250">
        <f t="shared" si="103"/>
        <v>0</v>
      </c>
      <c r="I54" s="250">
        <f t="shared" si="104"/>
        <v>0</v>
      </c>
      <c r="J54" s="462">
        <f t="shared" si="105"/>
        <v>0.72</v>
      </c>
      <c r="K54" s="462">
        <f t="shared" si="105"/>
        <v>0.72</v>
      </c>
      <c r="L54" s="462">
        <f t="shared" si="105"/>
        <v>0.72</v>
      </c>
      <c r="M54" s="244">
        <f t="shared" si="65"/>
        <v>3.1536000000000002E-2</v>
      </c>
      <c r="N54" s="460">
        <v>0.8</v>
      </c>
      <c r="O54" s="245">
        <v>30</v>
      </c>
      <c r="P54" s="227"/>
      <c r="Q54" s="227"/>
      <c r="R54" s="268" t="str">
        <f>R46</f>
        <v>Hot Water</v>
      </c>
      <c r="S54" s="604" t="s">
        <v>921</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111.07927583999999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2817.09</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920</v>
      </c>
      <c r="T55" s="246" t="s">
        <v>930</v>
      </c>
      <c r="U55" s="246">
        <v>2015</v>
      </c>
      <c r="V55" s="434" cm="1">
        <f t="array" ref="V55">_xlfn.IFNA(INDEX('Data manipulation'!$C$23:$N$128,MATCH($S55&amp;$R55,'Data manipulation'!$B$23:$B$128&amp;'Data manipulation'!$A$23:$A$128,0),MATCH($U55,'Data manipulation'!$C$22:$N$22,0))/1000,0)*SUMIFS('Regional split'!$F$4:$F$6,'Regional split'!$B$4:$B$6,V$4)</f>
        <v>122.67285800000001</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87.097729180000002</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882</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881</v>
      </c>
      <c r="T57" s="246" t="s">
        <v>931</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880</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934</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4.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166.94</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886</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5.1612777999999997</v>
      </c>
      <c r="Z61" s="251">
        <f t="shared" si="67"/>
        <v>0</v>
      </c>
      <c r="AA61" s="446">
        <f t="shared" si="68"/>
        <v>0</v>
      </c>
    </row>
    <row r="62" spans="2:27" ht="14.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4534.09</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
        <v>921</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140.1833484</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2798.94</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920</v>
      </c>
      <c r="T63" s="246" t="s">
        <v>930</v>
      </c>
      <c r="U63" s="246">
        <v>2018</v>
      </c>
      <c r="V63" s="434" cm="1">
        <f t="array" ref="V63">_xlfn.IFNA(INDEX('Data manipulation'!$C$23:$N$128,MATCH($S63&amp;$R63,'Data manipulation'!$B$23:$B$128&amp;'Data manipulation'!$A$23:$A$128,0),MATCH($U63,'Data manipulation'!$C$22:$N$22,0))/1000,0)*SUMIFS('Regional split'!$F$4:$F$6,'Regional split'!$B$4:$B$6,V$4)</f>
        <v>121.88255700000001</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86.536615470000001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882</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881</v>
      </c>
      <c r="T65" s="246" t="s">
        <v>931</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880</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934</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4.5">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886</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5.1612777999999997</v>
      </c>
      <c r="Z69" s="251">
        <f t="shared" ref="Z69:Z76" si="128">W69*K69</f>
        <v>0</v>
      </c>
      <c r="AA69" s="446">
        <f t="shared" ref="AA69:AA76" si="129">X69*L69</f>
        <v>0</v>
      </c>
    </row>
    <row r="70" spans="2:27" ht="14.5">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
        <v>921</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140.1833484</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920</v>
      </c>
      <c r="T71" s="246" t="s">
        <v>930</v>
      </c>
      <c r="U71" s="246">
        <v>2018</v>
      </c>
      <c r="V71" s="434" cm="1">
        <f t="array" ref="V71">_xlfn.IFNA(INDEX('Data manipulation'!$C$23:$N$128,MATCH($S71&amp;$R71,'Data manipulation'!$B$23:$B$128&amp;'Data manipulation'!$A$23:$A$128,0),MATCH($U71,'Data manipulation'!$C$22:$N$22,0))/1000,0)*SUMIFS('Regional split'!$F$4:$F$6,'Regional split'!$B$4:$B$6,V$4)</f>
        <v>121.88255700000001</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86.536615470000001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882</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881</v>
      </c>
      <c r="T73" s="246" t="s">
        <v>931</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880</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934</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25" zoomScaleNormal="100" workbookViewId="0">
      <selection activeCell="E29" sqref="E29"/>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DE1</v>
      </c>
      <c r="G1" t="str">
        <f t="shared" si="0"/>
        <v>AZ2</v>
      </c>
      <c r="H1" t="str">
        <f t="shared" si="0"/>
        <v>AZ3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950</v>
      </c>
      <c r="G4" s="197" t="s">
        <v>741</v>
      </c>
      <c r="H4" s="197" t="s">
        <v>742</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312.10246940000002</v>
      </c>
      <c r="G29" s="9">
        <f t="shared" ref="G29:H30" si="29">G65</f>
        <v>0</v>
      </c>
      <c r="H29" s="9">
        <f t="shared" si="29"/>
        <v>0</v>
      </c>
    </row>
    <row r="30" spans="2:8">
      <c r="B30" s="3" t="str">
        <f>Commodities!$C$15</f>
        <v>RWDEM</v>
      </c>
      <c r="C30" s="499" t="s">
        <v>198</v>
      </c>
      <c r="D30" s="505" t="s">
        <v>44</v>
      </c>
      <c r="E30" s="500">
        <v>2015</v>
      </c>
      <c r="F30" s="9">
        <f>F66</f>
        <v>318.58341232000004</v>
      </c>
      <c r="G30" s="9">
        <f t="shared" si="29"/>
        <v>0</v>
      </c>
      <c r="H30" s="9">
        <f t="shared" si="29"/>
        <v>0</v>
      </c>
    </row>
    <row r="31" spans="2:8">
      <c r="B31" s="3" t="str">
        <f>B29</f>
        <v>RWDEM</v>
      </c>
      <c r="C31" s="499" t="s">
        <v>198</v>
      </c>
      <c r="D31" s="505" t="s">
        <v>44</v>
      </c>
      <c r="E31" s="500">
        <v>2018</v>
      </c>
      <c r="F31" s="9">
        <f t="shared" ref="F31:H31" si="30">F67</f>
        <v>355.92124027</v>
      </c>
      <c r="G31" s="9">
        <f t="shared" si="30"/>
        <v>0</v>
      </c>
      <c r="H31" s="9">
        <f t="shared" si="30"/>
        <v>0</v>
      </c>
    </row>
    <row r="32" spans="2:8">
      <c r="B32" s="3" t="str">
        <f>Commodities!$C$16</f>
        <v>RADEM</v>
      </c>
      <c r="C32" s="501" t="s">
        <v>199</v>
      </c>
      <c r="D32" s="506" t="s">
        <v>44</v>
      </c>
      <c r="E32" s="502">
        <v>2010</v>
      </c>
      <c r="F32" s="9">
        <f t="shared" ref="F32:H33" si="31">F68</f>
        <v>254.37212134999999</v>
      </c>
      <c r="G32" s="9">
        <f t="shared" si="31"/>
        <v>0</v>
      </c>
      <c r="H32" s="9">
        <f t="shared" si="31"/>
        <v>0</v>
      </c>
    </row>
    <row r="33" spans="2:28">
      <c r="B33" s="3" t="str">
        <f>Commodities!$C$16</f>
        <v>RADEM</v>
      </c>
      <c r="C33" s="501" t="s">
        <v>199</v>
      </c>
      <c r="D33" s="506" t="s">
        <v>44</v>
      </c>
      <c r="E33" s="502">
        <v>2015</v>
      </c>
      <c r="F33" s="9">
        <f t="shared" si="31"/>
        <v>239.18729029999997</v>
      </c>
      <c r="G33" s="9">
        <f t="shared" si="31"/>
        <v>0</v>
      </c>
      <c r="H33" s="9">
        <f t="shared" si="31"/>
        <v>0</v>
      </c>
    </row>
    <row r="34" spans="2:28">
      <c r="B34" s="3" t="str">
        <f>B32</f>
        <v>RADEM</v>
      </c>
      <c r="C34" s="501" t="s">
        <v>199</v>
      </c>
      <c r="D34" s="506" t="s">
        <v>44</v>
      </c>
      <c r="E34" s="502">
        <v>2018</v>
      </c>
      <c r="F34" s="9">
        <f t="shared" ref="F34:H34" si="32">F70</f>
        <v>235.55123955000002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790</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312.10246940000002</v>
      </c>
      <c r="G65" s="23">
        <f>SUM('Appliances&amp;Cooking'!Z45:Z46)</f>
        <v>0</v>
      </c>
      <c r="H65" s="23">
        <f>SUM('Appliances&amp;Cooking'!AA45:AA46)</f>
        <v>0</v>
      </c>
    </row>
    <row r="66" spans="4:8">
      <c r="F66" s="23">
        <f>SUM('Appliances&amp;Cooking'!Y53:Y60)</f>
        <v>318.58341232000004</v>
      </c>
      <c r="G66" s="23">
        <f>SUM('Appliances&amp;Cooking'!Z53:Z54)</f>
        <v>0</v>
      </c>
      <c r="H66" s="23">
        <f>SUM('Appliances&amp;Cooking'!AA53:AA54)</f>
        <v>0</v>
      </c>
    </row>
    <row r="67" spans="4:8">
      <c r="F67" s="23">
        <f>SUM('Appliances&amp;Cooking'!Y61:Y68)</f>
        <v>355.92124027</v>
      </c>
      <c r="G67" s="23">
        <f>SUM('Appliances&amp;Cooking'!Z61:Z62)</f>
        <v>0</v>
      </c>
      <c r="H67" s="23">
        <f>SUM('Appliances&amp;Cooking'!AA61:AA62)</f>
        <v>0</v>
      </c>
    </row>
    <row r="68" spans="4:8">
      <c r="F68" s="23">
        <f>SUM('Appliances&amp;Cooking'!Y30:Y31)</f>
        <v>254.37212134999999</v>
      </c>
      <c r="G68" s="23">
        <f>SUM('Appliances&amp;Cooking'!Z30:Z31)</f>
        <v>0</v>
      </c>
      <c r="H68" s="23">
        <f>SUM('Appliances&amp;Cooking'!AA30:AA31)</f>
        <v>0</v>
      </c>
    </row>
    <row r="69" spans="4:8">
      <c r="F69" s="23">
        <f>SUM('Appliances&amp;Cooking'!Y32:Y33)</f>
        <v>239.18729029999997</v>
      </c>
      <c r="G69" s="23">
        <f>SUM('Appliances&amp;Cooking'!Z32:Z33)</f>
        <v>0</v>
      </c>
      <c r="H69" s="23">
        <f>SUM('Appliances&amp;Cooking'!AA32:AA33)</f>
        <v>0</v>
      </c>
    </row>
    <row r="70" spans="4:8">
      <c r="F70" s="23">
        <f>SUM('Appliances&amp;Cooking'!Y34:Y35)</f>
        <v>235.55123955000002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G12" sqref="G12"/>
    </sheetView>
  </sheetViews>
  <sheetFormatPr defaultRowHeight="12.5"/>
  <cols>
    <col min="2" max="2" width="30.6328125" bestFit="1" customWidth="1"/>
    <col min="3" max="3" width="7.6328125" bestFit="1" customWidth="1"/>
    <col min="4" max="4" width="6.5429687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O134"/>
  <sheetViews>
    <sheetView tabSelected="1" topLeftCell="M3" zoomScale="60" zoomScaleNormal="60" workbookViewId="0">
      <selection activeCell="AL11" sqref="AL11"/>
    </sheetView>
  </sheetViews>
  <sheetFormatPr defaultRowHeight="12.5"/>
  <cols>
    <col min="2" max="2" width="30.453125" bestFit="1" customWidth="1"/>
    <col min="3" max="3" width="9.1796875" bestFit="1" customWidth="1"/>
    <col min="5" max="5" width="9.08984375" bestFit="1" customWidth="1"/>
    <col min="6" max="6" width="11.90625" bestFit="1" customWidth="1"/>
    <col min="7" max="7" width="10" customWidth="1"/>
    <col min="8" max="8" width="8.81640625" bestFit="1" customWidth="1"/>
    <col min="9" max="9" width="8.90625" bestFit="1" customWidth="1"/>
    <col min="10" max="14" width="8.81640625" bestFit="1" customWidth="1"/>
    <col min="15" max="15" width="13.54296875" customWidth="1"/>
    <col min="16" max="16" width="9.1796875" bestFit="1"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15" customWidth="1"/>
    <col min="30" max="30" width="20.90625" bestFit="1" customWidth="1"/>
    <col min="31" max="32" width="7" bestFit="1" customWidth="1"/>
    <col min="33" max="33" width="5.54296875" bestFit="1" customWidth="1"/>
  </cols>
  <sheetData>
    <row r="2" spans="2:41" ht="15">
      <c r="B2" s="360" t="s">
        <v>298</v>
      </c>
      <c r="C2" s="300"/>
      <c r="D2" s="300"/>
      <c r="E2" s="300"/>
      <c r="F2" s="300"/>
      <c r="G2" s="300"/>
      <c r="H2" s="300"/>
      <c r="I2" s="300"/>
      <c r="J2" s="300"/>
      <c r="K2" s="300"/>
      <c r="V2" s="360" t="s">
        <v>299</v>
      </c>
    </row>
    <row r="3" spans="2:41" ht="14">
      <c r="B3" s="300"/>
      <c r="C3" s="300"/>
      <c r="D3" s="300"/>
      <c r="E3" s="300"/>
      <c r="F3" s="300"/>
      <c r="G3" s="300"/>
      <c r="H3" s="300"/>
      <c r="I3" s="300"/>
    </row>
    <row r="4" spans="2:41" ht="14">
      <c r="B4" s="300"/>
      <c r="C4" s="300" t="s">
        <v>106</v>
      </c>
      <c r="D4" s="300" t="s">
        <v>292</v>
      </c>
      <c r="E4" s="300" t="s">
        <v>286</v>
      </c>
      <c r="F4" s="300" t="s">
        <v>293</v>
      </c>
      <c r="G4" s="300" t="s">
        <v>294</v>
      </c>
      <c r="H4" s="300" t="s">
        <v>295</v>
      </c>
      <c r="V4" s="132" t="s">
        <v>959</v>
      </c>
    </row>
    <row r="5" spans="2:41" ht="14">
      <c r="B5" s="300" t="s">
        <v>290</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291</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743</v>
      </c>
      <c r="W9" s="421"/>
      <c r="X9" s="421"/>
    </row>
    <row r="10" spans="2:41" ht="14">
      <c r="B10" s="300"/>
      <c r="C10" s="358"/>
      <c r="D10" s="359">
        <v>0</v>
      </c>
      <c r="E10" s="359">
        <v>0</v>
      </c>
      <c r="F10" s="359">
        <v>0</v>
      </c>
      <c r="G10" s="359">
        <f>1-H10-SUM(D10:F10)</f>
        <v>0.97350993377483441</v>
      </c>
      <c r="H10" s="359">
        <f>Sources!B95/SUM(Sources!B91:B92)</f>
        <v>2.6490066225165563E-2</v>
      </c>
      <c r="V10" s="207" t="s">
        <v>746</v>
      </c>
      <c r="W10" s="300" t="s">
        <v>736</v>
      </c>
      <c r="X10" s="300" t="s">
        <v>737</v>
      </c>
      <c r="AD10" s="106" t="s">
        <v>740</v>
      </c>
      <c r="AE10" s="106" t="s">
        <v>736</v>
      </c>
      <c r="AF10" s="106" t="s">
        <v>737</v>
      </c>
      <c r="AI10" s="106" t="s">
        <v>952</v>
      </c>
      <c r="AK10" s="106" t="s">
        <v>953</v>
      </c>
    </row>
    <row r="11" spans="2:41" ht="14">
      <c r="B11" s="300"/>
      <c r="C11" s="358"/>
      <c r="D11" s="359">
        <v>0.7</v>
      </c>
      <c r="E11" s="359">
        <f>0.3*Sources!B93/SUM(Sources!B93:B94)</f>
        <v>8.7559808612440199E-2</v>
      </c>
      <c r="F11" s="359">
        <f>0.3*Sources!B94/SUM(Sources!B93:B94)</f>
        <v>0.21244019138755979</v>
      </c>
      <c r="G11" s="359">
        <v>0</v>
      </c>
      <c r="H11" s="359">
        <v>0</v>
      </c>
      <c r="V11" t="s">
        <v>744</v>
      </c>
      <c r="W11" s="420">
        <f>AM16</f>
        <v>0.58780727940076094</v>
      </c>
      <c r="X11" s="420">
        <f>SUM(Sources!E65:E66)/100</f>
        <v>0.95100000000000007</v>
      </c>
      <c r="Y11" t="s">
        <v>955</v>
      </c>
      <c r="AC11" s="106" t="s">
        <v>937</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958</v>
      </c>
    </row>
    <row r="12" spans="2:41" ht="14">
      <c r="B12" s="300"/>
      <c r="C12" s="358"/>
      <c r="D12" s="359">
        <v>1</v>
      </c>
      <c r="E12" s="359">
        <v>0</v>
      </c>
      <c r="F12" s="359">
        <v>0</v>
      </c>
      <c r="G12" s="359">
        <v>0</v>
      </c>
      <c r="H12" s="359">
        <v>0</v>
      </c>
      <c r="V12" t="s">
        <v>745</v>
      </c>
      <c r="W12" s="420">
        <f>AN16</f>
        <v>0.41219272059923912</v>
      </c>
      <c r="X12" s="420">
        <f>SUM(Sources!E67:E69)/100</f>
        <v>4.8999999999999995E-2</v>
      </c>
      <c r="AC12" s="106" t="s">
        <v>237</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238</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747</v>
      </c>
      <c r="W14" t="s">
        <v>736</v>
      </c>
      <c r="X14" t="s">
        <v>737</v>
      </c>
      <c r="AM14" t="s">
        <v>744</v>
      </c>
      <c r="AN14" t="s">
        <v>745</v>
      </c>
    </row>
    <row r="15" spans="2:41" ht="14">
      <c r="B15" s="300" t="s">
        <v>296</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937</v>
      </c>
      <c r="W15" s="9">
        <v>0.68</v>
      </c>
      <c r="X15" s="9">
        <v>0.32</v>
      </c>
      <c r="Y15" s="697" t="s">
        <v>951</v>
      </c>
      <c r="AL15" t="s">
        <v>954</v>
      </c>
      <c r="AM15">
        <f>12867-12867*0.95*0.32</f>
        <v>8955.4320000000007</v>
      </c>
      <c r="AN15">
        <f>(3153+3229)-(3153+3229)*0.05*0.32</f>
        <v>6279.8879999999999</v>
      </c>
      <c r="AO15" t="s">
        <v>956</v>
      </c>
    </row>
    <row r="16" spans="2:41">
      <c r="V16" t="s">
        <v>237</v>
      </c>
      <c r="W16" s="9">
        <f>'Regional split'!C5*AE12/AD12</f>
        <v>0</v>
      </c>
      <c r="X16" s="9">
        <f>'Regional split'!C5*AF12/AD12</f>
        <v>0</v>
      </c>
      <c r="AL16" t="s">
        <v>954</v>
      </c>
      <c r="AM16">
        <f>AM15/(AM15+AN15)</f>
        <v>0.58780727940076094</v>
      </c>
      <c r="AN16">
        <f>AN15/(AN15+AM15)</f>
        <v>0.41219272059923912</v>
      </c>
      <c r="AO16" t="s">
        <v>957</v>
      </c>
    </row>
    <row r="17" spans="1:36">
      <c r="V17" t="s">
        <v>238</v>
      </c>
      <c r="W17" s="9">
        <f>'Regional split'!C6*AE13/AD13</f>
        <v>0</v>
      </c>
      <c r="X17" s="9">
        <f>'Regional split'!C6*AF13/AD13</f>
        <v>0</v>
      </c>
    </row>
    <row r="19" spans="1:36">
      <c r="F19" s="609"/>
      <c r="G19" s="609"/>
      <c r="H19" s="609"/>
      <c r="I19" s="609"/>
      <c r="J19" s="609"/>
      <c r="K19" s="609"/>
      <c r="L19" s="609"/>
      <c r="M19" s="609"/>
      <c r="N19" s="609"/>
      <c r="O19" s="609"/>
      <c r="V19" s="106" t="s">
        <v>748</v>
      </c>
      <c r="Y19" s="127"/>
      <c r="Z19" s="127"/>
    </row>
    <row r="20" spans="1:36" ht="14">
      <c r="F20" s="609"/>
      <c r="G20" s="609"/>
      <c r="H20" s="609"/>
      <c r="I20" s="609"/>
      <c r="J20" s="609"/>
      <c r="K20" s="609"/>
      <c r="L20" s="609"/>
      <c r="M20" s="609"/>
      <c r="N20" s="609"/>
      <c r="O20" s="609"/>
      <c r="X20" t="s">
        <v>937</v>
      </c>
      <c r="Y20" t="s">
        <v>237</v>
      </c>
      <c r="Z20" t="s">
        <v>238</v>
      </c>
      <c r="AH20" s="351"/>
      <c r="AI20" s="351"/>
    </row>
    <row r="21" spans="1:36" ht="16" thickBot="1">
      <c r="B21" s="357" t="s">
        <v>279</v>
      </c>
      <c r="V21" s="106" t="s">
        <v>736</v>
      </c>
      <c r="W21" s="106" t="s">
        <v>744</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964</v>
      </c>
      <c r="V22" s="127" t="s">
        <v>737</v>
      </c>
      <c r="W22" s="106" t="s">
        <v>744</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4">
      <c r="A23" s="106" t="s">
        <v>767</v>
      </c>
      <c r="B23" s="589" t="s">
        <v>887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O23/(O110+O88+O66+O44+O23)</f>
        <v>1</v>
      </c>
      <c r="S23" s="598"/>
      <c r="V23" s="106" t="s">
        <v>736</v>
      </c>
      <c r="W23" s="106" t="s">
        <v>745</v>
      </c>
      <c r="X23" s="476">
        <f t="shared" si="2"/>
        <v>0.28029105000748261</v>
      </c>
      <c r="Y23" s="476">
        <f t="shared" si="2"/>
        <v>0</v>
      </c>
      <c r="Z23" s="476">
        <f t="shared" si="2"/>
        <v>0</v>
      </c>
      <c r="AH23" s="351"/>
      <c r="AI23" s="351"/>
    </row>
    <row r="24" spans="1:36" ht="14">
      <c r="A24" s="106" t="s">
        <v>767</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737</v>
      </c>
      <c r="W24" s="106" t="s">
        <v>745</v>
      </c>
      <c r="X24" s="476">
        <f t="shared" si="2"/>
        <v>1.5679999999999999E-2</v>
      </c>
      <c r="Y24" s="476">
        <f t="shared" si="2"/>
        <v>0</v>
      </c>
      <c r="Z24" s="476">
        <f t="shared" si="2"/>
        <v>0</v>
      </c>
      <c r="AH24" s="351"/>
      <c r="AI24" s="351"/>
    </row>
    <row r="25" spans="1:36" ht="14">
      <c r="A25" s="106" t="s">
        <v>767</v>
      </c>
      <c r="B25" s="589" t="s">
        <v>886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4">
      <c r="A26" s="106" t="s">
        <v>767</v>
      </c>
      <c r="B26" s="589" t="s">
        <v>885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4">
      <c r="A27" s="106" t="s">
        <v>767</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761</v>
      </c>
    </row>
    <row r="28" spans="1:36" ht="14">
      <c r="A28" s="106" t="s">
        <v>767</v>
      </c>
      <c r="B28" s="589" t="s">
        <v>884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4">
      <c r="A29" s="106" t="s">
        <v>767</v>
      </c>
      <c r="B29" s="589" t="s">
        <v>882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O29/(O117+O94+O72+O50+O29)</f>
        <v>0.13100000000000001</v>
      </c>
      <c r="Q29" s="106"/>
      <c r="S29" s="600"/>
      <c r="U29" s="196"/>
      <c r="V29" s="169">
        <v>1.94169475643413</v>
      </c>
      <c r="W29" s="465" t="s">
        <v>759</v>
      </c>
    </row>
    <row r="30" spans="1:36" ht="14">
      <c r="A30" s="106" t="s">
        <v>767</v>
      </c>
      <c r="B30" s="589" t="s">
        <v>881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O30/(O118+O95+O73+O51+O30)</f>
        <v>0.91</v>
      </c>
      <c r="Q30" s="106"/>
      <c r="S30" s="600"/>
      <c r="V30" s="169">
        <v>2.3104234107113255</v>
      </c>
      <c r="W30" s="191" t="s">
        <v>760</v>
      </c>
    </row>
    <row r="31" spans="1:36" ht="14">
      <c r="A31" s="106" t="s">
        <v>767</v>
      </c>
      <c r="B31" s="589" t="s">
        <v>880</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O31/(O119+O95+O74+O52+O31)</f>
        <v>0.8685376668773046</v>
      </c>
      <c r="Q31" s="106"/>
      <c r="S31" s="599"/>
    </row>
    <row r="32" spans="1:36" ht="14">
      <c r="A32" s="106" t="s">
        <v>767</v>
      </c>
      <c r="B32" s="589" t="s">
        <v>879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O32/(O120+O97+O75+O53+O32)</f>
        <v>0.62423696901248338</v>
      </c>
      <c r="Q32" s="106"/>
      <c r="S32" s="599"/>
      <c r="V32" s="9">
        <f>SUM(Dem!F41:H44)</f>
        <v>3558.0000000000005</v>
      </c>
      <c r="W32" s="106" t="s">
        <v>763</v>
      </c>
    </row>
    <row r="33" spans="1:25" ht="14">
      <c r="A33" s="106" t="s">
        <v>767</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777</v>
      </c>
    </row>
    <row r="34" spans="1:25" ht="14">
      <c r="A34" s="106" t="s">
        <v>767</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779</v>
      </c>
    </row>
    <row r="35" spans="1:25" ht="14">
      <c r="A35" s="106" t="s">
        <v>767</v>
      </c>
      <c r="B35" s="604" t="s">
        <v>920</v>
      </c>
      <c r="C35" s="478">
        <f>IFERROR('Energy balance'!C18*'Data manipulation'!$Q109,0)</f>
        <v>0</v>
      </c>
      <c r="D35" s="478">
        <f>IFERROR('Energy balance'!D18*'Data manipulation'!$Q109,0)</f>
        <v>0</v>
      </c>
      <c r="E35" s="540">
        <f>IFERROR('Energy balance'!E18*'Data manipulation'!$Q109,0)</f>
        <v>0</v>
      </c>
      <c r="F35" s="610">
        <f>SUM(F26:F28)</f>
        <v>1026634.358</v>
      </c>
      <c r="G35" s="610">
        <f t="shared" ref="G35:O35" si="5">SUM(G26:G28)</f>
        <v>821764.946</v>
      </c>
      <c r="H35" s="610">
        <f t="shared" si="5"/>
        <v>881440.23600000003</v>
      </c>
      <c r="I35" s="610">
        <f t="shared" si="5"/>
        <v>1016915.5689999999</v>
      </c>
      <c r="J35" s="610">
        <f t="shared" si="5"/>
        <v>864773.40500000003</v>
      </c>
      <c r="K35" s="610">
        <f t="shared" si="5"/>
        <v>816481.52799999993</v>
      </c>
      <c r="L35" s="610">
        <f t="shared" si="5"/>
        <v>800330.02300000004</v>
      </c>
      <c r="M35" s="610">
        <f t="shared" si="5"/>
        <v>786261.69900000002</v>
      </c>
      <c r="N35" s="610">
        <f t="shared" si="5"/>
        <v>690798.29600000009</v>
      </c>
      <c r="O35" s="610">
        <f t="shared" si="5"/>
        <v>807251.87800000003</v>
      </c>
      <c r="P35">
        <f t="shared" si="4"/>
        <v>0.8456838680624601</v>
      </c>
      <c r="S35" s="599"/>
      <c r="V35" s="9">
        <f>SUM(Dem!F43:H43)</f>
        <v>997.27555592662316</v>
      </c>
      <c r="W35" s="106" t="s">
        <v>778</v>
      </c>
    </row>
    <row r="36" spans="1:25" ht="14">
      <c r="A36" s="106" t="s">
        <v>767</v>
      </c>
      <c r="B36" s="604" t="s">
        <v>921</v>
      </c>
      <c r="C36" s="478">
        <f>IFERROR('Energy balance'!C19*'Data manipulation'!$Q110,0)</f>
        <v>0</v>
      </c>
      <c r="D36" s="478">
        <f>IFERROR('Energy balance'!D19*'Data manipulation'!$Q110,0)</f>
        <v>0</v>
      </c>
      <c r="E36" s="478">
        <f>IFERROR('Energy balance'!E19*'Data manipulation'!$Q110,0)</f>
        <v>0</v>
      </c>
      <c r="F36" s="611">
        <f t="shared" ref="F36:O36" si="6">F24+F32</f>
        <v>846059.38599999994</v>
      </c>
      <c r="G36" s="611">
        <f t="shared" si="6"/>
        <v>655605.15</v>
      </c>
      <c r="H36" s="611">
        <f t="shared" si="6"/>
        <v>732671.27099999995</v>
      </c>
      <c r="I36" s="611">
        <f t="shared" si="6"/>
        <v>777567.10800000001</v>
      </c>
      <c r="J36" s="611">
        <f t="shared" si="6"/>
        <v>618708.88799999992</v>
      </c>
      <c r="K36" s="611">
        <f t="shared" si="6"/>
        <v>680288.674</v>
      </c>
      <c r="L36" s="611">
        <f t="shared" si="6"/>
        <v>762797.76199999999</v>
      </c>
      <c r="M36" s="611">
        <f t="shared" si="6"/>
        <v>732133.78600000008</v>
      </c>
      <c r="N36" s="611">
        <f t="shared" si="6"/>
        <v>745452.446</v>
      </c>
      <c r="O36" s="611">
        <f t="shared" si="6"/>
        <v>743958.26599999995</v>
      </c>
      <c r="P36">
        <f t="shared" si="4"/>
        <v>0.78777426594522793</v>
      </c>
      <c r="S36" s="599"/>
      <c r="V36" s="9">
        <f>SUM(Dem!F44:H44)</f>
        <v>55.789439999999999</v>
      </c>
      <c r="W36" s="106" t="s">
        <v>780</v>
      </c>
    </row>
    <row r="37" spans="1:25" ht="14">
      <c r="A37" s="106" t="s">
        <v>767</v>
      </c>
      <c r="B37" s="589" t="s">
        <v>883</v>
      </c>
      <c r="C37" s="479">
        <f>IFERROR('Energy balance'!C11*'Data manipulation'!$Q37,0)</f>
        <v>0</v>
      </c>
      <c r="D37" s="479">
        <f>IFERROR('Energy balance'!D11*'Data manipulation'!$Q37,0)</f>
        <v>0</v>
      </c>
      <c r="E37" s="479">
        <f>IFERROR('Energy balance'!E11*'Data manipulation'!$Q37,0)</f>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106"/>
      <c r="S37" s="599"/>
      <c r="V37" s="106" t="s">
        <v>762</v>
      </c>
    </row>
    <row r="38" spans="1:25" ht="14">
      <c r="A38" s="106" t="s">
        <v>767</v>
      </c>
      <c r="B38" s="314"/>
      <c r="C38" s="478">
        <f>IFERROR('Energy balance'!C21*'Data manipulation'!$Q112,0)</f>
        <v>0</v>
      </c>
      <c r="D38" s="478">
        <f>IFERROR('Energy balance'!D21*'Data manipulation'!$Q112,0)</f>
        <v>0</v>
      </c>
      <c r="E38" s="479">
        <f>IFERROR('Energy balance'!E21*'Data manipulation'!$Q112,0)</f>
        <v>0</v>
      </c>
      <c r="F38" s="479">
        <f>IFERROR('Energy balance'!F21*'Data manipulation'!$Q112,0)</f>
        <v>0</v>
      </c>
      <c r="G38" s="479">
        <f>IFERROR('Energy balance'!G21*'Data manipulation'!$Q112,0)</f>
        <v>0</v>
      </c>
      <c r="H38" s="479">
        <f>IFERROR('Energy balance'!H21*'Data manipulation'!$Q112,0)</f>
        <v>0</v>
      </c>
      <c r="I38" s="480">
        <f>IFERROR('Energy balance'!I21*'Data manipulation'!$Q112,0)</f>
        <v>0</v>
      </c>
      <c r="J38" s="480">
        <f>IFERROR('Energy balance'!J21*'Data manipulation'!$Q112,0)</f>
        <v>0</v>
      </c>
      <c r="K38" s="480">
        <f>IFERROR('Energy balance'!K21*'Data manipulation'!$Q112,0)</f>
        <v>0</v>
      </c>
      <c r="L38" s="480">
        <f>IFERROR('Energy balance'!L21*'Data manipulation'!$Q112,0)</f>
        <v>0</v>
      </c>
      <c r="M38" s="481">
        <f>IFERROR('Energy balance'!M21*'Data manipulation'!$Q112,0)</f>
        <v>0</v>
      </c>
      <c r="N38" s="482">
        <f>IFERROR('Energy balance'!N21*'Data manipulation'!$Q112,0)</f>
        <v>0</v>
      </c>
      <c r="O38" s="482">
        <f>IFERROR('Energy balance'!O21*'Data manipulation'!$Q112,0)</f>
        <v>0</v>
      </c>
      <c r="S38" s="599"/>
      <c r="V38" s="9">
        <f>($V$33/V29+$V$34/$V$29+$V$35/V30+$V$36/$V$30)</f>
        <v>1745.8653667007479</v>
      </c>
      <c r="W38" s="106" t="s">
        <v>764</v>
      </c>
    </row>
    <row r="39" spans="1:25" ht="14.5" thickBot="1">
      <c r="A39" s="106" t="s">
        <v>767</v>
      </c>
      <c r="B39" s="326"/>
      <c r="C39" s="486">
        <f>IFERROR('Energy balance'!C22*'Data manipulation'!$Q113,0)</f>
        <v>0</v>
      </c>
      <c r="D39" s="486">
        <f>IFERROR('Energy balance'!D22*'Data manipulation'!$Q113,0)</f>
        <v>0</v>
      </c>
      <c r="E39" s="486">
        <f>IFERROR('Energy balance'!E22*'Data manipulation'!$Q113,0)</f>
        <v>0</v>
      </c>
      <c r="F39" s="486">
        <f>IFERROR('Energy balance'!F22*'Data manipulation'!$Q113,0)</f>
        <v>0</v>
      </c>
      <c r="G39" s="486">
        <v>0</v>
      </c>
      <c r="H39" s="486">
        <f>IFERROR('Energy balance'!H22*'Data manipulation'!$Q113,0)</f>
        <v>0</v>
      </c>
      <c r="I39" s="486">
        <f>IFERROR('Energy balance'!I22*'Data manipulation'!$Q113,0)</f>
        <v>0</v>
      </c>
      <c r="J39" s="486">
        <f>IFERROR('Energy balance'!J22*'Data manipulation'!$Q113,0)</f>
        <v>0</v>
      </c>
      <c r="K39" s="486">
        <f>IFERROR('Energy balance'!K22*'Data manipulation'!$Q113,0)</f>
        <v>0</v>
      </c>
      <c r="L39" s="486">
        <f>IFERROR('Energy balance'!L22*'Data manipulation'!$Q113,0)</f>
        <v>0</v>
      </c>
      <c r="M39" s="487">
        <f>IFERROR('Energy balance'!M22*'Data manipulation'!$Q113,0)</f>
        <v>0</v>
      </c>
      <c r="N39" s="488">
        <f>IFERROR('Energy balance'!N22*'Data manipulation'!$Q113,0)</f>
        <v>0</v>
      </c>
      <c r="O39" s="488">
        <f>IFERROR('Energy balance'!O22*'Data manipulation'!$Q113,0)</f>
        <v>0</v>
      </c>
      <c r="S39" s="601"/>
      <c r="V39" s="475">
        <f>ROUND((V33/V29)/V38,3)</f>
        <v>0.42</v>
      </c>
      <c r="W39" s="106" t="s">
        <v>787</v>
      </c>
      <c r="X39" s="106" t="s">
        <v>116</v>
      </c>
      <c r="Y39" s="106" t="s">
        <v>736</v>
      </c>
    </row>
    <row r="40" spans="1:25" ht="14">
      <c r="A40" s="106" t="s">
        <v>767</v>
      </c>
      <c r="B40" s="363" t="s">
        <v>106</v>
      </c>
      <c r="C40" s="364">
        <f t="shared" ref="C40:O40" si="7">SUM(C23:C39)</f>
        <v>0</v>
      </c>
      <c r="D40" s="364">
        <f t="shared" si="7"/>
        <v>0</v>
      </c>
      <c r="E40" s="364">
        <f t="shared" si="7"/>
        <v>0</v>
      </c>
      <c r="F40" s="609">
        <f t="shared" si="7"/>
        <v>4617767.358</v>
      </c>
      <c r="G40" s="609">
        <f t="shared" si="7"/>
        <v>3699605.943</v>
      </c>
      <c r="H40" s="609">
        <f t="shared" si="7"/>
        <v>4052111.7630000003</v>
      </c>
      <c r="I40" s="609">
        <f t="shared" si="7"/>
        <v>4484352.2429999998</v>
      </c>
      <c r="J40" s="609">
        <f t="shared" si="7"/>
        <v>3677913.5970000001</v>
      </c>
      <c r="K40" s="609">
        <f t="shared" si="7"/>
        <v>3725689.3739999994</v>
      </c>
      <c r="L40" s="609">
        <f t="shared" si="7"/>
        <v>3855377.0120000001</v>
      </c>
      <c r="M40" s="609">
        <f t="shared" si="7"/>
        <v>3771600.4210000006</v>
      </c>
      <c r="N40" s="609">
        <f t="shared" si="7"/>
        <v>3609500.41</v>
      </c>
      <c r="O40" s="609">
        <f t="shared" si="7"/>
        <v>3852202.6539999996</v>
      </c>
      <c r="V40" s="475">
        <f>ROUND((V34/V29)/V38,3)</f>
        <v>0.31900000000000001</v>
      </c>
      <c r="W40" s="106" t="s">
        <v>787</v>
      </c>
      <c r="X40" s="106" t="s">
        <v>116</v>
      </c>
      <c r="Y40" s="106" t="s">
        <v>737</v>
      </c>
    </row>
    <row r="41" spans="1:25">
      <c r="F41" s="609"/>
      <c r="G41" s="609"/>
      <c r="H41" s="609"/>
      <c r="I41" s="609"/>
      <c r="J41" s="609"/>
      <c r="K41" s="609"/>
      <c r="L41" s="609"/>
      <c r="M41" s="609"/>
      <c r="N41" s="609"/>
      <c r="O41" s="609"/>
      <c r="V41" s="475">
        <f>ROUND((V35/V30)/V38,3)</f>
        <v>0.247</v>
      </c>
      <c r="W41" s="106" t="s">
        <v>787</v>
      </c>
      <c r="X41" s="106" t="s">
        <v>786</v>
      </c>
      <c r="Y41" s="106" t="s">
        <v>736</v>
      </c>
    </row>
    <row r="42" spans="1:25" ht="16" thickBot="1">
      <c r="B42" s="357" t="s">
        <v>280</v>
      </c>
      <c r="V42" s="475">
        <f>ROUND((V36/V30)/V38,3)</f>
        <v>1.4E-2</v>
      </c>
      <c r="W42" s="106" t="s">
        <v>787</v>
      </c>
      <c r="X42" s="106" t="s">
        <v>786</v>
      </c>
      <c r="Y42" s="106" t="s">
        <v>737</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4">
      <c r="A44" s="106" t="s">
        <v>293</v>
      </c>
      <c r="B44" s="589" t="s">
        <v>887</v>
      </c>
      <c r="C44" s="477">
        <f>IFERROR('Energy balance'!C5*$Q118,0)</f>
        <v>0</v>
      </c>
      <c r="D44" s="477">
        <f>IFERROR('Energy balance'!D5*$Q118,0)</f>
        <v>0</v>
      </c>
      <c r="E44" s="477">
        <f>IFERROR('Energy balance'!E5*$Q118,0)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O44/(O110+O88+O66+O44+O23)</f>
        <v>0</v>
      </c>
      <c r="Q44" s="646"/>
      <c r="R44" s="647"/>
    </row>
    <row r="45" spans="1:25" ht="14">
      <c r="A45" s="106" t="s">
        <v>293</v>
      </c>
      <c r="B45" s="589" t="s">
        <v>80</v>
      </c>
      <c r="C45" s="478">
        <f>IFERROR('Energy balance'!C6*$Q119,0)</f>
        <v>0</v>
      </c>
      <c r="D45" s="478">
        <f>IFERROR('Energy balance'!D6*$Q119,0)</f>
        <v>0</v>
      </c>
      <c r="E45" s="478">
        <f>IFERROR('Energy balance'!E6*$Q119,0)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ref="P45:P58" si="8">O45/(O111+O89+O67+O45+O24)</f>
        <v>0.21224997445879179</v>
      </c>
      <c r="Q45" s="646"/>
      <c r="R45" s="647"/>
      <c r="V45" s="518" t="s">
        <v>781</v>
      </c>
      <c r="W45" s="106" t="s">
        <v>782</v>
      </c>
    </row>
    <row r="46" spans="1:25" ht="14">
      <c r="A46" s="106" t="s">
        <v>293</v>
      </c>
      <c r="B46" s="589" t="s">
        <v>886</v>
      </c>
      <c r="C46" s="478">
        <f>IFERROR('Energy balance'!C7*$Q120,0)</f>
        <v>0</v>
      </c>
      <c r="D46" s="478">
        <f>IFERROR('Energy balance'!D7*$Q120,0)</f>
        <v>0</v>
      </c>
      <c r="E46" s="478">
        <f>IFERROR('Energy balance'!E7*$Q120,0)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8"/>
        <v>0.15004574890270914</v>
      </c>
      <c r="Q46" s="646"/>
      <c r="R46" s="647"/>
      <c r="V46" s="475">
        <f>V39</f>
        <v>0.42</v>
      </c>
      <c r="W46" s="106" t="s">
        <v>788</v>
      </c>
      <c r="X46" s="106" t="s">
        <v>116</v>
      </c>
      <c r="Y46" s="106" t="s">
        <v>736</v>
      </c>
    </row>
    <row r="47" spans="1:25" ht="14">
      <c r="A47" s="106" t="s">
        <v>293</v>
      </c>
      <c r="B47" s="589" t="s">
        <v>885</v>
      </c>
      <c r="C47" s="479">
        <f>IFERROR('Energy balance'!C8*$Q121,0)</f>
        <v>0</v>
      </c>
      <c r="D47" s="479">
        <f>IFERROR('Energy balance'!D8*$Q121,0)</f>
        <v>0</v>
      </c>
      <c r="E47" s="479">
        <f>IFERROR('Energy balance'!E8*$Q121,0)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8"/>
        <v>0.14867144669971888</v>
      </c>
      <c r="Q47" s="646"/>
      <c r="R47" s="647"/>
      <c r="V47" s="475">
        <f>V40</f>
        <v>0.31900000000000001</v>
      </c>
      <c r="W47" s="106" t="s">
        <v>788</v>
      </c>
      <c r="X47" s="106" t="s">
        <v>116</v>
      </c>
      <c r="Y47" s="106" t="s">
        <v>737</v>
      </c>
    </row>
    <row r="48" spans="1:25" ht="14">
      <c r="A48" s="106" t="s">
        <v>293</v>
      </c>
      <c r="B48" s="589" t="s">
        <v>212</v>
      </c>
      <c r="C48" s="479">
        <f>IFERROR('Energy balance'!C9*$Q122,0)</f>
        <v>0</v>
      </c>
      <c r="D48" s="479">
        <f>IFERROR('Energy balance'!D9*$Q122,0)</f>
        <v>0</v>
      </c>
      <c r="E48" s="479">
        <f>IFERROR('Energy balance'!E9*$Q122,0)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8"/>
        <v>0</v>
      </c>
      <c r="Q48" s="646"/>
      <c r="R48" s="647"/>
      <c r="V48" s="475">
        <f>V41</f>
        <v>0.247</v>
      </c>
      <c r="W48" s="106" t="s">
        <v>788</v>
      </c>
      <c r="X48" s="106" t="s">
        <v>786</v>
      </c>
      <c r="Y48" s="106" t="s">
        <v>736</v>
      </c>
    </row>
    <row r="49" spans="1:25" ht="14">
      <c r="A49" s="106" t="s">
        <v>293</v>
      </c>
      <c r="B49" s="589" t="s">
        <v>884</v>
      </c>
      <c r="C49" s="479">
        <f>IFERROR('Energy balance'!C10*$Q123,0)</f>
        <v>0</v>
      </c>
      <c r="D49" s="479">
        <f>IFERROR('Energy balance'!D10*$Q123,0)</f>
        <v>0</v>
      </c>
      <c r="E49" s="479">
        <f>IFERROR('Energy balance'!E10*$Q123,0)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8"/>
        <v>0.15004511083231664</v>
      </c>
      <c r="Q49" s="646"/>
      <c r="R49" s="647"/>
      <c r="V49" s="475">
        <f>V42</f>
        <v>1.4E-2</v>
      </c>
      <c r="W49" s="106" t="s">
        <v>788</v>
      </c>
      <c r="X49" s="106" t="s">
        <v>786</v>
      </c>
      <c r="Y49" s="106" t="s">
        <v>737</v>
      </c>
    </row>
    <row r="50" spans="1:25" ht="14">
      <c r="A50" s="106" t="s">
        <v>293</v>
      </c>
      <c r="B50" s="589" t="s">
        <v>882</v>
      </c>
      <c r="C50" s="479">
        <f>IFERROR('Energy balance'!C12*$Q125,0)</f>
        <v>0</v>
      </c>
      <c r="D50" s="479">
        <f>IFERROR('Energy balance'!D12*$Q125,0)</f>
        <v>0</v>
      </c>
      <c r="E50" s="479">
        <f>IFERROR('Energy balance'!E12*$Q125,0)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8"/>
        <v>0.86899999999999999</v>
      </c>
      <c r="Q50" s="648"/>
      <c r="R50" s="647"/>
    </row>
    <row r="51" spans="1:25" ht="14">
      <c r="A51" s="106" t="s">
        <v>293</v>
      </c>
      <c r="B51" s="589" t="s">
        <v>881</v>
      </c>
      <c r="C51" s="478">
        <f>IFERROR('Energy balance'!C13*$Q126,0)</f>
        <v>0</v>
      </c>
      <c r="D51" s="478">
        <f>IFERROR('Energy balance'!D13*$Q126,0)</f>
        <v>0</v>
      </c>
      <c r="E51" s="478">
        <f>IFERROR('Energy balance'!E13*$Q126,0)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8"/>
        <v>9.0000000000000011E-2</v>
      </c>
      <c r="Q51" s="646"/>
      <c r="R51" s="647"/>
    </row>
    <row r="52" spans="1:25" ht="14">
      <c r="A52" s="106" t="s">
        <v>293</v>
      </c>
      <c r="B52" s="589" t="s">
        <v>880</v>
      </c>
      <c r="C52" s="478">
        <f>IFERROR('Energy balance'!C14*$Q127,0)</f>
        <v>0</v>
      </c>
      <c r="D52" s="478">
        <f>IFERROR('Energy balance'!D14*$Q127,0)</f>
        <v>0</v>
      </c>
      <c r="E52" s="478">
        <f>IFERROR('Energy balance'!E14*$Q127,0)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8"/>
        <v>0.13146233312269531</v>
      </c>
      <c r="Q52" s="646"/>
      <c r="R52" s="647"/>
    </row>
    <row r="53" spans="1:25" ht="14">
      <c r="A53" s="106" t="s">
        <v>293</v>
      </c>
      <c r="B53" s="589" t="s">
        <v>879</v>
      </c>
      <c r="C53" s="478">
        <f>IFERROR('Energy balance'!C15*$Q128,0)</f>
        <v>0</v>
      </c>
      <c r="D53" s="478">
        <f>IFERROR('Energy balance'!D15*$Q128,0)</f>
        <v>0</v>
      </c>
      <c r="E53" s="478">
        <f>IFERROR('Energy balance'!E15*$Q128,0)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8"/>
        <v>0.13146234274056443</v>
      </c>
      <c r="Q53" s="646"/>
      <c r="R53" s="647"/>
    </row>
    <row r="54" spans="1:25" ht="14">
      <c r="A54" s="106" t="s">
        <v>293</v>
      </c>
      <c r="B54" s="589" t="s">
        <v>79</v>
      </c>
      <c r="C54" s="478">
        <f>IFERROR('Energy balance'!C16*$Q129,0)</f>
        <v>0</v>
      </c>
      <c r="D54" s="478">
        <f>IFERROR('Energy balance'!D16*$Q129,0)</f>
        <v>0</v>
      </c>
      <c r="E54" s="478">
        <f>IFERROR('Energy balance'!E16*$Q129,0)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8"/>
        <v>0.1137220113079259</v>
      </c>
      <c r="Q54" s="646"/>
      <c r="R54" s="647"/>
    </row>
    <row r="55" spans="1:25" ht="14">
      <c r="A55" s="106" t="s">
        <v>293</v>
      </c>
      <c r="B55" s="589" t="s">
        <v>219</v>
      </c>
      <c r="C55" s="478">
        <f>IFERROR('Energy balance'!C17*$Q130,0)</f>
        <v>0</v>
      </c>
      <c r="D55" s="478">
        <f>IFERROR('Energy balance'!D17*$Q130,0)</f>
        <v>0</v>
      </c>
      <c r="E55" s="478">
        <f>IFERROR('Energy balance'!E17*$Q130,0)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8"/>
        <v>9.0114691453990814E-2</v>
      </c>
      <c r="Q55" s="646"/>
      <c r="R55" s="647"/>
    </row>
    <row r="56" spans="1:25" ht="14">
      <c r="A56" s="106" t="s">
        <v>293</v>
      </c>
      <c r="B56" s="604" t="s">
        <v>920</v>
      </c>
      <c r="C56" s="478">
        <f>IFERROR('Energy balance'!C18*$Q131,0)</f>
        <v>0</v>
      </c>
      <c r="D56" s="478">
        <f>IFERROR('Energy balance'!D18*$Q131,0)</f>
        <v>0</v>
      </c>
      <c r="E56" s="479">
        <f>IFERROR('Energy balance'!E18*$Q131,0)</f>
        <v>0</v>
      </c>
      <c r="F56" s="477">
        <f t="shared" ref="F56:O56" si="9">SUM(F47:F49)</f>
        <v>127761.36300000001</v>
      </c>
      <c r="G56" s="477">
        <f t="shared" si="9"/>
        <v>169507.60700000002</v>
      </c>
      <c r="H56" s="477">
        <f t="shared" si="9"/>
        <v>167893.37800000003</v>
      </c>
      <c r="I56" s="477">
        <f t="shared" si="9"/>
        <v>125416.13</v>
      </c>
      <c r="J56" s="477">
        <f t="shared" si="9"/>
        <v>137678.75599999999</v>
      </c>
      <c r="K56" s="477">
        <f t="shared" si="9"/>
        <v>122672.85800000001</v>
      </c>
      <c r="L56" s="477">
        <f t="shared" si="9"/>
        <v>117517.749</v>
      </c>
      <c r="M56" s="477">
        <f t="shared" si="9"/>
        <v>129060.71800000001</v>
      </c>
      <c r="N56" s="477">
        <f t="shared" si="9"/>
        <v>121882.557</v>
      </c>
      <c r="O56" s="477">
        <f t="shared" si="9"/>
        <v>142506.644</v>
      </c>
      <c r="P56">
        <f t="shared" si="8"/>
        <v>0.14929116079742336</v>
      </c>
      <c r="Q56" s="649"/>
      <c r="R56" s="647"/>
    </row>
    <row r="57" spans="1:25" ht="14">
      <c r="A57" s="106" t="s">
        <v>293</v>
      </c>
      <c r="B57" s="604" t="s">
        <v>921</v>
      </c>
      <c r="C57" s="478">
        <f>IFERROR('Energy balance'!C19*$Q132,0)</f>
        <v>0</v>
      </c>
      <c r="D57" s="478">
        <f>IFERROR('Energy balance'!D19*$Q132,0)</f>
        <v>0</v>
      </c>
      <c r="E57" s="478">
        <f>IFERROR('Energy balance'!E19*$Q132,0)</f>
        <v>0</v>
      </c>
      <c r="F57" s="477">
        <f t="shared" ref="F57:O57" si="10">F45+F53</f>
        <v>158220.90100000001</v>
      </c>
      <c r="G57" s="477">
        <f t="shared" si="10"/>
        <v>175265.84299999999</v>
      </c>
      <c r="H57" s="477">
        <f t="shared" si="10"/>
        <v>177178.69200000001</v>
      </c>
      <c r="I57" s="477">
        <f t="shared" si="10"/>
        <v>170304.01</v>
      </c>
      <c r="J57" s="477">
        <f t="shared" si="10"/>
        <v>154739.179</v>
      </c>
      <c r="K57" s="477">
        <f t="shared" si="10"/>
        <v>154276.772</v>
      </c>
      <c r="L57" s="477">
        <f t="shared" si="10"/>
        <v>171393.58200000002</v>
      </c>
      <c r="M57" s="477">
        <f t="shared" si="10"/>
        <v>181679.45600000001</v>
      </c>
      <c r="N57" s="477">
        <f t="shared" si="10"/>
        <v>194699.095</v>
      </c>
      <c r="O57" s="477">
        <f t="shared" si="10"/>
        <v>200421.74</v>
      </c>
      <c r="P57">
        <f t="shared" si="8"/>
        <v>0.21222573405477202</v>
      </c>
      <c r="Q57" s="649"/>
      <c r="R57" s="647"/>
    </row>
    <row r="58" spans="1:25" ht="14">
      <c r="A58" s="106" t="s">
        <v>293</v>
      </c>
      <c r="B58" s="589" t="s">
        <v>883</v>
      </c>
      <c r="C58" s="479">
        <f>IFERROR('Energy balance'!C11*$Q124,0)</f>
        <v>0</v>
      </c>
      <c r="D58" s="479">
        <f>IFERROR('Energy balance'!D11*$Q124,0)</f>
        <v>0</v>
      </c>
      <c r="E58" s="479">
        <f>IFERROR('Energy balance'!E11*$Q124,0)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8"/>
        <v>0.18503117450778489</v>
      </c>
      <c r="Q58" s="646"/>
      <c r="R58" s="647"/>
    </row>
    <row r="59" spans="1:25" ht="14">
      <c r="A59" s="106" t="s">
        <v>293</v>
      </c>
      <c r="B59" s="314"/>
      <c r="C59" s="485">
        <f>IFERROR('Energy balance'!C20*$Q133,0)</f>
        <v>0</v>
      </c>
      <c r="D59" s="478">
        <f>IFERROR('Energy balance'!D20*$Q133,0)</f>
        <v>0</v>
      </c>
      <c r="E59" s="478">
        <f>IFERROR('Energy balance'!E20*$Q133,0)</f>
        <v>0</v>
      </c>
      <c r="F59" s="478">
        <f>IFERROR('Energy balance'!F20*$Q133,0)</f>
        <v>0</v>
      </c>
      <c r="G59" s="480">
        <f>IFERROR('Energy balance'!G20*$Q133,0)</f>
        <v>0</v>
      </c>
      <c r="H59" s="480">
        <f>IFERROR('Energy balance'!H20*$Q133,0)</f>
        <v>0</v>
      </c>
      <c r="I59" s="480">
        <f>IFERROR('Energy balance'!I20*$Q133,0)</f>
        <v>0</v>
      </c>
      <c r="J59" s="480">
        <f>IFERROR('Energy balance'!J20*$Q133,0)</f>
        <v>0</v>
      </c>
      <c r="K59" s="480">
        <f>IFERROR('Energy balance'!K20*$Q133,0)</f>
        <v>0</v>
      </c>
      <c r="L59" s="480">
        <f>IFERROR('Energy balance'!L20*$Q133,0)</f>
        <v>0</v>
      </c>
      <c r="M59" s="481">
        <f>IFERROR('Energy balance'!M20*$Q133,0)</f>
        <v>0</v>
      </c>
      <c r="N59" s="482">
        <f>IFERROR('Energy balance'!N20*$Q133,0)</f>
        <v>0</v>
      </c>
      <c r="O59" s="482">
        <f>IFERROR('Energy balance'!O20*$Q133,0)</f>
        <v>0</v>
      </c>
    </row>
    <row r="60" spans="1:25" ht="14">
      <c r="A60" s="106" t="s">
        <v>293</v>
      </c>
      <c r="B60" s="314"/>
      <c r="C60" s="478">
        <f>IFERROR('Energy balance'!C21*$Q134,0)</f>
        <v>0</v>
      </c>
      <c r="D60" s="478">
        <f>IFERROR('Energy balance'!D21*$Q134,0)</f>
        <v>0</v>
      </c>
      <c r="E60" s="479">
        <f>IFERROR('Energy balance'!E21*$Q134,0)</f>
        <v>0</v>
      </c>
      <c r="F60" s="479">
        <f>IFERROR('Energy balance'!F21*$Q134,0)</f>
        <v>0</v>
      </c>
      <c r="G60" s="479">
        <f>IFERROR('Energy balance'!G21*$Q134,0)</f>
        <v>0</v>
      </c>
      <c r="H60" s="479">
        <f>IFERROR('Energy balance'!H21*$Q134,0)</f>
        <v>0</v>
      </c>
      <c r="I60" s="480">
        <f>IFERROR('Energy balance'!I21*$Q134,0)</f>
        <v>0</v>
      </c>
      <c r="J60" s="480">
        <f>IFERROR('Energy balance'!J21*$Q134,0)</f>
        <v>0</v>
      </c>
      <c r="K60" s="480">
        <f>IFERROR('Energy balance'!K21*$Q134,0)</f>
        <v>0</v>
      </c>
      <c r="L60" s="480">
        <f>IFERROR('Energy balance'!L21*$Q134,0)</f>
        <v>0</v>
      </c>
      <c r="M60" s="481">
        <f>IFERROR('Energy balance'!M21*$Q134,0)</f>
        <v>0</v>
      </c>
      <c r="N60" s="482">
        <f>IFERROR('Energy balance'!N21*$Q134,0)</f>
        <v>0</v>
      </c>
      <c r="O60" s="482">
        <f>IFERROR('Energy balance'!O21*$Q134,0)</f>
        <v>0</v>
      </c>
    </row>
    <row r="61" spans="1:25" ht="14.5" thickBot="1">
      <c r="A61" s="106" t="s">
        <v>293</v>
      </c>
      <c r="B61" s="326"/>
      <c r="C61" s="486">
        <f>IFERROR('Energy balance'!C22*$Q61,0)</f>
        <v>0</v>
      </c>
      <c r="D61" s="486">
        <f>IFERROR('Energy balance'!D22*$Q61,0)</f>
        <v>0</v>
      </c>
      <c r="E61" s="486">
        <f>IFERROR('Energy balance'!E22*$Q61,0)</f>
        <v>0</v>
      </c>
      <c r="F61" s="486">
        <f>IFERROR('Energy balance'!F22*$Q61,0)</f>
        <v>0</v>
      </c>
      <c r="G61" s="486">
        <f>IFERROR('Energy balance'!G22*$Q61,0)</f>
        <v>0</v>
      </c>
      <c r="H61" s="486">
        <f>IFERROR('Energy balance'!H22*$Q61,0)</f>
        <v>0</v>
      </c>
      <c r="I61" s="486">
        <f>IFERROR('Energy balance'!I22*$Q61,0)</f>
        <v>0</v>
      </c>
      <c r="J61" s="486">
        <f>IFERROR('Energy balance'!J22*$Q61,0)</f>
        <v>0</v>
      </c>
      <c r="K61" s="486">
        <f>IFERROR('Energy balance'!K22*$Q61,0)</f>
        <v>0</v>
      </c>
      <c r="L61" s="486">
        <f>IFERROR('Energy balance'!L22*$Q61,0)</f>
        <v>0</v>
      </c>
      <c r="M61" s="487">
        <f>IFERROR('Energy balance'!M22*$Q61,0)</f>
        <v>0</v>
      </c>
      <c r="N61" s="488">
        <f>IFERROR('Energy balance'!N22*$Q61,0)</f>
        <v>0</v>
      </c>
      <c r="O61" s="488">
        <f>IFERROR('Energy balance'!O22*$Q61,0)</f>
        <v>0</v>
      </c>
      <c r="Q61" s="106"/>
    </row>
    <row r="62" spans="1:25" ht="14">
      <c r="A62" s="106" t="s">
        <v>293</v>
      </c>
      <c r="B62" s="363" t="s">
        <v>106</v>
      </c>
      <c r="C62" s="364">
        <f t="shared" ref="C62:O62" si="11">SUM(C44:C61)</f>
        <v>0</v>
      </c>
      <c r="D62" s="364">
        <f t="shared" si="11"/>
        <v>0</v>
      </c>
      <c r="E62" s="364">
        <f t="shared" si="11"/>
        <v>0</v>
      </c>
      <c r="F62" s="364">
        <f t="shared" si="11"/>
        <v>717521.03899999999</v>
      </c>
      <c r="G62" s="364">
        <f t="shared" si="11"/>
        <v>874984.75600000017</v>
      </c>
      <c r="H62" s="364">
        <f t="shared" si="11"/>
        <v>868386.45200000005</v>
      </c>
      <c r="I62" s="364">
        <f t="shared" si="11"/>
        <v>773749.8600000001</v>
      </c>
      <c r="J62" s="364">
        <f t="shared" si="11"/>
        <v>780397.60000000009</v>
      </c>
      <c r="K62" s="364">
        <f t="shared" si="11"/>
        <v>749832.70000000007</v>
      </c>
      <c r="L62" s="364">
        <f t="shared" si="11"/>
        <v>763952.46500000008</v>
      </c>
      <c r="M62" s="364">
        <f t="shared" si="11"/>
        <v>813523.44799999997</v>
      </c>
      <c r="N62" s="364">
        <f t="shared" si="11"/>
        <v>842596.45399999991</v>
      </c>
      <c r="O62" s="364">
        <f t="shared" si="11"/>
        <v>883893.0149999999</v>
      </c>
    </row>
    <row r="64" spans="1:25" ht="16" thickBot="1">
      <c r="B64" s="357" t="s">
        <v>281</v>
      </c>
    </row>
    <row r="65" spans="1:17"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7" ht="14">
      <c r="A66" s="106" t="s">
        <v>286</v>
      </c>
      <c r="B66" s="589" t="s">
        <v>887</v>
      </c>
      <c r="C66" s="477">
        <f>IFERROR('Energy balance'!C5*#REF!,0)</f>
        <v>0</v>
      </c>
      <c r="D66" s="477">
        <f>IFERROR('Energy balance'!D5*#REF!,0)</f>
        <v>0</v>
      </c>
      <c r="E66" s="477">
        <f>IFERROR('Energy balance'!E5*#REF!,0)</f>
        <v>0</v>
      </c>
      <c r="F66" s="477">
        <f>IFERROR(Raw_Data!G12,0)</f>
        <v>0</v>
      </c>
      <c r="G66" s="477">
        <f>IFERROR(Raw_Data!N12,0)</f>
        <v>0</v>
      </c>
      <c r="H66" s="477">
        <f>IFERROR(Raw_Data!U12,0)</f>
        <v>0</v>
      </c>
      <c r="I66" s="477">
        <f>IFERROR(Raw_Data!AB12,0)</f>
        <v>0</v>
      </c>
      <c r="J66" s="477">
        <f>IFERROR(Raw_Data!AI12,0)</f>
        <v>0</v>
      </c>
      <c r="K66" s="477">
        <f>IFERROR(Raw_Data!AP12,0)</f>
        <v>0</v>
      </c>
      <c r="L66" s="477">
        <f>IFERROR(Raw_Data!AW12,0)</f>
        <v>0</v>
      </c>
      <c r="M66" s="477">
        <f>IFERROR(Raw_Data!BD12,0)</f>
        <v>0</v>
      </c>
      <c r="N66" s="477">
        <f>IFERROR(Raw_Data!BK12,0)</f>
        <v>0</v>
      </c>
      <c r="O66" s="477">
        <f>IFERROR(Raw_Data!BR12,0)</f>
        <v>0</v>
      </c>
      <c r="P66">
        <f>O66/(O110+O88+O66+O44+O23)</f>
        <v>0</v>
      </c>
      <c r="Q66" s="646"/>
    </row>
    <row r="67" spans="1:17" ht="14">
      <c r="A67" s="106" t="s">
        <v>286</v>
      </c>
      <c r="B67" s="589" t="s">
        <v>80</v>
      </c>
      <c r="C67" s="478">
        <f>IFERROR('Energy balance'!C6*#REF!,0)</f>
        <v>0</v>
      </c>
      <c r="D67" s="478">
        <f>IFERROR('Energy balance'!D6*#REF!,0)</f>
        <v>0</v>
      </c>
      <c r="E67" s="478">
        <f>IFERROR('Energy balance'!E6*#REF!,0)</f>
        <v>0</v>
      </c>
      <c r="F67" s="477">
        <f>IFERROR(Raw_Data!G13,0)</f>
        <v>2438.7130000000002</v>
      </c>
      <c r="G67" s="477">
        <f>IFERROR(Raw_Data!N13,0)</f>
        <v>3308.9079999999999</v>
      </c>
      <c r="H67" s="477">
        <f>IFERROR(Raw_Data!U13,0)</f>
        <v>3620.538</v>
      </c>
      <c r="I67" s="477">
        <f>IFERROR(Raw_Data!AB13,0)</f>
        <v>4072.0819999999999</v>
      </c>
      <c r="J67" s="477">
        <f>IFERROR(Raw_Data!AI13,0)</f>
        <v>3644.1320000000001</v>
      </c>
      <c r="K67" s="477">
        <f>IFERROR(Raw_Data!AP13,0)</f>
        <v>3644.4560000000001</v>
      </c>
      <c r="L67" s="477">
        <f>IFERROR(Raw_Data!AW13,0)</f>
        <v>3421.4560000000001</v>
      </c>
      <c r="M67" s="477">
        <f>IFERROR(Raw_Data!BD13,0)</f>
        <v>3617.0970000000002</v>
      </c>
      <c r="N67" s="477">
        <f>IFERROR(Raw_Data!BK13,0)</f>
        <v>3891.1350000000002</v>
      </c>
      <c r="O67" s="477">
        <f>IFERROR(Raw_Data!BR13,0)</f>
        <v>4369.817</v>
      </c>
      <c r="P67">
        <f t="shared" ref="P67:P80" si="12">O67/(O111+O89+O67+O45+O24)</f>
        <v>4.6636959628790454E-3</v>
      </c>
      <c r="Q67" s="646"/>
    </row>
    <row r="68" spans="1:17" ht="14">
      <c r="A68" s="106" t="s">
        <v>286</v>
      </c>
      <c r="B68" s="589" t="s">
        <v>886</v>
      </c>
      <c r="C68" s="478">
        <f>IFERROR('Energy balance'!C7*#REF!,0)</f>
        <v>0</v>
      </c>
      <c r="D68" s="478">
        <f>IFERROR('Energy balance'!D7*#REF!,0)</f>
        <v>0</v>
      </c>
      <c r="E68" s="478">
        <f>IFERROR('Energy balance'!E7*#REF!,0)</f>
        <v>0</v>
      </c>
      <c r="F68" s="477">
        <f>IFERROR(Raw_Data!G14,0)</f>
        <v>0</v>
      </c>
      <c r="G68" s="477">
        <f>IFERROR(Raw_Data!N14,0)</f>
        <v>0</v>
      </c>
      <c r="H68" s="477">
        <f>IFERROR(Raw_Data!U14,0)</f>
        <v>0</v>
      </c>
      <c r="I68" s="477">
        <f>IFERROR(Raw_Data!AB14,0)</f>
        <v>0</v>
      </c>
      <c r="J68" s="477">
        <f>IFERROR(Raw_Data!AI14,0)</f>
        <v>0</v>
      </c>
      <c r="K68" s="477">
        <f>IFERROR(Raw_Data!AP14,0)</f>
        <v>0</v>
      </c>
      <c r="L68" s="477">
        <f>IFERROR(Raw_Data!AW14,0)</f>
        <v>0</v>
      </c>
      <c r="M68" s="477">
        <f>IFERROR(Raw_Data!BD14,0)</f>
        <v>0</v>
      </c>
      <c r="N68" s="477">
        <f>IFERROR(Raw_Data!BK14,0)</f>
        <v>0</v>
      </c>
      <c r="O68" s="477">
        <f>IFERROR(Raw_Data!BR14,0)</f>
        <v>0</v>
      </c>
      <c r="P68">
        <f t="shared" si="12"/>
        <v>0</v>
      </c>
      <c r="Q68" s="646"/>
    </row>
    <row r="69" spans="1:17" ht="14">
      <c r="A69" s="106" t="s">
        <v>286</v>
      </c>
      <c r="B69" s="589" t="s">
        <v>885</v>
      </c>
      <c r="C69" s="479">
        <f>IFERROR('Energy balance'!C8*#REF!,0)</f>
        <v>0</v>
      </c>
      <c r="D69" s="479">
        <f>IFERROR('Energy balance'!D8*#REF!,0)</f>
        <v>0</v>
      </c>
      <c r="E69" s="479">
        <f>IFERROR('Energy balance'!E8*#REF!,0)</f>
        <v>0</v>
      </c>
      <c r="F69" s="477">
        <f>IFERROR(Raw_Data!G15,0)</f>
        <v>0</v>
      </c>
      <c r="G69" s="477">
        <f>IFERROR(Raw_Data!N15,0)</f>
        <v>0</v>
      </c>
      <c r="H69" s="477">
        <f>IFERROR(Raw_Data!U15,0)</f>
        <v>0</v>
      </c>
      <c r="I69" s="477">
        <f>IFERROR(Raw_Data!AB15,0)</f>
        <v>0</v>
      </c>
      <c r="J69" s="477">
        <f>IFERROR(Raw_Data!AI15,0)</f>
        <v>0</v>
      </c>
      <c r="K69" s="477">
        <f>IFERROR(Raw_Data!AP15,0)</f>
        <v>0</v>
      </c>
      <c r="L69" s="477">
        <f>IFERROR(Raw_Data!AW15,0)</f>
        <v>0</v>
      </c>
      <c r="M69" s="477">
        <f>IFERROR(Raw_Data!BD15,0)</f>
        <v>0</v>
      </c>
      <c r="N69" s="477">
        <f>IFERROR(Raw_Data!BK15,0)</f>
        <v>0</v>
      </c>
      <c r="O69" s="477">
        <f>IFERROR(Raw_Data!BR15,0)</f>
        <v>0</v>
      </c>
      <c r="P69">
        <f t="shared" si="12"/>
        <v>0</v>
      </c>
      <c r="Q69" s="646"/>
    </row>
    <row r="70" spans="1:17" ht="14">
      <c r="A70" s="106" t="s">
        <v>286</v>
      </c>
      <c r="B70" s="589" t="s">
        <v>212</v>
      </c>
      <c r="C70" s="479">
        <f>IFERROR('Energy balance'!C9*#REF!,0)</f>
        <v>0</v>
      </c>
      <c r="D70" s="479">
        <f>IFERROR('Energy balance'!D9*#REF!,0)</f>
        <v>0</v>
      </c>
      <c r="E70" s="479">
        <f>IFERROR('Energy balance'!E9*#REF!,0)</f>
        <v>0</v>
      </c>
      <c r="F70" s="477">
        <f>IFERROR(Raw_Data!G16,0)</f>
        <v>0</v>
      </c>
      <c r="G70" s="477">
        <f>IFERROR(Raw_Data!N16,0)</f>
        <v>0</v>
      </c>
      <c r="H70" s="477">
        <f>IFERROR(Raw_Data!U16,0)</f>
        <v>0</v>
      </c>
      <c r="I70" s="477">
        <f>IFERROR(Raw_Data!AB16,0)</f>
        <v>0</v>
      </c>
      <c r="J70" s="477">
        <f>IFERROR(Raw_Data!AI16,0)</f>
        <v>0</v>
      </c>
      <c r="K70" s="477">
        <f>IFERROR(Raw_Data!AP16,0)</f>
        <v>0</v>
      </c>
      <c r="L70" s="477">
        <f>IFERROR(Raw_Data!AW16,0)</f>
        <v>0</v>
      </c>
      <c r="M70" s="477">
        <f>IFERROR(Raw_Data!BD16,0)</f>
        <v>0</v>
      </c>
      <c r="N70" s="477">
        <f>IFERROR(Raw_Data!BK16,0)</f>
        <v>0</v>
      </c>
      <c r="O70" s="477">
        <f>IFERROR(Raw_Data!BR16,0)</f>
        <v>0</v>
      </c>
      <c r="P70">
        <f t="shared" si="12"/>
        <v>0</v>
      </c>
      <c r="Q70" s="646"/>
    </row>
    <row r="71" spans="1:17" ht="14">
      <c r="A71" s="106" t="s">
        <v>286</v>
      </c>
      <c r="B71" s="589" t="s">
        <v>884</v>
      </c>
      <c r="C71" s="479">
        <f>IFERROR('Energy balance'!C10*#REF!,0)</f>
        <v>0</v>
      </c>
      <c r="D71" s="479">
        <f>IFERROR('Energy balance'!D10*#REF!,0)</f>
        <v>0</v>
      </c>
      <c r="E71" s="479">
        <f>IFERROR('Energy balance'!E10*#REF!,0)</f>
        <v>0</v>
      </c>
      <c r="F71" s="477">
        <f>IFERROR(Raw_Data!G17,0)</f>
        <v>0</v>
      </c>
      <c r="G71" s="477">
        <f>IFERROR(Raw_Data!N17,0)</f>
        <v>0</v>
      </c>
      <c r="H71" s="477">
        <f>IFERROR(Raw_Data!U17,0)</f>
        <v>0</v>
      </c>
      <c r="I71" s="477">
        <f>IFERROR(Raw_Data!AB17,0)</f>
        <v>0</v>
      </c>
      <c r="J71" s="477">
        <f>IFERROR(Raw_Data!AI17,0)</f>
        <v>0</v>
      </c>
      <c r="K71" s="477">
        <f>IFERROR(Raw_Data!AP17,0)</f>
        <v>0</v>
      </c>
      <c r="L71" s="477">
        <f>IFERROR(Raw_Data!AW17,0)</f>
        <v>0</v>
      </c>
      <c r="M71" s="477">
        <f>IFERROR(Raw_Data!BD17,0)</f>
        <v>0</v>
      </c>
      <c r="N71" s="477">
        <f>IFERROR(Raw_Data!BK17,0)</f>
        <v>0</v>
      </c>
      <c r="O71" s="477">
        <f>IFERROR(Raw_Data!BR17,0)</f>
        <v>0</v>
      </c>
      <c r="P71">
        <f t="shared" si="12"/>
        <v>0</v>
      </c>
      <c r="Q71" s="646"/>
    </row>
    <row r="72" spans="1:17" ht="14">
      <c r="A72" s="106" t="s">
        <v>286</v>
      </c>
      <c r="B72" s="589" t="s">
        <v>882</v>
      </c>
      <c r="C72" s="479">
        <f>IFERROR('Energy balance'!C12*#REF!,0)</f>
        <v>0</v>
      </c>
      <c r="D72" s="479">
        <f>IFERROR('Energy balance'!D12*#REF!,0)</f>
        <v>0</v>
      </c>
      <c r="E72" s="479">
        <f>IFERROR('Energy balance'!E12*#REF!,0)</f>
        <v>0</v>
      </c>
      <c r="F72" s="477">
        <f>IFERROR(Raw_Data!G19,0)</f>
        <v>0</v>
      </c>
      <c r="G72" s="477">
        <f>IFERROR(Raw_Data!N19,0)</f>
        <v>0</v>
      </c>
      <c r="H72" s="477">
        <f>IFERROR(Raw_Data!U19,0)</f>
        <v>0</v>
      </c>
      <c r="I72" s="477">
        <f>IFERROR(Raw_Data!AB19,0)</f>
        <v>0</v>
      </c>
      <c r="J72" s="477">
        <f>IFERROR(Raw_Data!AI19,0)</f>
        <v>0</v>
      </c>
      <c r="K72" s="477">
        <f>IFERROR(Raw_Data!AP19,0)</f>
        <v>0</v>
      </c>
      <c r="L72" s="477">
        <f>IFERROR(Raw_Data!AW19,0)</f>
        <v>0</v>
      </c>
      <c r="M72" s="477">
        <f>IFERROR(Raw_Data!BD19,0)</f>
        <v>0</v>
      </c>
      <c r="N72" s="477">
        <f>IFERROR(Raw_Data!BK19,0)</f>
        <v>0</v>
      </c>
      <c r="O72" s="477">
        <f>IFERROR(Raw_Data!BR19,0)</f>
        <v>0</v>
      </c>
      <c r="P72">
        <f t="shared" si="12"/>
        <v>0</v>
      </c>
      <c r="Q72" s="648"/>
    </row>
    <row r="73" spans="1:17" ht="14">
      <c r="A73" s="106" t="s">
        <v>286</v>
      </c>
      <c r="B73" s="589" t="s">
        <v>881</v>
      </c>
      <c r="C73" s="478">
        <f>IFERROR('Energy balance'!C13*#REF!,0)</f>
        <v>0</v>
      </c>
      <c r="D73" s="478">
        <f>IFERROR('Energy balance'!D13*#REF!,0)</f>
        <v>0</v>
      </c>
      <c r="E73" s="478">
        <f>IFERROR('Energy balance'!E13*#REF!,0)</f>
        <v>0</v>
      </c>
      <c r="F73" s="477">
        <f>IFERROR(Raw_Data!G20,0)</f>
        <v>0</v>
      </c>
      <c r="G73" s="477">
        <f>IFERROR(Raw_Data!N20,0)</f>
        <v>0</v>
      </c>
      <c r="H73" s="477">
        <f>IFERROR(Raw_Data!U20,0)</f>
        <v>0</v>
      </c>
      <c r="I73" s="477">
        <f>IFERROR(Raw_Data!AB20,0)</f>
        <v>0</v>
      </c>
      <c r="J73" s="477">
        <f>IFERROR(Raw_Data!AI20,0)</f>
        <v>0</v>
      </c>
      <c r="K73" s="477">
        <f>IFERROR(Raw_Data!AP20,0)</f>
        <v>0</v>
      </c>
      <c r="L73" s="477">
        <f>IFERROR(Raw_Data!AW20,0)</f>
        <v>0</v>
      </c>
      <c r="M73" s="477">
        <f>IFERROR(Raw_Data!BD20,0)</f>
        <v>0</v>
      </c>
      <c r="N73" s="477">
        <f>IFERROR(Raw_Data!BK20,0)</f>
        <v>0</v>
      </c>
      <c r="O73" s="477">
        <f>IFERROR(Raw_Data!BR20,0)</f>
        <v>0</v>
      </c>
      <c r="P73">
        <f t="shared" si="12"/>
        <v>0</v>
      </c>
      <c r="Q73" s="646"/>
    </row>
    <row r="74" spans="1:17" ht="14">
      <c r="A74" s="106" t="s">
        <v>286</v>
      </c>
      <c r="B74" s="589" t="s">
        <v>880</v>
      </c>
      <c r="C74" s="478">
        <f>IFERROR('Energy balance'!C14*#REF!,0)</f>
        <v>0</v>
      </c>
      <c r="D74" s="478">
        <f>IFERROR('Energy balance'!D14*#REF!,0)</f>
        <v>0</v>
      </c>
      <c r="E74" s="478">
        <f>IFERROR('Energy balance'!E14*#REF!,0)</f>
        <v>0</v>
      </c>
      <c r="F74" s="477">
        <f>IFERROR(Raw_Data!G21,0)</f>
        <v>0</v>
      </c>
      <c r="G74" s="477">
        <f>IFERROR(Raw_Data!N21,0)</f>
        <v>0</v>
      </c>
      <c r="H74" s="477">
        <f>IFERROR(Raw_Data!U21,0)</f>
        <v>0</v>
      </c>
      <c r="I74" s="477">
        <f>IFERROR(Raw_Data!AB21,0)</f>
        <v>0</v>
      </c>
      <c r="J74" s="477">
        <f>IFERROR(Raw_Data!AI21,0)</f>
        <v>0</v>
      </c>
      <c r="K74" s="477">
        <f>IFERROR(Raw_Data!AP21,0)</f>
        <v>0</v>
      </c>
      <c r="L74" s="477">
        <f>IFERROR(Raw_Data!AW21,0)</f>
        <v>0</v>
      </c>
      <c r="M74" s="477">
        <f>IFERROR(Raw_Data!BD21,0)</f>
        <v>0</v>
      </c>
      <c r="N74" s="477">
        <f>IFERROR(Raw_Data!BK21,0)</f>
        <v>0</v>
      </c>
      <c r="O74" s="477">
        <f>IFERROR(Raw_Data!BR21,0)</f>
        <v>0</v>
      </c>
      <c r="P74">
        <f t="shared" si="12"/>
        <v>0</v>
      </c>
      <c r="Q74" s="646"/>
    </row>
    <row r="75" spans="1:17" ht="14">
      <c r="A75" s="106" t="s">
        <v>286</v>
      </c>
      <c r="B75" s="589" t="s">
        <v>879</v>
      </c>
      <c r="C75" s="478">
        <f>IFERROR('Energy balance'!C15*#REF!,0)</f>
        <v>0</v>
      </c>
      <c r="D75" s="478">
        <f>IFERROR('Energy balance'!D15*#REF!,0)</f>
        <v>0</v>
      </c>
      <c r="E75" s="478">
        <f>IFERROR('Energy balance'!E15*#REF!,0)</f>
        <v>0</v>
      </c>
      <c r="F75" s="477">
        <f>IFERROR(Raw_Data!G22,0)</f>
        <v>0</v>
      </c>
      <c r="G75" s="477">
        <f>IFERROR(Raw_Data!N22,0)</f>
        <v>0</v>
      </c>
      <c r="H75" s="477">
        <f>IFERROR(Raw_Data!U22,0)</f>
        <v>0</v>
      </c>
      <c r="I75" s="477">
        <f>IFERROR(Raw_Data!AB22,0)</f>
        <v>0</v>
      </c>
      <c r="J75" s="477">
        <f>IFERROR(Raw_Data!AI22,0)</f>
        <v>0</v>
      </c>
      <c r="K75" s="477">
        <f>IFERROR(Raw_Data!AP22,0)</f>
        <v>0</v>
      </c>
      <c r="L75" s="477">
        <f>IFERROR(Raw_Data!AW22,0)</f>
        <v>0</v>
      </c>
      <c r="M75" s="477">
        <f>IFERROR(Raw_Data!BD22,0)</f>
        <v>0</v>
      </c>
      <c r="N75" s="477">
        <f>IFERROR(Raw_Data!BK22,0)</f>
        <v>0</v>
      </c>
      <c r="O75" s="477">
        <f>IFERROR(Raw_Data!BR22,0)</f>
        <v>0</v>
      </c>
      <c r="P75">
        <f t="shared" si="12"/>
        <v>0</v>
      </c>
      <c r="Q75" s="646"/>
    </row>
    <row r="76" spans="1:17" ht="14">
      <c r="A76" s="106" t="s">
        <v>286</v>
      </c>
      <c r="B76" s="589" t="s">
        <v>79</v>
      </c>
      <c r="C76" s="478">
        <f>IFERROR('Energy balance'!C16*#REF!,0)</f>
        <v>0</v>
      </c>
      <c r="D76" s="478">
        <f>IFERROR('Energy balance'!D16*#REF!,0)</f>
        <v>0</v>
      </c>
      <c r="E76" s="478">
        <f>IFERROR('Energy balance'!E16*#REF!,0)</f>
        <v>0</v>
      </c>
      <c r="F76" s="477">
        <f>IFERROR(Raw_Data!G23,0)</f>
        <v>140283</v>
      </c>
      <c r="G76" s="477">
        <f>IFERROR(Raw_Data!N23,0)</f>
        <v>139168.07999999999</v>
      </c>
      <c r="H76" s="477">
        <f>IFERROR(Raw_Data!U23,0)</f>
        <v>140562</v>
      </c>
      <c r="I76" s="477">
        <f>IFERROR(Raw_Data!AB23,0)</f>
        <v>138429.565</v>
      </c>
      <c r="J76" s="477">
        <f>IFERROR(Raw_Data!AI23,0)</f>
        <v>134723.693</v>
      </c>
      <c r="K76" s="477">
        <f>IFERROR(Raw_Data!AP23,0)</f>
        <v>133825.734</v>
      </c>
      <c r="L76" s="477">
        <f>IFERROR(Raw_Data!AW23,0)</f>
        <v>138362.26699999999</v>
      </c>
      <c r="M76" s="477">
        <f>IFERROR(Raw_Data!BD23,0)</f>
        <v>138456.02499999999</v>
      </c>
      <c r="N76" s="477">
        <f>IFERROR(Raw_Data!BK23,0)</f>
        <v>139386.56400000001</v>
      </c>
      <c r="O76" s="477">
        <f>IFERROR(Raw_Data!BR23,0)</f>
        <v>141085.364</v>
      </c>
      <c r="P76">
        <f t="shared" si="12"/>
        <v>0.305697181233551</v>
      </c>
      <c r="Q76" s="646"/>
    </row>
    <row r="77" spans="1:17" ht="14">
      <c r="A77" s="106" t="s">
        <v>286</v>
      </c>
      <c r="B77" s="589" t="s">
        <v>219</v>
      </c>
      <c r="C77" s="478">
        <f>IFERROR('Energy balance'!C17*#REF!,0)</f>
        <v>0</v>
      </c>
      <c r="D77" s="478">
        <f>IFERROR('Energy balance'!D17*#REF!,0)</f>
        <v>0</v>
      </c>
      <c r="E77" s="478">
        <f>IFERROR('Energy balance'!E17*#REF!,0)</f>
        <v>0</v>
      </c>
      <c r="F77" s="477">
        <f>IFERROR(Raw_Data!G24,0)</f>
        <v>0</v>
      </c>
      <c r="G77" s="477">
        <f>IFERROR(Raw_Data!N24,0)</f>
        <v>0</v>
      </c>
      <c r="H77" s="477">
        <f>IFERROR(Raw_Data!U24,0)</f>
        <v>0</v>
      </c>
      <c r="I77" s="477">
        <f>IFERROR(Raw_Data!AB24,0)</f>
        <v>0</v>
      </c>
      <c r="J77" s="477">
        <f>IFERROR(Raw_Data!AI24,0)</f>
        <v>0</v>
      </c>
      <c r="K77" s="477">
        <f>IFERROR(Raw_Data!AP24,0)</f>
        <v>0</v>
      </c>
      <c r="L77" s="477">
        <f>IFERROR(Raw_Data!AW24,0)</f>
        <v>0</v>
      </c>
      <c r="M77" s="477">
        <f>IFERROR(Raw_Data!BD24,0)</f>
        <v>0</v>
      </c>
      <c r="N77" s="477">
        <f>IFERROR(Raw_Data!BK24,0)</f>
        <v>0</v>
      </c>
      <c r="O77" s="477">
        <f>IFERROR(Raw_Data!BR24,0)</f>
        <v>0</v>
      </c>
      <c r="P77">
        <f t="shared" si="12"/>
        <v>0</v>
      </c>
      <c r="Q77" s="646"/>
    </row>
    <row r="78" spans="1:17" ht="14">
      <c r="A78" s="106" t="s">
        <v>286</v>
      </c>
      <c r="B78" s="604" t="s">
        <v>920</v>
      </c>
      <c r="C78" s="478">
        <f>IFERROR('Energy balance'!C18*#REF!,0)</f>
        <v>0</v>
      </c>
      <c r="D78" s="478">
        <f>IFERROR('Energy balance'!D18*#REF!,0)</f>
        <v>0</v>
      </c>
      <c r="E78" s="479">
        <f>IFERROR('Energy balance'!E18*#REF!,0)</f>
        <v>0</v>
      </c>
      <c r="F78" s="479">
        <f>IFERROR('Energy balance'!F18*#REF!,0)</f>
        <v>0</v>
      </c>
      <c r="G78" s="479">
        <f>IFERROR('Energy balance'!G18*#REF!,0)</f>
        <v>0</v>
      </c>
      <c r="H78" s="479">
        <f>IFERROR('Energy balance'!H18*#REF!,0)</f>
        <v>0</v>
      </c>
      <c r="I78" s="480">
        <f>IFERROR('Energy balance'!I18*#REF!,0)</f>
        <v>0</v>
      </c>
      <c r="J78" s="480">
        <f>IFERROR('Energy balance'!J18*#REF!,0)</f>
        <v>0</v>
      </c>
      <c r="K78" s="480">
        <f>IFERROR('Energy balance'!K18*#REF!,0)</f>
        <v>0</v>
      </c>
      <c r="L78" s="480">
        <f>IFERROR('Energy balance'!L18*#REF!,0)</f>
        <v>0</v>
      </c>
      <c r="M78" s="477">
        <f>IFERROR(Raw_Data!BD25,0)</f>
        <v>0</v>
      </c>
      <c r="N78" s="482">
        <f>IFERROR('Energy balance'!N18*#REF!,0)</f>
        <v>0</v>
      </c>
      <c r="O78" s="482">
        <f>IFERROR('Energy balance'!O18*#REF!,0)</f>
        <v>0</v>
      </c>
      <c r="P78">
        <f t="shared" si="12"/>
        <v>0</v>
      </c>
      <c r="Q78" s="649"/>
    </row>
    <row r="79" spans="1:17" ht="14">
      <c r="A79" s="106" t="s">
        <v>286</v>
      </c>
      <c r="B79" s="604" t="s">
        <v>921</v>
      </c>
      <c r="C79" s="478">
        <f>IFERROR('Energy balance'!C19*#REF!,0)</f>
        <v>0</v>
      </c>
      <c r="D79" s="478">
        <f>IFERROR('Energy balance'!D19*#REF!,0)</f>
        <v>0</v>
      </c>
      <c r="E79" s="478">
        <f>IFERROR('Energy balance'!E19*#REF!,0)</f>
        <v>0</v>
      </c>
      <c r="F79" s="478">
        <f>IFERROR('Energy balance'!F19*#REF!,0)</f>
        <v>0</v>
      </c>
      <c r="G79" s="478">
        <f>IFERROR('Energy balance'!G19*#REF!,0)</f>
        <v>0</v>
      </c>
      <c r="H79" s="478">
        <f>IFERROR('Energy balance'!H19*#REF!,0)</f>
        <v>0</v>
      </c>
      <c r="I79" s="480">
        <f>IFERROR('Energy balance'!I19*#REF!,0)</f>
        <v>0</v>
      </c>
      <c r="J79" s="480">
        <f>IFERROR('Energy balance'!J19*#REF!,0)</f>
        <v>0</v>
      </c>
      <c r="K79" s="480">
        <f>IFERROR('Energy balance'!K19*#REF!,0)</f>
        <v>0</v>
      </c>
      <c r="L79" s="480">
        <f>IFERROR('Energy balance'!L19*#REF!,0)</f>
        <v>0</v>
      </c>
      <c r="M79" s="483">
        <f>IFERROR('Energy balance'!M19*#REF!,0)</f>
        <v>0</v>
      </c>
      <c r="N79" s="484">
        <f>IFERROR('Energy balance'!N19*#REF!,0)</f>
        <v>0</v>
      </c>
      <c r="O79" s="484">
        <f>IFERROR('Energy balance'!O19*#REF!,0)</f>
        <v>0</v>
      </c>
      <c r="P79">
        <f t="shared" si="12"/>
        <v>0</v>
      </c>
      <c r="Q79" s="649"/>
    </row>
    <row r="80" spans="1:17" ht="14">
      <c r="A80" s="106" t="s">
        <v>286</v>
      </c>
      <c r="B80" s="589" t="s">
        <v>883</v>
      </c>
      <c r="C80" s="479">
        <f>IFERROR('Energy balance'!C11*#REF!,0)</f>
        <v>0</v>
      </c>
      <c r="D80" s="479">
        <f>IFERROR('Energy balance'!D11*#REF!,0)</f>
        <v>0</v>
      </c>
      <c r="E80" s="479">
        <f>IFERROR('Energy balance'!E11*#REF!,0)</f>
        <v>0</v>
      </c>
      <c r="F80" s="477">
        <f>IFERROR(Raw_Data!G18,0)</f>
        <v>7200</v>
      </c>
      <c r="G80" s="477">
        <f>IFERROR(Raw_Data!N18,0)</f>
        <v>7328</v>
      </c>
      <c r="H80" s="477">
        <f>IFERROR(Raw_Data!U18,0)</f>
        <v>7808</v>
      </c>
      <c r="I80" s="477">
        <f>IFERROR(Raw_Data!AB18,0)</f>
        <v>7520</v>
      </c>
      <c r="J80" s="477">
        <f>IFERROR(Raw_Data!AI18,0)</f>
        <v>7360</v>
      </c>
      <c r="K80" s="477">
        <f>IFERROR(Raw_Data!AP18,0)</f>
        <v>7488</v>
      </c>
      <c r="L80" s="477">
        <f>IFERROR(Raw_Data!AW18,0)</f>
        <v>6624</v>
      </c>
      <c r="M80" s="477">
        <f>IFERROR(Raw_Data!BD18,0)</f>
        <v>7008</v>
      </c>
      <c r="N80" s="477">
        <f>IFERROR(Raw_Data!BK18,0)</f>
        <v>7328</v>
      </c>
      <c r="O80" s="477">
        <f>IFERROR(Raw_Data!BR18,0)</f>
        <v>6848</v>
      </c>
      <c r="P80">
        <f t="shared" si="12"/>
        <v>1.9728458397460666E-2</v>
      </c>
      <c r="Q80" s="646"/>
    </row>
    <row r="81" spans="1:17" ht="14">
      <c r="A81" s="106" t="s">
        <v>286</v>
      </c>
      <c r="B81" s="314"/>
      <c r="C81" s="485">
        <f>IFERROR('Energy balance'!C20*#REF!,0)</f>
        <v>0</v>
      </c>
      <c r="D81" s="478">
        <f>IFERROR('Energy balance'!D20*#REF!,0)</f>
        <v>0</v>
      </c>
      <c r="E81" s="478">
        <f>IFERROR('Energy balance'!E20*#REF!,0)</f>
        <v>0</v>
      </c>
      <c r="F81" s="478">
        <f>IFERROR('Energy balance'!F20*#REF!,0)</f>
        <v>0</v>
      </c>
      <c r="G81" s="480">
        <f>IFERROR('Energy balance'!G20*#REF!,0)</f>
        <v>0</v>
      </c>
      <c r="H81" s="480">
        <f>IFERROR('Energy balance'!H20*#REF!,0)</f>
        <v>0</v>
      </c>
      <c r="I81" s="480">
        <f>IFERROR('Energy balance'!I20*#REF!,0)</f>
        <v>0</v>
      </c>
      <c r="J81" s="480">
        <f>IFERROR('Energy balance'!J20*#REF!,0)</f>
        <v>0</v>
      </c>
      <c r="K81" s="480">
        <f>IFERROR('Energy balance'!K20*#REF!,0)</f>
        <v>0</v>
      </c>
      <c r="L81" s="480">
        <f>IFERROR('Energy balance'!L20*#REF!,0)</f>
        <v>0</v>
      </c>
      <c r="M81" s="481">
        <f>IFERROR('Energy balance'!M20*#REF!,0)</f>
        <v>0</v>
      </c>
      <c r="N81" s="482">
        <f>IFERROR('Energy balance'!N20*#REF!,0)</f>
        <v>0</v>
      </c>
      <c r="O81" s="482">
        <f>IFERROR('Energy balance'!O20*#REF!,0)</f>
        <v>0</v>
      </c>
      <c r="Q81" s="646"/>
    </row>
    <row r="82" spans="1:17" ht="14">
      <c r="A82" s="106" t="s">
        <v>286</v>
      </c>
      <c r="B82" s="314"/>
      <c r="C82" s="478">
        <f>IFERROR('Energy balance'!C21*#REF!,0)</f>
        <v>0</v>
      </c>
      <c r="D82" s="478">
        <f>IFERROR('Energy balance'!D21*#REF!,0)</f>
        <v>0</v>
      </c>
      <c r="E82" s="479">
        <f>IFERROR('Energy balance'!E21*#REF!,0)</f>
        <v>0</v>
      </c>
      <c r="F82" s="479">
        <f>IFERROR('Energy balance'!F21*#REF!,0)</f>
        <v>0</v>
      </c>
      <c r="G82" s="479">
        <f>IFERROR('Energy balance'!G21*#REF!,0)</f>
        <v>0</v>
      </c>
      <c r="H82" s="479">
        <f>IFERROR('Energy balance'!H21*#REF!,0)</f>
        <v>0</v>
      </c>
      <c r="I82" s="480">
        <f>IFERROR('Energy balance'!I21*#REF!,0)</f>
        <v>0</v>
      </c>
      <c r="J82" s="480">
        <f>IFERROR('Energy balance'!J21*#REF!,0)</f>
        <v>0</v>
      </c>
      <c r="K82" s="480">
        <f>IFERROR('Energy balance'!K21*#REF!,0)</f>
        <v>0</v>
      </c>
      <c r="L82" s="480">
        <f>IFERROR('Energy balance'!L21*#REF!,0)</f>
        <v>0</v>
      </c>
      <c r="M82" s="481">
        <f>IFERROR('Energy balance'!M21*#REF!,0)</f>
        <v>0</v>
      </c>
      <c r="N82" s="482">
        <f>IFERROR('Energy balance'!N21*#REF!,0)</f>
        <v>0</v>
      </c>
      <c r="O82" s="482">
        <f>IFERROR('Energy balance'!O21*#REF!,0)</f>
        <v>0</v>
      </c>
    </row>
    <row r="83" spans="1:17" ht="14.5" thickBot="1">
      <c r="A83" s="106" t="s">
        <v>286</v>
      </c>
      <c r="B83" s="326"/>
      <c r="C83" s="486">
        <f>IFERROR('Energy balance'!C22*#REF!,0)</f>
        <v>0</v>
      </c>
      <c r="D83" s="486">
        <f>IFERROR('Energy balance'!D22*#REF!,0)</f>
        <v>0</v>
      </c>
      <c r="E83" s="486">
        <f>IFERROR('Energy balance'!E22*#REF!,0)</f>
        <v>0</v>
      </c>
      <c r="F83" s="486">
        <f>IFERROR('Energy balance'!F22*#REF!,0)</f>
        <v>0</v>
      </c>
      <c r="G83" s="486">
        <f>IFERROR('Energy balance'!G22*#REF!,0)</f>
        <v>0</v>
      </c>
      <c r="H83" s="486">
        <f>IFERROR('Energy balance'!H22*#REF!,0)</f>
        <v>0</v>
      </c>
      <c r="I83" s="486">
        <f>IFERROR('Energy balance'!I22*#REF!,0)</f>
        <v>0</v>
      </c>
      <c r="J83" s="486">
        <f>IFERROR('Energy balance'!J22*#REF!,0)</f>
        <v>0</v>
      </c>
      <c r="K83" s="486">
        <f>IFERROR('Energy balance'!K22*#REF!,0)</f>
        <v>0</v>
      </c>
      <c r="L83" s="486">
        <f>IFERROR('Energy balance'!L22*#REF!,0)</f>
        <v>0</v>
      </c>
      <c r="M83" s="487">
        <f>IFERROR('Energy balance'!M22*#REF!,0)</f>
        <v>0</v>
      </c>
      <c r="N83" s="488">
        <f>IFERROR('Energy balance'!N22*#REF!,0)</f>
        <v>0</v>
      </c>
      <c r="O83" s="488">
        <f>IFERROR('Energy balance'!O22*#REF!,0)</f>
        <v>0</v>
      </c>
    </row>
    <row r="84" spans="1:17" ht="14">
      <c r="B84" s="363" t="s">
        <v>106</v>
      </c>
      <c r="C84" s="364">
        <f t="shared" ref="C84:O84" si="13">SUM(C66:C83)</f>
        <v>0</v>
      </c>
      <c r="D84" s="364">
        <f t="shared" si="13"/>
        <v>0</v>
      </c>
      <c r="E84" s="364">
        <f t="shared" si="13"/>
        <v>0</v>
      </c>
      <c r="F84" s="364">
        <f t="shared" si="13"/>
        <v>149921.71299999999</v>
      </c>
      <c r="G84" s="364">
        <f t="shared" si="13"/>
        <v>149804.98799999998</v>
      </c>
      <c r="H84" s="364">
        <f t="shared" si="13"/>
        <v>151990.538</v>
      </c>
      <c r="I84" s="364">
        <f t="shared" si="13"/>
        <v>150021.647</v>
      </c>
      <c r="J84" s="364">
        <f t="shared" si="13"/>
        <v>145727.82500000001</v>
      </c>
      <c r="K84" s="364">
        <f t="shared" si="13"/>
        <v>144958.19</v>
      </c>
      <c r="L84" s="364">
        <f t="shared" si="13"/>
        <v>148407.723</v>
      </c>
      <c r="M84" s="364">
        <f t="shared" si="13"/>
        <v>149081.122</v>
      </c>
      <c r="N84" s="364">
        <f t="shared" si="13"/>
        <v>150605.69900000002</v>
      </c>
      <c r="O84" s="364">
        <f t="shared" si="13"/>
        <v>152303.18100000001</v>
      </c>
    </row>
    <row r="86" spans="1:17" ht="16" thickBot="1">
      <c r="B86" s="357" t="s">
        <v>919</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294</v>
      </c>
      <c r="B88" s="589" t="s">
        <v>887</v>
      </c>
      <c r="C88" s="477">
        <f>IFERROR('Energy balance'!C5*#REF!,0)</f>
        <v>0</v>
      </c>
      <c r="D88" s="477">
        <f>IFERROR('Energy balance'!D5*#REF!,0)</f>
        <v>0</v>
      </c>
      <c r="E88" s="477">
        <f>IFERROR('Energy balance'!E5*#REF!,0)</f>
        <v>0</v>
      </c>
      <c r="F88" s="597">
        <f>(IFERROR(Raw_Data!H12,0))+(IFERROR(Raw_Data!I12,0))</f>
        <v>0</v>
      </c>
      <c r="G88" s="597">
        <f>(IFERROR(Raw_Data!IO12,0))+(IFERROR(Raw_Data!P12,0))</f>
        <v>0</v>
      </c>
      <c r="H88" s="597">
        <f>(IFERROR(Raw_Data!V12,0))+(IFERROR(Raw_Data!W12,0))</f>
        <v>0</v>
      </c>
      <c r="I88" s="597">
        <f>(IFERROR(Raw_Data!AC12,0))+(IFERROR(Raw_Data!AD12,0))</f>
        <v>0</v>
      </c>
      <c r="J88" s="597">
        <f>(IFERROR(Raw_Data!AJ12,0))+(IFERROR(Raw_Data!AK12,0))</f>
        <v>0</v>
      </c>
      <c r="K88" s="597">
        <f>(IFERROR(Raw_Data!AQ12,0))+(IFERROR(Raw_Data!AR12,0))</f>
        <v>0</v>
      </c>
      <c r="L88" s="597">
        <f>(IFERROR(Raw_Data!AX12,0))+(IFERROR(Raw_Data!AY12,0))</f>
        <v>0</v>
      </c>
      <c r="M88" s="597">
        <f>(IFERROR(Raw_Data!BE12,0))+(IFERROR(Raw_Data!BF12,0))</f>
        <v>0</v>
      </c>
      <c r="N88" s="597">
        <f>(IFERROR(Raw_Data!BL12,0))+(IFERROR(Raw_Data!BM12,0))</f>
        <v>0</v>
      </c>
      <c r="O88" s="597">
        <f>(IFERROR(Raw_Data!BS12,0))+(IFERROR(Raw_Data!BT12,0))</f>
        <v>0</v>
      </c>
      <c r="P88">
        <f>O88/(O110+O88+O66+O44+O23)</f>
        <v>0</v>
      </c>
    </row>
    <row r="89" spans="1:17" ht="14">
      <c r="A89" s="106" t="s">
        <v>294</v>
      </c>
      <c r="B89" s="589" t="s">
        <v>80</v>
      </c>
      <c r="C89" s="478">
        <f>IFERROR('Energy balance'!C6*#REF!,0)</f>
        <v>0</v>
      </c>
      <c r="D89" s="478">
        <f>IFERROR('Energy balance'!D6*#REF!,0)</f>
        <v>0</v>
      </c>
      <c r="E89" s="478">
        <f>IFERROR('Energy balance'!E6*#REF!,0)</f>
        <v>0</v>
      </c>
      <c r="F89" s="596">
        <f>(IFERROR(Raw_Data!H13,0))+(IFERROR(Raw_Data!I13,0))</f>
        <v>0</v>
      </c>
      <c r="G89" s="597">
        <f>(IFERROR(Raw_Data!IO13,0))+(IFERROR(Raw_Data!P13,0))</f>
        <v>0</v>
      </c>
      <c r="H89" s="597">
        <f>(IFERROR(Raw_Data!V13,0))+(IFERROR(Raw_Data!W13,0))</f>
        <v>0</v>
      </c>
      <c r="I89" s="597">
        <f>(IFERROR(Raw_Data!AC13,0))+(IFERROR(Raw_Data!AD13,0))</f>
        <v>0</v>
      </c>
      <c r="J89" s="597">
        <f>(IFERROR(Raw_Data!AJ13,0))+(IFERROR(Raw_Data!AK13,0))</f>
        <v>0</v>
      </c>
      <c r="K89" s="597">
        <f>(IFERROR(Raw_Data!AQ13,0))+(IFERROR(Raw_Data!AR13,0))</f>
        <v>0</v>
      </c>
      <c r="L89" s="597">
        <f>(IFERROR(Raw_Data!AX13,0))+(IFERROR(Raw_Data!AY13,0))</f>
        <v>0</v>
      </c>
      <c r="M89" s="597">
        <f>(IFERROR(Raw_Data!BE13,0))+(IFERROR(Raw_Data!BF13,0))</f>
        <v>0</v>
      </c>
      <c r="N89" s="597">
        <f>(IFERROR(Raw_Data!BL13,0))+(IFERROR(Raw_Data!BM13,0))</f>
        <v>0</v>
      </c>
      <c r="O89" s="597">
        <f>(IFERROR(Raw_Data!BS13,0))+(IFERROR(Raw_Data!BT13,0))</f>
        <v>0</v>
      </c>
      <c r="P89">
        <f t="shared" ref="P89:P102" si="14">O89/(O111+O89+O67+O45+O24)</f>
        <v>0</v>
      </c>
    </row>
    <row r="90" spans="1:17" ht="14">
      <c r="A90" s="106" t="s">
        <v>294</v>
      </c>
      <c r="B90" s="589" t="s">
        <v>886</v>
      </c>
      <c r="C90" s="478">
        <f>IFERROR('Energy balance'!C7*#REF!,0)</f>
        <v>0</v>
      </c>
      <c r="D90" s="478">
        <f>IFERROR('Energy balance'!D7*#REF!,0)</f>
        <v>0</v>
      </c>
      <c r="E90" s="478">
        <f>IFERROR('Energy balance'!E7*#REF!,0)</f>
        <v>0</v>
      </c>
      <c r="F90" s="596">
        <f>(IFERROR(Raw_Data!H14,0))+(IFERROR(Raw_Data!I14,0))</f>
        <v>0</v>
      </c>
      <c r="G90" s="597">
        <f>(IFERROR(Raw_Data!IO14,0))+(IFERROR(Raw_Data!P14,0))</f>
        <v>0</v>
      </c>
      <c r="H90" s="597">
        <f>(IFERROR(Raw_Data!V14,0))+(IFERROR(Raw_Data!W14,0))</f>
        <v>0</v>
      </c>
      <c r="I90" s="597">
        <f>(IFERROR(Raw_Data!AC14,0))+(IFERROR(Raw_Data!AD14,0))</f>
        <v>0</v>
      </c>
      <c r="J90" s="597">
        <f>(IFERROR(Raw_Data!AJ14,0))+(IFERROR(Raw_Data!AK14,0))</f>
        <v>0</v>
      </c>
      <c r="K90" s="597">
        <f>(IFERROR(Raw_Data!AQ14,0))+(IFERROR(Raw_Data!AR14,0))</f>
        <v>0</v>
      </c>
      <c r="L90" s="597">
        <f>(IFERROR(Raw_Data!AX14,0))+(IFERROR(Raw_Data!AY14,0))</f>
        <v>0</v>
      </c>
      <c r="M90" s="597">
        <f>(IFERROR(Raw_Data!BE14,0))+(IFERROR(Raw_Data!BF14,0))</f>
        <v>0</v>
      </c>
      <c r="N90" s="597">
        <f>(IFERROR(Raw_Data!BL14,0))+(IFERROR(Raw_Data!BM14,0))</f>
        <v>0</v>
      </c>
      <c r="O90" s="597">
        <f>(IFERROR(Raw_Data!BS14,0))+(IFERROR(Raw_Data!BT14,0))</f>
        <v>0</v>
      </c>
      <c r="P90">
        <f t="shared" si="14"/>
        <v>0</v>
      </c>
    </row>
    <row r="91" spans="1:17" ht="14">
      <c r="A91" s="106" t="s">
        <v>294</v>
      </c>
      <c r="B91" s="589" t="s">
        <v>885</v>
      </c>
      <c r="C91" s="479">
        <f>IFERROR('Energy balance'!C8*#REF!,0)</f>
        <v>0</v>
      </c>
      <c r="D91" s="479">
        <f>IFERROR('Energy balance'!D8*#REF!,0)</f>
        <v>0</v>
      </c>
      <c r="E91" s="479">
        <f>IFERROR('Energy balance'!E8*#REF!,0)</f>
        <v>0</v>
      </c>
      <c r="F91" s="596">
        <f>(IFERROR(Raw_Data!H15,0))+(IFERROR(Raw_Data!I15,0))</f>
        <v>4556.4889999999996</v>
      </c>
      <c r="G91" s="597">
        <f>(IFERROR(Raw_Data!IO15,0))+(IFERROR(Raw_Data!P15,0))</f>
        <v>4515.51</v>
      </c>
      <c r="H91" s="597">
        <f>(IFERROR(Raw_Data!V15,0))+(IFERROR(Raw_Data!W15,0))</f>
        <v>4426.3450000000003</v>
      </c>
      <c r="I91" s="597">
        <f>(IFERROR(Raw_Data!AC15,0))+(IFERROR(Raw_Data!AD15,0))</f>
        <v>4427.9210000000003</v>
      </c>
      <c r="J91" s="597">
        <f>(IFERROR(Raw_Data!AJ15,0))+(IFERROR(Raw_Data!AK15,0))</f>
        <v>4481.7510000000002</v>
      </c>
      <c r="K91" s="597">
        <f>(IFERROR(Raw_Data!AQ15,0))+(IFERROR(Raw_Data!AR15,0))</f>
        <v>4383.0020000000004</v>
      </c>
      <c r="L91" s="597">
        <f>(IFERROR(Raw_Data!AX15,0))+(IFERROR(Raw_Data!AY15,0))</f>
        <v>4540.9650000000001</v>
      </c>
      <c r="M91" s="597">
        <f>(IFERROR(Raw_Data!BE15,0))+(IFERROR(Raw_Data!BF15,0))</f>
        <v>4282.3990000000003</v>
      </c>
      <c r="N91" s="597">
        <f>(IFERROR(Raw_Data!BL15,0))+(IFERROR(Raw_Data!BM15,0))</f>
        <v>4583.0569999999998</v>
      </c>
      <c r="O91" s="597">
        <f>(IFERROR(Raw_Data!BS15,0))+(IFERROR(Raw_Data!BT15,0))</f>
        <v>4539.8119999999999</v>
      </c>
      <c r="P91">
        <f t="shared" si="14"/>
        <v>9.1552939325786151E-3</v>
      </c>
    </row>
    <row r="92" spans="1:17" ht="14">
      <c r="A92" s="106" t="s">
        <v>294</v>
      </c>
      <c r="B92" s="589" t="s">
        <v>212</v>
      </c>
      <c r="C92" s="479">
        <f>IFERROR('Energy balance'!C9*#REF!,0)</f>
        <v>0</v>
      </c>
      <c r="D92" s="479">
        <f>IFERROR('Energy balance'!D9*#REF!,0)</f>
        <v>0</v>
      </c>
      <c r="E92" s="479">
        <f>IFERROR('Energy balance'!E9*#REF!,0)</f>
        <v>0</v>
      </c>
      <c r="F92" s="596">
        <f>(IFERROR(Raw_Data!H16,0))+(IFERROR(Raw_Data!I16,0))</f>
        <v>256.8</v>
      </c>
      <c r="G92" s="597">
        <f>(IFERROR(Raw_Data!IO16,0))+(IFERROR(Raw_Data!P16,0))</f>
        <v>214</v>
      </c>
      <c r="H92" s="597">
        <f>(IFERROR(Raw_Data!V16,0))+(IFERROR(Raw_Data!W16,0))</f>
        <v>128.4</v>
      </c>
      <c r="I92" s="597">
        <f>(IFERROR(Raw_Data!AC16,0))+(IFERROR(Raw_Data!AD16,0))</f>
        <v>128.4</v>
      </c>
      <c r="J92" s="597">
        <f>(IFERROR(Raw_Data!AJ16,0))+(IFERROR(Raw_Data!AK16,0))</f>
        <v>85.6</v>
      </c>
      <c r="K92" s="597">
        <f>(IFERROR(Raw_Data!AQ16,0))+(IFERROR(Raw_Data!AR16,0))</f>
        <v>128.4</v>
      </c>
      <c r="L92" s="597">
        <f>(IFERROR(Raw_Data!AX16,0))+(IFERROR(Raw_Data!AY16,0))</f>
        <v>256.8</v>
      </c>
      <c r="M92" s="597">
        <f>(IFERROR(Raw_Data!BE16,0))+(IFERROR(Raw_Data!BF16,0))</f>
        <v>0</v>
      </c>
      <c r="N92" s="597">
        <f>(IFERROR(Raw_Data!BL16,0))+(IFERROR(Raw_Data!BM16,0))</f>
        <v>299.60000000000002</v>
      </c>
      <c r="O92" s="597">
        <f>(IFERROR(Raw_Data!BS16,0))+(IFERROR(Raw_Data!BT16,0))</f>
        <v>256.8</v>
      </c>
      <c r="P92">
        <f t="shared" si="14"/>
        <v>1</v>
      </c>
    </row>
    <row r="93" spans="1:17" ht="14">
      <c r="A93" s="106" t="s">
        <v>294</v>
      </c>
      <c r="B93" s="589" t="s">
        <v>884</v>
      </c>
      <c r="C93" s="479">
        <f>IFERROR('Energy balance'!C10*$Q93,0)</f>
        <v>0</v>
      </c>
      <c r="D93" s="479">
        <f>IFERROR('Energy balance'!D10*$Q93,0)</f>
        <v>0</v>
      </c>
      <c r="E93" s="479">
        <f>IFERROR('Energy balance'!E10*$Q93,0)</f>
        <v>0</v>
      </c>
      <c r="F93" s="596">
        <f>(IFERROR(Raw_Data!H17,0))+(IFERROR(Raw_Data!I17,0))</f>
        <v>0</v>
      </c>
      <c r="G93" s="597">
        <f>(IFERROR(Raw_Data!IO17,0))+(IFERROR(Raw_Data!P17,0))</f>
        <v>0</v>
      </c>
      <c r="H93" s="597">
        <f>(IFERROR(Raw_Data!V17,0))+(IFERROR(Raw_Data!W17,0))</f>
        <v>0</v>
      </c>
      <c r="I93" s="597">
        <f>(IFERROR(Raw_Data!AC17,0))+(IFERROR(Raw_Data!AD17,0))</f>
        <v>0</v>
      </c>
      <c r="J93" s="597">
        <f>(IFERROR(Raw_Data!AJ17,0))+(IFERROR(Raw_Data!AK17,0))</f>
        <v>0</v>
      </c>
      <c r="K93" s="597">
        <f>(IFERROR(Raw_Data!AQ17,0))+(IFERROR(Raw_Data!AR17,0))</f>
        <v>0</v>
      </c>
      <c r="L93" s="597">
        <f>(IFERROR(Raw_Data!AX17,0))+(IFERROR(Raw_Data!AY17,0))</f>
        <v>0</v>
      </c>
      <c r="M93" s="597">
        <f>(IFERROR(Raw_Data!BE17,0))+(IFERROR(Raw_Data!BF17,0))</f>
        <v>0</v>
      </c>
      <c r="N93" s="597">
        <f>(IFERROR(Raw_Data!BL17,0))+(IFERROR(Raw_Data!BM17,0))</f>
        <v>0</v>
      </c>
      <c r="O93" s="597">
        <f>(IFERROR(Raw_Data!BS17,0))+(IFERROR(Raw_Data!BT17,0))</f>
        <v>0</v>
      </c>
      <c r="P93">
        <f t="shared" si="14"/>
        <v>0</v>
      </c>
      <c r="Q93" s="106"/>
    </row>
    <row r="94" spans="1:17" ht="14">
      <c r="A94" s="106" t="s">
        <v>294</v>
      </c>
      <c r="B94" s="589" t="s">
        <v>882</v>
      </c>
      <c r="C94" s="479">
        <f>IFERROR('Energy balance'!C12*$Q94,0)</f>
        <v>0</v>
      </c>
      <c r="D94" s="479">
        <f>IFERROR('Energy balance'!D12*$Q94,0)</f>
        <v>0</v>
      </c>
      <c r="E94" s="479">
        <f>IFERROR('Energy balance'!E12*$Q94,0)</f>
        <v>0</v>
      </c>
      <c r="F94" s="596">
        <f>(IFERROR(Raw_Data!H19,0))+(IFERROR(Raw_Data!I19,0))</f>
        <v>0</v>
      </c>
      <c r="G94" s="597">
        <f>(IFERROR(Raw_Data!IO19,0))+(IFERROR(Raw_Data!P19,0))</f>
        <v>0</v>
      </c>
      <c r="H94" s="597">
        <f>(IFERROR(Raw_Data!V19,0))+(IFERROR(Raw_Data!W19,0))</f>
        <v>0</v>
      </c>
      <c r="I94" s="597">
        <f>(IFERROR(Raw_Data!AC19,0))+(IFERROR(Raw_Data!AD19,0))</f>
        <v>0</v>
      </c>
      <c r="J94" s="597">
        <f>(IFERROR(Raw_Data!AJ19,0))+(IFERROR(Raw_Data!AK19,0))</f>
        <v>0</v>
      </c>
      <c r="K94" s="597">
        <f>(IFERROR(Raw_Data!AQ19,0))+(IFERROR(Raw_Data!AR19,0))</f>
        <v>0</v>
      </c>
      <c r="L94" s="597">
        <f>(IFERROR(Raw_Data!AX19,0))+(IFERROR(Raw_Data!AY19,0))</f>
        <v>0</v>
      </c>
      <c r="M94" s="597">
        <f>(IFERROR(Raw_Data!BE19,0))+(IFERROR(Raw_Data!BF19,0))</f>
        <v>0</v>
      </c>
      <c r="N94" s="597">
        <f>(IFERROR(Raw_Data!BL19,0))+(IFERROR(Raw_Data!BM19,0))</f>
        <v>0</v>
      </c>
      <c r="O94" s="597">
        <f>(IFERROR(Raw_Data!BS19,0))+(IFERROR(Raw_Data!BT19,0))</f>
        <v>0</v>
      </c>
      <c r="P94">
        <f t="shared" si="14"/>
        <v>0</v>
      </c>
      <c r="Q94" s="106"/>
    </row>
    <row r="95" spans="1:17" ht="14">
      <c r="A95" s="106" t="s">
        <v>294</v>
      </c>
      <c r="B95" s="589" t="s">
        <v>881</v>
      </c>
      <c r="C95" s="478">
        <f>IFERROR('Energy balance'!C13*$Q95,0)</f>
        <v>0</v>
      </c>
      <c r="D95" s="478">
        <f>IFERROR('Energy balance'!D13*$Q95,0)</f>
        <v>0</v>
      </c>
      <c r="E95" s="478">
        <f>IFERROR('Energy balance'!E13*$Q95,0)</f>
        <v>0</v>
      </c>
      <c r="F95" s="596">
        <f>(IFERROR(Raw_Data!H20,0))+(IFERROR(Raw_Data!I20,0))</f>
        <v>0</v>
      </c>
      <c r="G95" s="597">
        <f>(IFERROR(Raw_Data!IO20,0))+(IFERROR(Raw_Data!P20,0))</f>
        <v>0</v>
      </c>
      <c r="H95" s="597">
        <f>(IFERROR(Raw_Data!V20,0))+(IFERROR(Raw_Data!W20,0))</f>
        <v>0</v>
      </c>
      <c r="I95" s="597">
        <f>(IFERROR(Raw_Data!AC20,0))+(IFERROR(Raw_Data!AD20,0))</f>
        <v>0</v>
      </c>
      <c r="J95" s="597">
        <f>(IFERROR(Raw_Data!AJ20,0))+(IFERROR(Raw_Data!AK20,0))</f>
        <v>0</v>
      </c>
      <c r="K95" s="597">
        <f>(IFERROR(Raw_Data!AQ20,0))+(IFERROR(Raw_Data!AR20,0))</f>
        <v>0</v>
      </c>
      <c r="L95" s="597">
        <f>(IFERROR(Raw_Data!AX20,0))+(IFERROR(Raw_Data!AY20,0))</f>
        <v>0</v>
      </c>
      <c r="M95" s="597">
        <f>(IFERROR(Raw_Data!BE20,0))+(IFERROR(Raw_Data!BF20,0))</f>
        <v>0</v>
      </c>
      <c r="N95" s="597">
        <f>(IFERROR(Raw_Data!BL20,0))+(IFERROR(Raw_Data!BM20,0))</f>
        <v>0</v>
      </c>
      <c r="O95" s="597">
        <f>(IFERROR(Raw_Data!BS20,0))+(IFERROR(Raw_Data!BT20,0))</f>
        <v>0</v>
      </c>
      <c r="P95">
        <f t="shared" si="14"/>
        <v>0</v>
      </c>
      <c r="Q95" s="106"/>
    </row>
    <row r="96" spans="1:17" ht="14">
      <c r="A96" s="106" t="s">
        <v>294</v>
      </c>
      <c r="B96" s="589" t="s">
        <v>880</v>
      </c>
      <c r="C96" s="478">
        <f>IFERROR('Energy balance'!C14*$Q96,0)</f>
        <v>0</v>
      </c>
      <c r="D96" s="478">
        <f>IFERROR('Energy balance'!D14*$Q96,0)</f>
        <v>0</v>
      </c>
      <c r="E96" s="478">
        <f>IFERROR('Energy balance'!E14*$Q96,0)</f>
        <v>0</v>
      </c>
      <c r="F96" s="596">
        <f>(IFERROR(Raw_Data!H21,0))+(IFERROR(Raw_Data!I21,0))</f>
        <v>0</v>
      </c>
      <c r="G96" s="597">
        <f>(IFERROR(Raw_Data!IO21,0))+(IFERROR(Raw_Data!P21,0))</f>
        <v>0</v>
      </c>
      <c r="H96" s="597">
        <f>(IFERROR(Raw_Data!V21,0))+(IFERROR(Raw_Data!W21,0))</f>
        <v>0</v>
      </c>
      <c r="I96" s="597">
        <f>(IFERROR(Raw_Data!AC21,0))+(IFERROR(Raw_Data!AD21,0))</f>
        <v>0</v>
      </c>
      <c r="J96" s="597">
        <f>(IFERROR(Raw_Data!AJ21,0))+(IFERROR(Raw_Data!AK21,0))</f>
        <v>0</v>
      </c>
      <c r="K96" s="597">
        <f>(IFERROR(Raw_Data!AQ21,0))+(IFERROR(Raw_Data!AR21,0))</f>
        <v>0</v>
      </c>
      <c r="L96" s="597">
        <f>(IFERROR(Raw_Data!AX21,0))+(IFERROR(Raw_Data!AY21,0))</f>
        <v>0</v>
      </c>
      <c r="M96" s="597">
        <f>(IFERROR(Raw_Data!BE21,0))+(IFERROR(Raw_Data!BF21,0))</f>
        <v>0</v>
      </c>
      <c r="N96" s="597">
        <f>(IFERROR(Raw_Data!BL21,0))+(IFERROR(Raw_Data!BM21,0))</f>
        <v>0</v>
      </c>
      <c r="O96" s="597">
        <f>(IFERROR(Raw_Data!BS21,0))+(IFERROR(Raw_Data!BT21,0))</f>
        <v>0</v>
      </c>
      <c r="P96">
        <f t="shared" si="14"/>
        <v>0</v>
      </c>
      <c r="Q96" s="106"/>
    </row>
    <row r="97" spans="1:17" ht="14">
      <c r="A97" s="106" t="s">
        <v>294</v>
      </c>
      <c r="B97" s="589" t="s">
        <v>879</v>
      </c>
      <c r="C97" s="478">
        <f>IFERROR('Energy balance'!C15*$Q97,0)</f>
        <v>0</v>
      </c>
      <c r="D97" s="478">
        <f>IFERROR('Energy balance'!D15*$Q97,0)</f>
        <v>0</v>
      </c>
      <c r="E97" s="478">
        <f>IFERROR('Energy balance'!E15*$Q97,0)</f>
        <v>0</v>
      </c>
      <c r="F97" s="596">
        <f>(IFERROR(Raw_Data!H22,0))+(IFERROR(Raw_Data!I22,0))</f>
        <v>0</v>
      </c>
      <c r="G97" s="597">
        <f>(IFERROR(Raw_Data!IO22,0))+(IFERROR(Raw_Data!P22,0))</f>
        <v>0</v>
      </c>
      <c r="H97" s="597">
        <f>(IFERROR(Raw_Data!V22,0))+(IFERROR(Raw_Data!W22,0))</f>
        <v>0</v>
      </c>
      <c r="I97" s="597">
        <f>(IFERROR(Raw_Data!AC22,0))+(IFERROR(Raw_Data!AD22,0))</f>
        <v>0</v>
      </c>
      <c r="J97" s="597">
        <f>(IFERROR(Raw_Data!AJ22,0))+(IFERROR(Raw_Data!AK22,0))</f>
        <v>0</v>
      </c>
      <c r="K97" s="597">
        <f>(IFERROR(Raw_Data!AQ22,0))+(IFERROR(Raw_Data!AR22,0))</f>
        <v>0</v>
      </c>
      <c r="L97" s="597">
        <f>(IFERROR(Raw_Data!AX22,0))+(IFERROR(Raw_Data!AY22,0))</f>
        <v>0</v>
      </c>
      <c r="M97" s="597">
        <f>(IFERROR(Raw_Data!BE22,0))+(IFERROR(Raw_Data!BF22,0))</f>
        <v>0</v>
      </c>
      <c r="N97" s="597">
        <f>(IFERROR(Raw_Data!BL22,0))+(IFERROR(Raw_Data!BM22,0))</f>
        <v>0</v>
      </c>
      <c r="O97" s="597">
        <f>(IFERROR(Raw_Data!BS22,0))+(IFERROR(Raw_Data!BT22,0))</f>
        <v>0</v>
      </c>
      <c r="P97">
        <f t="shared" si="14"/>
        <v>0</v>
      </c>
      <c r="Q97" s="106"/>
    </row>
    <row r="98" spans="1:17" ht="14">
      <c r="A98" s="106" t="s">
        <v>294</v>
      </c>
      <c r="B98" s="589" t="s">
        <v>79</v>
      </c>
      <c r="C98" s="478">
        <f>IFERROR('Energy balance'!C16*$Q98,0)</f>
        <v>0</v>
      </c>
      <c r="D98" s="478">
        <f>IFERROR('Energy balance'!D16*$Q98,0)</f>
        <v>0</v>
      </c>
      <c r="E98" s="478">
        <f>IFERROR('Energy balance'!E16*$Q98,0)</f>
        <v>0</v>
      </c>
      <c r="F98" s="596">
        <f>(IFERROR(Raw_Data!H23,0))+(IFERROR(Raw_Data!I23,0))</f>
        <v>253650.128</v>
      </c>
      <c r="G98" s="597">
        <f>(IFERROR(Raw_Data!IO23,0))+(IFERROR(Raw_Data!P23,0))</f>
        <v>12294</v>
      </c>
      <c r="H98" s="597">
        <f>(IFERROR(Raw_Data!V23,0))+(IFERROR(Raw_Data!W23,0))</f>
        <v>248196.092</v>
      </c>
      <c r="I98" s="597">
        <f>(IFERROR(Raw_Data!AC23,0))+(IFERROR(Raw_Data!AD23,0))</f>
        <v>246923.61499999999</v>
      </c>
      <c r="J98" s="597">
        <f>(IFERROR(Raw_Data!AJ23,0))+(IFERROR(Raw_Data!AK23,0))</f>
        <v>240219.45</v>
      </c>
      <c r="K98" s="597">
        <f>(IFERROR(Raw_Data!AQ23,0))+(IFERROR(Raw_Data!AR23,0))</f>
        <v>238510.58</v>
      </c>
      <c r="L98" s="597">
        <f>(IFERROR(Raw_Data!AX23,0))+(IFERROR(Raw_Data!AY23,0))</f>
        <v>232723.81400000001</v>
      </c>
      <c r="M98" s="597">
        <f>(IFERROR(Raw_Data!BE23,0))+(IFERROR(Raw_Data!BF23,0))</f>
        <v>233067.56099999999</v>
      </c>
      <c r="N98" s="597">
        <f>(IFERROR(Raw_Data!BL23,0))+(IFERROR(Raw_Data!BM23,0))</f>
        <v>234818.84100000001</v>
      </c>
      <c r="O98" s="597">
        <f>(IFERROR(Raw_Data!BS23,0))+(IFERROR(Raw_Data!BT23,0))</f>
        <v>236131.272</v>
      </c>
      <c r="P98">
        <f t="shared" si="14"/>
        <v>0.51163821820307964</v>
      </c>
      <c r="Q98" s="106"/>
    </row>
    <row r="99" spans="1:17" ht="14">
      <c r="A99" s="106" t="s">
        <v>294</v>
      </c>
      <c r="B99" s="589" t="s">
        <v>219</v>
      </c>
      <c r="C99" s="478">
        <f>IFERROR('Energy balance'!C17*$Q99,0)</f>
        <v>0</v>
      </c>
      <c r="D99" s="478">
        <f>IFERROR('Energy balance'!D17*$Q99,0)</f>
        <v>0</v>
      </c>
      <c r="E99" s="478">
        <f>IFERROR('Energy balance'!E17*$Q99,0)</f>
        <v>0</v>
      </c>
      <c r="F99" s="596">
        <f>(IFERROR(Raw_Data!H24,0))+(IFERROR(Raw_Data!I24,0))</f>
        <v>0</v>
      </c>
      <c r="G99" s="597">
        <f>(IFERROR(Raw_Data!IO24,0))+(IFERROR(Raw_Data!P24,0))</f>
        <v>0</v>
      </c>
      <c r="H99" s="597">
        <f>(IFERROR(Raw_Data!V24,0))+(IFERROR(Raw_Data!W24,0))</f>
        <v>0</v>
      </c>
      <c r="I99" s="597">
        <f>(IFERROR(Raw_Data!AC24,0))+(IFERROR(Raw_Data!AD24,0))</f>
        <v>0</v>
      </c>
      <c r="J99" s="597">
        <f>(IFERROR(Raw_Data!AJ24,0))+(IFERROR(Raw_Data!AK24,0))</f>
        <v>0</v>
      </c>
      <c r="K99" s="597">
        <f>(IFERROR(Raw_Data!AQ24,0))+(IFERROR(Raw_Data!AR24,0))</f>
        <v>0</v>
      </c>
      <c r="L99" s="597">
        <f>(IFERROR(Raw_Data!AX24,0))+(IFERROR(Raw_Data!AY24,0))</f>
        <v>0</v>
      </c>
      <c r="M99" s="597">
        <f>(IFERROR(Raw_Data!BE24,0))+(IFERROR(Raw_Data!BF24,0))</f>
        <v>0</v>
      </c>
      <c r="N99" s="597">
        <f>(IFERROR(Raw_Data!BL24,0))+(IFERROR(Raw_Data!BM24,0))</f>
        <v>0</v>
      </c>
      <c r="O99" s="597">
        <f>(IFERROR(Raw_Data!BS24,0))+(IFERROR(Raw_Data!BT24,0))</f>
        <v>0</v>
      </c>
      <c r="P99">
        <f t="shared" si="14"/>
        <v>0</v>
      </c>
      <c r="Q99" s="106"/>
    </row>
    <row r="100" spans="1:17" ht="14">
      <c r="A100" s="106" t="s">
        <v>294</v>
      </c>
      <c r="B100" s="604" t="s">
        <v>920</v>
      </c>
      <c r="C100" s="478">
        <f>IFERROR('Energy balance'!C18*$Q100,0)</f>
        <v>0</v>
      </c>
      <c r="D100" s="478">
        <f>IFERROR('Energy balance'!D18*$Q100,0)</f>
        <v>0</v>
      </c>
      <c r="E100" s="479">
        <f>IFERROR('Energy balance'!E18*$Q100,0)</f>
        <v>0</v>
      </c>
      <c r="F100" s="479">
        <f t="shared" ref="F100:O100" si="15">SUM(F91:F93)</f>
        <v>4813.2889999999998</v>
      </c>
      <c r="G100" s="479">
        <f t="shared" si="15"/>
        <v>4729.51</v>
      </c>
      <c r="H100" s="479">
        <f t="shared" si="15"/>
        <v>4554.7449999999999</v>
      </c>
      <c r="I100" s="479">
        <f t="shared" si="15"/>
        <v>4556.3209999999999</v>
      </c>
      <c r="J100" s="479">
        <f t="shared" si="15"/>
        <v>4567.3510000000006</v>
      </c>
      <c r="K100" s="479">
        <f t="shared" si="15"/>
        <v>4511.402</v>
      </c>
      <c r="L100" s="479">
        <f t="shared" si="15"/>
        <v>4797.7650000000003</v>
      </c>
      <c r="M100" s="479">
        <f t="shared" si="15"/>
        <v>4282.3990000000003</v>
      </c>
      <c r="N100" s="479">
        <f t="shared" si="15"/>
        <v>4882.6570000000002</v>
      </c>
      <c r="O100" s="479">
        <f t="shared" si="15"/>
        <v>4796.6120000000001</v>
      </c>
      <c r="P100">
        <f t="shared" si="14"/>
        <v>5.0249711401164597E-3</v>
      </c>
      <c r="Q100" s="106"/>
    </row>
    <row r="101" spans="1:17" ht="14">
      <c r="A101" s="106" t="s">
        <v>294</v>
      </c>
      <c r="B101" s="604" t="s">
        <v>921</v>
      </c>
      <c r="C101" s="478">
        <f>IFERROR('Energy balance'!C19*$Q101,0)</f>
        <v>0</v>
      </c>
      <c r="D101" s="478">
        <f>IFERROR('Energy balance'!D19*$Q101,0)</f>
        <v>0</v>
      </c>
      <c r="E101" s="478">
        <f>IFERROR('Energy balance'!E19*$Q101,0)</f>
        <v>0</v>
      </c>
      <c r="F101" s="478">
        <f>IFERROR('Energy balance'!F19*$Q101,0)</f>
        <v>0</v>
      </c>
      <c r="G101" s="478">
        <f>IFERROR('Energy balance'!G19*$Q101,0)</f>
        <v>0</v>
      </c>
      <c r="H101" s="478">
        <f>IFERROR('Energy balance'!H19*$Q101,0)</f>
        <v>0</v>
      </c>
      <c r="I101" s="480">
        <f>IFERROR('Energy balance'!I19*$Q101,0)</f>
        <v>0</v>
      </c>
      <c r="J101" s="480">
        <f>IFERROR('Energy balance'!J19*$Q101,0)</f>
        <v>0</v>
      </c>
      <c r="K101" s="480">
        <f>IFERROR('Energy balance'!K19*$Q101,0)</f>
        <v>0</v>
      </c>
      <c r="L101" s="480">
        <f>IFERROR('Energy balance'!L19*$Q101,0)</f>
        <v>0</v>
      </c>
      <c r="M101" s="483">
        <f>IFERROR('Energy balance'!M19*$Q101,0)</f>
        <v>0</v>
      </c>
      <c r="N101" s="484">
        <f>IFERROR('Energy balance'!N19*$Q101,0)</f>
        <v>0</v>
      </c>
      <c r="O101" s="484">
        <f>IFERROR('Energy balance'!O19*$Q101,0)</f>
        <v>0</v>
      </c>
      <c r="P101">
        <f t="shared" si="14"/>
        <v>0</v>
      </c>
      <c r="Q101" s="106"/>
    </row>
    <row r="102" spans="1:17" ht="14">
      <c r="A102" s="106" t="s">
        <v>294</v>
      </c>
      <c r="B102" s="589" t="s">
        <v>883</v>
      </c>
      <c r="C102" s="479">
        <f>IFERROR('Energy balance'!C11*$Q102,0)</f>
        <v>0</v>
      </c>
      <c r="D102" s="479">
        <f>IFERROR('Energy balance'!D11*$Q102,0)</f>
        <v>0</v>
      </c>
      <c r="E102" s="479">
        <f>IFERROR('Energy balance'!E11*$Q102,0)</f>
        <v>0</v>
      </c>
      <c r="F102" s="596">
        <f>(IFERROR(Raw_Data!H18,0))+(IFERROR(Raw_Data!I18,0))</f>
        <v>0</v>
      </c>
      <c r="G102" s="597">
        <f>(IFERROR(Raw_Data!IO18,0))+(IFERROR(Raw_Data!P18,0))</f>
        <v>0</v>
      </c>
      <c r="H102" s="597">
        <f>(IFERROR(Raw_Data!V18,0))+(IFERROR(Raw_Data!W18,0))</f>
        <v>0</v>
      </c>
      <c r="I102" s="597">
        <f>(IFERROR(Raw_Data!AC18,0))+(IFERROR(Raw_Data!AD18,0))</f>
        <v>0</v>
      </c>
      <c r="J102" s="597">
        <f>(IFERROR(Raw_Data!AJ18,0))+(IFERROR(Raw_Data!AK18,0))</f>
        <v>0</v>
      </c>
      <c r="K102" s="597">
        <f>(IFERROR(Raw_Data!AQ18,0))+(IFERROR(Raw_Data!AR18,0))</f>
        <v>0</v>
      </c>
      <c r="L102" s="597">
        <f>(IFERROR(Raw_Data!AX18,0))+(IFERROR(Raw_Data!AY18,0))</f>
        <v>0</v>
      </c>
      <c r="M102" s="597">
        <f>(IFERROR(Raw_Data!BE18,0))+(IFERROR(Raw_Data!BF18,0))</f>
        <v>0</v>
      </c>
      <c r="N102" s="597">
        <f>(IFERROR(Raw_Data!BL18,0))+(IFERROR(Raw_Data!BM18,0))</f>
        <v>0</v>
      </c>
      <c r="O102" s="597">
        <f>(IFERROR(Raw_Data!BS18,0))+(IFERROR(Raw_Data!BT18,0))</f>
        <v>0</v>
      </c>
      <c r="P102">
        <f t="shared" si="14"/>
        <v>0</v>
      </c>
      <c r="Q102" s="106"/>
    </row>
    <row r="103" spans="1:17" ht="14">
      <c r="A103" s="106" t="s">
        <v>294</v>
      </c>
      <c r="B103" s="314"/>
      <c r="C103" s="485">
        <f>IFERROR('Energy balance'!C20*$Q103,0)</f>
        <v>0</v>
      </c>
      <c r="D103" s="478">
        <f>IFERROR('Energy balance'!D20*$Q103,0)</f>
        <v>0</v>
      </c>
      <c r="E103" s="478">
        <f>IFERROR('Energy balance'!E20*$Q103,0)</f>
        <v>0</v>
      </c>
      <c r="F103" s="478">
        <f>IFERROR('Energy balance'!F20*$Q103,0)</f>
        <v>0</v>
      </c>
      <c r="G103" s="480">
        <f>IFERROR('Energy balance'!G20*$Q103,0)</f>
        <v>0</v>
      </c>
      <c r="H103" s="480">
        <f>IFERROR('Energy balance'!H20*$Q103,0)</f>
        <v>0</v>
      </c>
      <c r="I103" s="480">
        <f>IFERROR('Energy balance'!I20*$Q103,0)</f>
        <v>0</v>
      </c>
      <c r="J103" s="480">
        <f>IFERROR('Energy balance'!J20*$Q103,0)</f>
        <v>0</v>
      </c>
      <c r="K103" s="480">
        <f>IFERROR('Energy balance'!K20*$Q103,0)</f>
        <v>0</v>
      </c>
      <c r="L103" s="480">
        <f>IFERROR('Energy balance'!L20*$Q103,0)</f>
        <v>0</v>
      </c>
      <c r="M103" s="481">
        <f>IFERROR('Energy balance'!M20*$Q103,0)</f>
        <v>0</v>
      </c>
      <c r="N103" s="482">
        <f>IFERROR('Energy balance'!N20*$Q103,0)</f>
        <v>0</v>
      </c>
      <c r="O103" s="482">
        <f>IFERROR('Energy balance'!O20*$Q103,0)</f>
        <v>0</v>
      </c>
      <c r="Q103" s="361"/>
    </row>
    <row r="104" spans="1:17" ht="14">
      <c r="A104" s="106" t="s">
        <v>294</v>
      </c>
      <c r="B104" s="314"/>
      <c r="C104" s="478">
        <f>IFERROR('Energy balance'!C21*$Q104,0)</f>
        <v>0</v>
      </c>
      <c r="D104" s="478">
        <f>IFERROR('Energy balance'!D21*$Q104,0)</f>
        <v>0</v>
      </c>
      <c r="E104" s="479">
        <f>IFERROR('Energy balance'!E21*$Q104,0)</f>
        <v>0</v>
      </c>
      <c r="F104" s="479">
        <f>IFERROR('Energy balance'!F21*$Q104,0)</f>
        <v>0</v>
      </c>
      <c r="G104" s="479">
        <f>IFERROR('Energy balance'!G21*$Q104,0)</f>
        <v>0</v>
      </c>
      <c r="H104" s="479">
        <f>IFERROR('Energy balance'!H21*$Q104,0)</f>
        <v>0</v>
      </c>
      <c r="I104" s="480">
        <f>IFERROR('Energy balance'!I21*$Q104,0)</f>
        <v>0</v>
      </c>
      <c r="J104" s="480">
        <f>IFERROR('Energy balance'!J21*$Q104,0)</f>
        <v>0</v>
      </c>
      <c r="K104" s="480">
        <f>IFERROR('Energy balance'!K21*$Q104,0)</f>
        <v>0</v>
      </c>
      <c r="L104" s="480">
        <f>IFERROR('Energy balance'!L21*$Q104,0)</f>
        <v>0</v>
      </c>
      <c r="M104" s="481">
        <f>IFERROR('Energy balance'!M21*$Q104,0)</f>
        <v>0</v>
      </c>
      <c r="N104" s="482">
        <f>IFERROR('Energy balance'!N21*$Q104,0)</f>
        <v>0</v>
      </c>
      <c r="O104" s="482">
        <f>IFERROR('Energy balance'!O21*$Q104,0)</f>
        <v>0</v>
      </c>
      <c r="Q104" s="106"/>
    </row>
    <row r="105" spans="1:17" ht="14.5" thickBot="1">
      <c r="A105" s="106" t="s">
        <v>294</v>
      </c>
      <c r="B105" s="326"/>
      <c r="C105" s="486">
        <f>IFERROR('Energy balance'!C22*$Q105,0)</f>
        <v>0</v>
      </c>
      <c r="D105" s="486">
        <f>IFERROR('Energy balance'!D22*$Q105,0)</f>
        <v>0</v>
      </c>
      <c r="E105" s="486">
        <f>IFERROR('Energy balance'!E22*$Q105,0)</f>
        <v>0</v>
      </c>
      <c r="F105" s="486">
        <f>IFERROR('Energy balance'!F22*$Q105,0)</f>
        <v>0</v>
      </c>
      <c r="G105" s="486">
        <f>IFERROR('Energy balance'!G22*$Q105,0)</f>
        <v>0</v>
      </c>
      <c r="H105" s="486">
        <f>IFERROR('Energy balance'!H22*$Q105,0)</f>
        <v>0</v>
      </c>
      <c r="I105" s="486">
        <f>IFERROR('Energy balance'!I22*$Q105,0)</f>
        <v>0</v>
      </c>
      <c r="J105" s="486">
        <f>IFERROR('Energy balance'!J22*$Q105,0)</f>
        <v>0</v>
      </c>
      <c r="K105" s="486">
        <f>IFERROR('Energy balance'!K22*$Q105,0)</f>
        <v>0</v>
      </c>
      <c r="L105" s="486">
        <f>IFERROR('Energy balance'!L22*$Q105,0)</f>
        <v>0</v>
      </c>
      <c r="M105" s="487">
        <f>IFERROR('Energy balance'!M22*$Q105,0)</f>
        <v>0</v>
      </c>
      <c r="N105" s="488">
        <f>IFERROR('Energy balance'!N22*$Q105,0)</f>
        <v>0</v>
      </c>
      <c r="O105" s="488">
        <f>IFERROR('Energy balance'!O22*$Q105,0)</f>
        <v>0</v>
      </c>
      <c r="Q105" s="106"/>
    </row>
    <row r="106" spans="1:17" ht="14">
      <c r="A106" s="106" t="s">
        <v>294</v>
      </c>
      <c r="B106" s="363" t="s">
        <v>106</v>
      </c>
      <c r="C106" s="364">
        <f t="shared" ref="C106:N106" si="16">SUM(C88:C105)</f>
        <v>0</v>
      </c>
      <c r="D106" s="364">
        <f t="shared" si="16"/>
        <v>0</v>
      </c>
      <c r="E106" s="364">
        <f t="shared" si="16"/>
        <v>0</v>
      </c>
      <c r="F106" s="364">
        <f t="shared" si="16"/>
        <v>263276.70600000001</v>
      </c>
      <c r="G106" s="364">
        <f t="shared" si="16"/>
        <v>21753.020000000004</v>
      </c>
      <c r="H106" s="364">
        <f t="shared" si="16"/>
        <v>257305.58199999999</v>
      </c>
      <c r="I106" s="364">
        <f t="shared" si="16"/>
        <v>256036.25699999998</v>
      </c>
      <c r="J106" s="364">
        <f t="shared" si="16"/>
        <v>249354.152</v>
      </c>
      <c r="K106" s="364">
        <f t="shared" si="16"/>
        <v>247533.38399999999</v>
      </c>
      <c r="L106" s="364">
        <f t="shared" si="16"/>
        <v>242319.34400000004</v>
      </c>
      <c r="M106" s="364">
        <f t="shared" si="16"/>
        <v>241632.359</v>
      </c>
      <c r="N106" s="364">
        <f t="shared" si="16"/>
        <v>244584.15500000003</v>
      </c>
      <c r="O106" s="364">
        <f>SUM(O88:O90)+SUM(O94:O100)</f>
        <v>240927.88399999999</v>
      </c>
    </row>
    <row r="108" spans="1:17" ht="16" thickBot="1">
      <c r="B108" s="357" t="s">
        <v>297</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295</v>
      </c>
      <c r="B110" s="589" t="s">
        <v>887</v>
      </c>
      <c r="C110" s="477">
        <f>IFERROR('Energy balance'!C5*#REF!,0)</f>
        <v>0</v>
      </c>
      <c r="D110" s="477">
        <f>IFERROR('Energy balance'!D5*#REF!,0)</f>
        <v>0</v>
      </c>
      <c r="E110" s="477">
        <f>IFERROR('Energy balance'!E5*#REF!,0)</f>
        <v>0</v>
      </c>
      <c r="F110" s="477">
        <f>IFERROR(Raw_Data!E12,0)</f>
        <v>0</v>
      </c>
      <c r="G110" s="477">
        <f>IFERROR(Raw_Data!L12,0)</f>
        <v>0</v>
      </c>
      <c r="H110" s="477">
        <f>IFERROR(Raw_Data!S12,0)</f>
        <v>0</v>
      </c>
      <c r="I110" s="477">
        <f>IFERROR(Raw_Data!Z12,0)</f>
        <v>0</v>
      </c>
      <c r="J110" s="477">
        <f>IFERROR(Raw_Data!AG12,0)</f>
        <v>0</v>
      </c>
      <c r="K110" s="477">
        <f>IFERROR(Raw_Data!AN12,0)</f>
        <v>0</v>
      </c>
      <c r="L110" s="477">
        <f>IFERROR(Raw_Data!AU12,0)</f>
        <v>0</v>
      </c>
      <c r="M110" s="477">
        <f>IFERROR(Raw_Data!BB12,0)</f>
        <v>0</v>
      </c>
      <c r="N110" s="477">
        <f>IFERROR(Raw_Data!BI12,0)</f>
        <v>0</v>
      </c>
      <c r="O110" s="477">
        <f>IFERROR(Raw_Data!BP12,0)</f>
        <v>0</v>
      </c>
      <c r="P110">
        <f>O110/(O110+O88+O66+O44+O23)</f>
        <v>0</v>
      </c>
      <c r="Q110" s="106"/>
    </row>
    <row r="111" spans="1:17" ht="14">
      <c r="A111" s="106" t="s">
        <v>295</v>
      </c>
      <c r="B111" s="589" t="s">
        <v>80</v>
      </c>
      <c r="C111" s="478">
        <f>IFERROR('Energy balance'!C6*#REF!,0)</f>
        <v>0</v>
      </c>
      <c r="D111" s="478">
        <f>IFERROR('Energy balance'!D6*#REF!,0)</f>
        <v>0</v>
      </c>
      <c r="E111" s="478">
        <f>IFERROR('Energy balance'!E6*#REF!,0)</f>
        <v>0</v>
      </c>
      <c r="F111" s="477">
        <f>IFERROR(Raw_Data!E13,0)</f>
        <v>0</v>
      </c>
      <c r="G111" s="477">
        <f>IFERROR(Raw_Data!L13,0)</f>
        <v>0</v>
      </c>
      <c r="H111" s="477">
        <f>IFERROR(Raw_Data!S13,0)</f>
        <v>0</v>
      </c>
      <c r="I111" s="477">
        <f>IFERROR(Raw_Data!Z13,0)</f>
        <v>0</v>
      </c>
      <c r="J111" s="477">
        <f>IFERROR(Raw_Data!AG13,0)</f>
        <v>0</v>
      </c>
      <c r="K111" s="477">
        <f>IFERROR(Raw_Data!AN13,0)</f>
        <v>0</v>
      </c>
      <c r="L111" s="477">
        <f>IFERROR(Raw_Data!AU13,0)</f>
        <v>0</v>
      </c>
      <c r="M111" s="477">
        <f>IFERROR(Raw_Data!BB13,0)</f>
        <v>0</v>
      </c>
      <c r="N111" s="477">
        <f>IFERROR(Raw_Data!BI13,0)</f>
        <v>0</v>
      </c>
      <c r="O111" s="477">
        <f>IFERROR(Raw_Data!BP13,0)</f>
        <v>0</v>
      </c>
      <c r="P111">
        <f t="shared" ref="P111:P124" si="17">O111/(O111+O89+O67+O45+O24)</f>
        <v>0</v>
      </c>
      <c r="Q111" s="106"/>
    </row>
    <row r="112" spans="1:17" ht="14">
      <c r="A112" s="106" t="s">
        <v>295</v>
      </c>
      <c r="B112" s="589" t="s">
        <v>886</v>
      </c>
      <c r="C112" s="478">
        <f>IFERROR('Energy balance'!C7*#REF!,0)</f>
        <v>0</v>
      </c>
      <c r="D112" s="478">
        <f>IFERROR('Energy balance'!D7*#REF!,0)</f>
        <v>0</v>
      </c>
      <c r="E112" s="478">
        <f>IFERROR('Energy balance'!E7*#REF!,0)</f>
        <v>0</v>
      </c>
      <c r="F112" s="477">
        <f>IFERROR(Raw_Data!E14,0)</f>
        <v>0</v>
      </c>
      <c r="G112" s="477">
        <f>IFERROR(Raw_Data!L14,0)</f>
        <v>0</v>
      </c>
      <c r="H112" s="477">
        <f>IFERROR(Raw_Data!S14,0)</f>
        <v>0</v>
      </c>
      <c r="I112" s="477">
        <f>IFERROR(Raw_Data!Z14,0)</f>
        <v>0</v>
      </c>
      <c r="J112" s="477">
        <f>IFERROR(Raw_Data!AG14,0)</f>
        <v>0</v>
      </c>
      <c r="K112" s="477">
        <f>IFERROR(Raw_Data!AN14,0)</f>
        <v>0</v>
      </c>
      <c r="L112" s="477">
        <f>IFERROR(Raw_Data!AU14,0)</f>
        <v>0</v>
      </c>
      <c r="M112" s="477">
        <f>IFERROR(Raw_Data!BB14,0)</f>
        <v>0</v>
      </c>
      <c r="N112" s="477">
        <f>IFERROR(Raw_Data!BI14,0)</f>
        <v>0</v>
      </c>
      <c r="O112" s="477">
        <f>IFERROR(Raw_Data!BP14,0)</f>
        <v>0</v>
      </c>
      <c r="P112">
        <f t="shared" si="17"/>
        <v>0</v>
      </c>
      <c r="Q112" s="106"/>
    </row>
    <row r="113" spans="1:17" ht="14">
      <c r="A113" s="106" t="s">
        <v>295</v>
      </c>
      <c r="B113" s="589" t="s">
        <v>885</v>
      </c>
      <c r="C113" s="479">
        <f>IFERROR('Energy balance'!C8*#REF!,0)</f>
        <v>0</v>
      </c>
      <c r="D113" s="479">
        <f>IFERROR('Energy balance'!D8*#REF!,0)</f>
        <v>0</v>
      </c>
      <c r="E113" s="479">
        <f>IFERROR('Energy balance'!E8*#REF!,0)</f>
        <v>0</v>
      </c>
      <c r="F113" s="477">
        <f>IFERROR(Raw_Data!E15,0)</f>
        <v>0</v>
      </c>
      <c r="G113" s="477">
        <f>IFERROR(Raw_Data!L15,0)</f>
        <v>0</v>
      </c>
      <c r="H113" s="477">
        <f>IFERROR(Raw_Data!S15,0)</f>
        <v>0</v>
      </c>
      <c r="I113" s="477">
        <f>IFERROR(Raw_Data!Z15,0)</f>
        <v>0</v>
      </c>
      <c r="J113" s="477">
        <f>IFERROR(Raw_Data!AG15,0)</f>
        <v>0</v>
      </c>
      <c r="K113" s="477">
        <f>IFERROR(Raw_Data!AN15,0)</f>
        <v>0</v>
      </c>
      <c r="L113" s="477">
        <f>IFERROR(Raw_Data!AU15,0)</f>
        <v>0</v>
      </c>
      <c r="M113" s="477">
        <f>IFERROR(Raw_Data!BB15,0)</f>
        <v>0</v>
      </c>
      <c r="N113" s="477">
        <f>IFERROR(Raw_Data!BI15,0)</f>
        <v>0</v>
      </c>
      <c r="O113" s="477">
        <f>IFERROR(Raw_Data!BP15,0)</f>
        <v>0</v>
      </c>
      <c r="P113">
        <f t="shared" si="17"/>
        <v>0</v>
      </c>
      <c r="Q113" s="106"/>
    </row>
    <row r="114" spans="1:17" ht="14">
      <c r="A114" s="106" t="s">
        <v>295</v>
      </c>
      <c r="B114" s="589" t="s">
        <v>212</v>
      </c>
      <c r="C114" s="479">
        <f>IFERROR('Energy balance'!C9*#REF!,0)</f>
        <v>0</v>
      </c>
      <c r="D114" s="479">
        <f>IFERROR('Energy balance'!D9*#REF!,0)</f>
        <v>0</v>
      </c>
      <c r="E114" s="479">
        <f>IFERROR('Energy balance'!E9*#REF!,0)</f>
        <v>0</v>
      </c>
      <c r="F114" s="477">
        <f>IFERROR(Raw_Data!E16,0)</f>
        <v>0</v>
      </c>
      <c r="G114" s="477">
        <f>IFERROR(Raw_Data!L16,0)</f>
        <v>0</v>
      </c>
      <c r="H114" s="477">
        <f>IFERROR(Raw_Data!S16,0)</f>
        <v>0</v>
      </c>
      <c r="I114" s="477">
        <f>IFERROR(Raw_Data!Z16,0)</f>
        <v>0</v>
      </c>
      <c r="J114" s="477">
        <f>IFERROR(Raw_Data!AG16,0)</f>
        <v>0</v>
      </c>
      <c r="K114" s="477">
        <f>IFERROR(Raw_Data!AN16,0)</f>
        <v>0</v>
      </c>
      <c r="L114" s="477">
        <f>IFERROR(Raw_Data!AU16,0)</f>
        <v>0</v>
      </c>
      <c r="M114" s="477">
        <f>IFERROR(Raw_Data!BB16,0)</f>
        <v>0</v>
      </c>
      <c r="N114" s="477">
        <f>IFERROR(Raw_Data!BI16,0)</f>
        <v>0</v>
      </c>
      <c r="O114" s="477">
        <f>IFERROR(Raw_Data!BP16,0)</f>
        <v>0</v>
      </c>
      <c r="P114">
        <f t="shared" si="17"/>
        <v>0</v>
      </c>
      <c r="Q114" s="106"/>
    </row>
    <row r="115" spans="1:17" ht="14">
      <c r="A115" s="106" t="s">
        <v>295</v>
      </c>
      <c r="B115" s="589" t="s">
        <v>884</v>
      </c>
      <c r="C115" s="479">
        <f>IFERROR('Energy balance'!C10*#REF!,0)</f>
        <v>0</v>
      </c>
      <c r="D115" s="479">
        <f>IFERROR('Energy balance'!D10*#REF!,0)</f>
        <v>0</v>
      </c>
      <c r="E115" s="479">
        <f>IFERROR('Energy balance'!E10*#REF!,0)</f>
        <v>0</v>
      </c>
      <c r="F115" s="477">
        <f>IFERROR(Raw_Data!E17,0)</f>
        <v>0</v>
      </c>
      <c r="G115" s="477">
        <f>IFERROR(Raw_Data!L17,0)</f>
        <v>0</v>
      </c>
      <c r="H115" s="477">
        <f>IFERROR(Raw_Data!S17,0)</f>
        <v>0</v>
      </c>
      <c r="I115" s="477">
        <f>IFERROR(Raw_Data!Z17,0)</f>
        <v>0</v>
      </c>
      <c r="J115" s="477">
        <f>IFERROR(Raw_Data!AG17,0)</f>
        <v>0</v>
      </c>
      <c r="K115" s="477">
        <f>IFERROR(Raw_Data!AN17,0)</f>
        <v>0</v>
      </c>
      <c r="L115" s="477">
        <f>IFERROR(Raw_Data!AU17,0)</f>
        <v>0</v>
      </c>
      <c r="M115" s="477">
        <f>IFERROR(Raw_Data!BB17,0)</f>
        <v>0</v>
      </c>
      <c r="N115" s="477">
        <f>IFERROR(Raw_Data!BI17,0)</f>
        <v>0</v>
      </c>
      <c r="O115" s="477">
        <f>IFERROR(Raw_Data!BP17,0)</f>
        <v>0</v>
      </c>
      <c r="P115">
        <f t="shared" si="17"/>
        <v>0</v>
      </c>
      <c r="Q115" s="106"/>
    </row>
    <row r="116" spans="1:17" ht="14">
      <c r="A116" s="106" t="s">
        <v>295</v>
      </c>
      <c r="B116" s="589" t="s">
        <v>882</v>
      </c>
      <c r="C116" s="479">
        <f>IFERROR('Energy balance'!C11*#REF!,0)</f>
        <v>0</v>
      </c>
      <c r="D116" s="479">
        <f>IFERROR('Energy balance'!D11*#REF!,0)</f>
        <v>0</v>
      </c>
      <c r="E116" s="479">
        <f>IFERROR('Energy balance'!E11*#REF!,0)</f>
        <v>0</v>
      </c>
      <c r="F116" s="477">
        <f>IFERROR(Raw_Data!E18,0)</f>
        <v>0</v>
      </c>
      <c r="G116" s="477">
        <f>IFERROR(Raw_Data!L18,0)</f>
        <v>0</v>
      </c>
      <c r="H116" s="477">
        <f>IFERROR(Raw_Data!S18,0)</f>
        <v>0</v>
      </c>
      <c r="I116" s="477">
        <f>IFERROR(Raw_Data!Z18,0)</f>
        <v>0</v>
      </c>
      <c r="J116" s="477">
        <f>IFERROR(Raw_Data!AG18,0)</f>
        <v>0</v>
      </c>
      <c r="K116" s="477">
        <f>IFERROR(Raw_Data!AN18,0)</f>
        <v>0</v>
      </c>
      <c r="L116" s="477">
        <f>IFERROR(Raw_Data!AU18,0)</f>
        <v>0</v>
      </c>
      <c r="M116" s="477">
        <f>IFERROR(Raw_Data!BB18,0)</f>
        <v>0</v>
      </c>
      <c r="N116" s="477">
        <f>IFERROR(Raw_Data!BI18,0)</f>
        <v>0</v>
      </c>
      <c r="O116" s="477">
        <f>IFERROR(Raw_Data!BP18,0)</f>
        <v>0</v>
      </c>
      <c r="P116">
        <f t="shared" si="17"/>
        <v>0</v>
      </c>
      <c r="Q116" s="106"/>
    </row>
    <row r="117" spans="1:17" ht="14">
      <c r="A117" s="106" t="s">
        <v>295</v>
      </c>
      <c r="B117" s="589" t="s">
        <v>881</v>
      </c>
      <c r="C117" s="479">
        <f>IFERROR('Energy balance'!C12*#REF!,0)</f>
        <v>0</v>
      </c>
      <c r="D117" s="479">
        <f>IFERROR('Energy balance'!D12*#REF!,0)</f>
        <v>0</v>
      </c>
      <c r="E117" s="479">
        <f>IFERROR('Energy balance'!E12*#REF!,0)</f>
        <v>0</v>
      </c>
      <c r="F117" s="477">
        <f>IFERROR(Raw_Data!E19,0)</f>
        <v>0</v>
      </c>
      <c r="G117" s="477">
        <f>IFERROR(Raw_Data!L19,0)</f>
        <v>0</v>
      </c>
      <c r="H117" s="477">
        <f>IFERROR(Raw_Data!S19,0)</f>
        <v>0</v>
      </c>
      <c r="I117" s="477">
        <f>IFERROR(Raw_Data!Z19,0)</f>
        <v>0</v>
      </c>
      <c r="J117" s="477">
        <f>IFERROR(Raw_Data!AG19,0)</f>
        <v>0</v>
      </c>
      <c r="K117" s="477">
        <f>IFERROR(Raw_Data!AN19,0)</f>
        <v>0</v>
      </c>
      <c r="L117" s="477">
        <f>IFERROR(Raw_Data!AU19,0)</f>
        <v>0</v>
      </c>
      <c r="M117" s="477">
        <f>IFERROR(Raw_Data!BB19,0)</f>
        <v>0</v>
      </c>
      <c r="N117" s="477">
        <f>IFERROR(Raw_Data!BI19,0)</f>
        <v>0</v>
      </c>
      <c r="O117" s="477">
        <f>IFERROR(Raw_Data!BP19,0)</f>
        <v>0</v>
      </c>
      <c r="P117">
        <f t="shared" si="17"/>
        <v>0</v>
      </c>
      <c r="Q117" s="106"/>
    </row>
    <row r="118" spans="1:17" ht="14">
      <c r="A118" s="106" t="s">
        <v>295</v>
      </c>
      <c r="B118" s="589" t="s">
        <v>880</v>
      </c>
      <c r="C118" s="478">
        <f>IFERROR('Energy balance'!C13*#REF!,0)</f>
        <v>0</v>
      </c>
      <c r="D118" s="478">
        <f>IFERROR('Energy balance'!D13*#REF!,0)</f>
        <v>0</v>
      </c>
      <c r="E118" s="478">
        <f>IFERROR('Energy balance'!E13*#REF!,0)</f>
        <v>0</v>
      </c>
      <c r="F118" s="477">
        <f>IFERROR(Raw_Data!E20,0)</f>
        <v>0</v>
      </c>
      <c r="G118" s="477">
        <f>IFERROR(Raw_Data!L20,0)</f>
        <v>0</v>
      </c>
      <c r="H118" s="477">
        <f>IFERROR(Raw_Data!S20,0)</f>
        <v>0</v>
      </c>
      <c r="I118" s="477">
        <f>IFERROR(Raw_Data!Z20,0)</f>
        <v>0</v>
      </c>
      <c r="J118" s="477">
        <f>IFERROR(Raw_Data!AG20,0)</f>
        <v>0</v>
      </c>
      <c r="K118" s="477">
        <f>IFERROR(Raw_Data!AN20,0)</f>
        <v>0</v>
      </c>
      <c r="L118" s="477">
        <f>IFERROR(Raw_Data!AU20,0)</f>
        <v>0</v>
      </c>
      <c r="M118" s="477">
        <f>IFERROR(Raw_Data!BB20,0)</f>
        <v>0</v>
      </c>
      <c r="N118" s="477">
        <f>IFERROR(Raw_Data!BI20,0)</f>
        <v>0</v>
      </c>
      <c r="O118" s="477">
        <f>IFERROR(Raw_Data!BP20,0)</f>
        <v>0</v>
      </c>
      <c r="P118">
        <f t="shared" si="17"/>
        <v>0</v>
      </c>
      <c r="Q118" s="106"/>
    </row>
    <row r="119" spans="1:17" ht="14">
      <c r="A119" s="106" t="s">
        <v>295</v>
      </c>
      <c r="B119" s="589" t="s">
        <v>879</v>
      </c>
      <c r="C119" s="478">
        <f>IFERROR('Energy balance'!C14*#REF!,0)</f>
        <v>0</v>
      </c>
      <c r="D119" s="478">
        <f>IFERROR('Energy balance'!D14*#REF!,0)</f>
        <v>0</v>
      </c>
      <c r="E119" s="478">
        <f>IFERROR('Energy balance'!E14*#REF!,0)</f>
        <v>0</v>
      </c>
      <c r="F119" s="477">
        <f>IFERROR(Raw_Data!E21,0)</f>
        <v>0</v>
      </c>
      <c r="G119" s="477">
        <f>IFERROR(Raw_Data!L21,0)</f>
        <v>0</v>
      </c>
      <c r="H119" s="477">
        <f>IFERROR(Raw_Data!S21,0)</f>
        <v>0</v>
      </c>
      <c r="I119" s="477">
        <f>IFERROR(Raw_Data!Z21,0)</f>
        <v>0</v>
      </c>
      <c r="J119" s="477">
        <f>IFERROR(Raw_Data!AG21,0)</f>
        <v>0</v>
      </c>
      <c r="K119" s="477">
        <f>IFERROR(Raw_Data!AN21,0)</f>
        <v>0</v>
      </c>
      <c r="L119" s="477">
        <f>IFERROR(Raw_Data!AU21,0)</f>
        <v>0</v>
      </c>
      <c r="M119" s="477">
        <f>IFERROR(Raw_Data!BB21,0)</f>
        <v>0</v>
      </c>
      <c r="N119" s="477">
        <f>IFERROR(Raw_Data!BI21,0)</f>
        <v>0</v>
      </c>
      <c r="O119" s="477">
        <f>IFERROR(Raw_Data!BP21,0)</f>
        <v>0</v>
      </c>
      <c r="P119">
        <f t="shared" si="17"/>
        <v>0</v>
      </c>
      <c r="Q119" s="106"/>
    </row>
    <row r="120" spans="1:17" ht="14">
      <c r="A120" s="106" t="s">
        <v>295</v>
      </c>
      <c r="B120" s="589" t="s">
        <v>79</v>
      </c>
      <c r="C120" s="478">
        <f>IFERROR('Energy balance'!C15*#REF!,0)</f>
        <v>0</v>
      </c>
      <c r="D120" s="478">
        <f>IFERROR('Energy balance'!D15*#REF!,0)</f>
        <v>0</v>
      </c>
      <c r="E120" s="478">
        <f>IFERROR('Energy balance'!E15*#REF!,0)</f>
        <v>0</v>
      </c>
      <c r="F120" s="477">
        <v>4470.5919999999996</v>
      </c>
      <c r="G120" s="477">
        <v>4309.6859999999997</v>
      </c>
      <c r="H120" s="477">
        <v>4322.308</v>
      </c>
      <c r="I120" s="477">
        <v>4290.7569999999996</v>
      </c>
      <c r="J120" s="477">
        <v>4176.9250000000002</v>
      </c>
      <c r="K120" s="477">
        <v>4149.1220000000003</v>
      </c>
      <c r="L120" s="477">
        <v>4449.33</v>
      </c>
      <c r="M120" s="477">
        <v>4615.2</v>
      </c>
      <c r="N120" s="477">
        <v>4454.8270000000002</v>
      </c>
      <c r="O120" s="477">
        <v>4603.9459999999999</v>
      </c>
      <c r="P120">
        <f t="shared" si="17"/>
        <v>9.9756152931035572E-3</v>
      </c>
      <c r="Q120" s="106"/>
    </row>
    <row r="121" spans="1:17" ht="14">
      <c r="A121" s="106" t="s">
        <v>295</v>
      </c>
      <c r="B121" s="589" t="s">
        <v>219</v>
      </c>
      <c r="C121" s="478">
        <f>IFERROR('Energy balance'!C16*#REF!,0)</f>
        <v>0</v>
      </c>
      <c r="D121" s="478">
        <f>IFERROR('Energy balance'!D16*#REF!,0)</f>
        <v>0</v>
      </c>
      <c r="E121" s="478">
        <f>IFERROR('Energy balance'!E16*#REF!,0)</f>
        <v>0</v>
      </c>
      <c r="F121" s="477">
        <v>0</v>
      </c>
      <c r="G121" s="477">
        <v>0</v>
      </c>
      <c r="H121" s="477">
        <v>0</v>
      </c>
      <c r="I121" s="477">
        <v>0</v>
      </c>
      <c r="J121" s="477">
        <v>0</v>
      </c>
      <c r="K121" s="477">
        <v>0</v>
      </c>
      <c r="L121" s="477">
        <v>0</v>
      </c>
      <c r="M121" s="477">
        <v>0</v>
      </c>
      <c r="N121" s="477">
        <v>0</v>
      </c>
      <c r="O121" s="477">
        <v>0</v>
      </c>
      <c r="P121">
        <f t="shared" si="17"/>
        <v>0</v>
      </c>
      <c r="Q121" s="361"/>
    </row>
    <row r="122" spans="1:17" ht="14">
      <c r="A122" s="106" t="s">
        <v>295</v>
      </c>
      <c r="B122" s="604" t="s">
        <v>920</v>
      </c>
      <c r="C122" s="478">
        <f>IFERROR('Energy balance'!C17*#REF!,0)</f>
        <v>0</v>
      </c>
      <c r="D122" s="478">
        <f>IFERROR('Energy balance'!D17*#REF!,0)</f>
        <v>0</v>
      </c>
      <c r="E122" s="478">
        <f>IFERROR('Energy balance'!E17*#REF!,0)</f>
        <v>0</v>
      </c>
      <c r="F122" s="477">
        <v>0</v>
      </c>
      <c r="G122" s="477">
        <f>IFERROR(Raw_Data!L24,0)</f>
        <v>0</v>
      </c>
      <c r="H122" s="477">
        <f>IFERROR(Raw_Data!S24,0)</f>
        <v>0</v>
      </c>
      <c r="I122" s="477">
        <f>IFERROR(Raw_Data!Z24,0)</f>
        <v>0</v>
      </c>
      <c r="J122" s="477">
        <f>IFERROR(Raw_Data!AG24,0)</f>
        <v>0</v>
      </c>
      <c r="K122" s="477">
        <f>IFERROR(Raw_Data!AN24,0)</f>
        <v>0</v>
      </c>
      <c r="L122" s="477">
        <f>IFERROR(Raw_Data!AU24,0)</f>
        <v>0</v>
      </c>
      <c r="M122" s="477">
        <f>IFERROR(Raw_Data!BB24,0)</f>
        <v>0</v>
      </c>
      <c r="N122" s="477">
        <f>IFERROR(Raw_Data!BI24,0)</f>
        <v>0</v>
      </c>
      <c r="O122" s="477">
        <f>IFERROR(Raw_Data!BP24,0)</f>
        <v>0</v>
      </c>
      <c r="P122">
        <f t="shared" si="17"/>
        <v>0</v>
      </c>
      <c r="Q122" s="106"/>
    </row>
    <row r="123" spans="1:17" ht="14">
      <c r="A123" s="106" t="s">
        <v>295</v>
      </c>
      <c r="B123" s="604" t="s">
        <v>921</v>
      </c>
      <c r="C123" s="478">
        <f>IFERROR('Energy balance'!C18*#REF!,0)</f>
        <v>0</v>
      </c>
      <c r="D123" s="478">
        <f>IFERROR('Energy balance'!D18*#REF!,0)</f>
        <v>0</v>
      </c>
      <c r="E123" s="479">
        <f>IFERROR('Energy balance'!E18*#REF!,0)</f>
        <v>0</v>
      </c>
      <c r="F123" s="479">
        <f>IFERROR('Energy balance'!F18*#REF!,0)</f>
        <v>0</v>
      </c>
      <c r="G123" s="479">
        <f>IFERROR('Energy balance'!G18*#REF!,0)</f>
        <v>0</v>
      </c>
      <c r="H123" s="477">
        <f>IFERROR(Raw_Data!S25,0)</f>
        <v>0</v>
      </c>
      <c r="I123" s="480">
        <f>IFERROR('Energy balance'!I18*#REF!,0)</f>
        <v>0</v>
      </c>
      <c r="J123" s="480">
        <f>IFERROR('Energy balance'!J18*#REF!,0)</f>
        <v>0</v>
      </c>
      <c r="K123" s="480">
        <f>IFERROR('Energy balance'!K18*#REF!,0)</f>
        <v>0</v>
      </c>
      <c r="L123" s="480">
        <f>IFERROR('Energy balance'!L18*#REF!,0)</f>
        <v>0</v>
      </c>
      <c r="M123" s="481">
        <f>IFERROR('Energy balance'!M18*#REF!,0)</f>
        <v>0</v>
      </c>
      <c r="N123" s="482">
        <f>IFERROR('Energy balance'!N18*#REF!,0)</f>
        <v>0</v>
      </c>
      <c r="O123" s="482">
        <f>IFERROR('Energy balance'!O18*#REF!,0)</f>
        <v>0</v>
      </c>
      <c r="P123">
        <f t="shared" si="17"/>
        <v>0</v>
      </c>
      <c r="Q123" s="106"/>
    </row>
    <row r="124" spans="1:17" ht="14">
      <c r="A124" s="106" t="s">
        <v>295</v>
      </c>
      <c r="B124" s="589" t="s">
        <v>883</v>
      </c>
      <c r="C124" s="478">
        <f>IFERROR('Energy balance'!C19*#REF!,0)</f>
        <v>0</v>
      </c>
      <c r="D124" s="478">
        <f>IFERROR('Energy balance'!D19*#REF!,0)</f>
        <v>0</v>
      </c>
      <c r="E124" s="478">
        <f>IFERROR('Energy balance'!E19*#REF!,0)</f>
        <v>0</v>
      </c>
      <c r="F124" s="478">
        <f>IFERROR('Energy balance'!F19*#REF!,0)</f>
        <v>0</v>
      </c>
      <c r="G124" s="478">
        <f>IFERROR('Energy balance'!G19*#REF!,0)</f>
        <v>0</v>
      </c>
      <c r="H124" s="478">
        <f>IFERROR('Energy balance'!H19*#REF!,0)</f>
        <v>0</v>
      </c>
      <c r="I124" s="480">
        <f>IFERROR('Energy balance'!I19*#REF!,0)</f>
        <v>0</v>
      </c>
      <c r="J124" s="480">
        <f>IFERROR('Energy balance'!J19*#REF!,0)</f>
        <v>0</v>
      </c>
      <c r="K124" s="480">
        <f>IFERROR('Energy balance'!K19*#REF!,0)</f>
        <v>0</v>
      </c>
      <c r="L124" s="480">
        <f>IFERROR('Energy balance'!L19*#REF!,0)</f>
        <v>0</v>
      </c>
      <c r="M124" s="483">
        <f>IFERROR('Energy balance'!M19*#REF!,0)</f>
        <v>0</v>
      </c>
      <c r="N124" s="484">
        <f>IFERROR('Energy balance'!N19*#REF!,0)</f>
        <v>0</v>
      </c>
      <c r="O124" s="484">
        <f>IFERROR('Energy balance'!O19*#REF!,0)</f>
        <v>0</v>
      </c>
      <c r="P124">
        <f t="shared" si="17"/>
        <v>0</v>
      </c>
      <c r="Q124" s="106"/>
    </row>
    <row r="125" spans="1:17" ht="14">
      <c r="A125" s="106" t="s">
        <v>295</v>
      </c>
      <c r="B125" s="314"/>
      <c r="C125" s="485">
        <f>IFERROR('Energy balance'!C20*#REF!,0)</f>
        <v>0</v>
      </c>
      <c r="D125" s="478">
        <f>IFERROR('Energy balance'!D20*#REF!,0)</f>
        <v>0</v>
      </c>
      <c r="E125" s="478">
        <f>IFERROR('Energy balance'!E20*#REF!,0)</f>
        <v>0</v>
      </c>
      <c r="F125" s="478">
        <f>IFERROR('Energy balance'!F20*#REF!,0)</f>
        <v>0</v>
      </c>
      <c r="G125" s="480">
        <f>IFERROR('Energy balance'!G20*#REF!,0)</f>
        <v>0</v>
      </c>
      <c r="H125" s="480">
        <f>IFERROR('Energy balance'!H20*#REF!,0)</f>
        <v>0</v>
      </c>
      <c r="I125" s="480">
        <f>IFERROR('Energy balance'!I20*#REF!,0)</f>
        <v>0</v>
      </c>
      <c r="J125" s="480">
        <f>IFERROR('Energy balance'!J20*#REF!,0)</f>
        <v>0</v>
      </c>
      <c r="K125" s="480">
        <f>IFERROR('Energy balance'!K20*#REF!,0)</f>
        <v>0</v>
      </c>
      <c r="L125" s="480">
        <f>IFERROR('Energy balance'!L20*#REF!,0)</f>
        <v>0</v>
      </c>
      <c r="M125" s="481">
        <f>IFERROR('Energy balance'!M20*#REF!,0)</f>
        <v>0</v>
      </c>
      <c r="N125" s="482">
        <f>IFERROR('Energy balance'!N20*#REF!,0)</f>
        <v>0</v>
      </c>
      <c r="O125" s="482">
        <f>IFERROR('Energy balance'!O20*#REF!,0)</f>
        <v>0</v>
      </c>
      <c r="Q125" s="106"/>
    </row>
    <row r="126" spans="1:17" ht="14">
      <c r="A126" s="106" t="s">
        <v>295</v>
      </c>
      <c r="B126" s="314"/>
      <c r="C126" s="478">
        <f>IFERROR('Energy balance'!C21*#REF!,0)</f>
        <v>0</v>
      </c>
      <c r="D126" s="478">
        <f>IFERROR('Energy balance'!D21*#REF!,0)</f>
        <v>0</v>
      </c>
      <c r="E126" s="479">
        <f>IFERROR('Energy balance'!E21*#REF!,0)</f>
        <v>0</v>
      </c>
      <c r="F126" s="479">
        <f>IFERROR('Energy balance'!F21*#REF!,0)</f>
        <v>0</v>
      </c>
      <c r="G126" s="479">
        <f>IFERROR('Energy balance'!G21*#REF!,0)</f>
        <v>0</v>
      </c>
      <c r="H126" s="479">
        <f>IFERROR('Energy balance'!H21*#REF!,0)</f>
        <v>0</v>
      </c>
      <c r="I126" s="480">
        <f>IFERROR('Energy balance'!I21*#REF!,0)</f>
        <v>0</v>
      </c>
      <c r="J126" s="480">
        <f>IFERROR('Energy balance'!J21*#REF!,0)</f>
        <v>0</v>
      </c>
      <c r="K126" s="480">
        <f>IFERROR('Energy balance'!K21*#REF!,0)</f>
        <v>0</v>
      </c>
      <c r="L126" s="480">
        <f>IFERROR('Energy balance'!L21*#REF!,0)</f>
        <v>0</v>
      </c>
      <c r="M126" s="481">
        <f>IFERROR('Energy balance'!M21*#REF!,0)</f>
        <v>0</v>
      </c>
      <c r="N126" s="482">
        <f>IFERROR('Energy balance'!N21*#REF!,0)</f>
        <v>0</v>
      </c>
      <c r="O126" s="482">
        <f>IFERROR('Energy balance'!O21*#REF!,0)</f>
        <v>0</v>
      </c>
      <c r="Q126" s="106"/>
    </row>
    <row r="127" spans="1:17" ht="14.5" thickBot="1">
      <c r="A127" s="106" t="s">
        <v>295</v>
      </c>
      <c r="B127" s="326"/>
      <c r="C127" s="486">
        <f>IFERROR('Energy balance'!C22*#REF!,0)</f>
        <v>0</v>
      </c>
      <c r="D127" s="486">
        <f>IFERROR('Energy balance'!D22*#REF!,0)</f>
        <v>0</v>
      </c>
      <c r="E127" s="486">
        <f>IFERROR('Energy balance'!E22*#REF!,0)</f>
        <v>0</v>
      </c>
      <c r="F127" s="486">
        <f>IFERROR('Energy balance'!F22*#REF!,0)</f>
        <v>0</v>
      </c>
      <c r="G127" s="486">
        <f>IFERROR('Energy balance'!G22*#REF!,0)</f>
        <v>0</v>
      </c>
      <c r="H127" s="486">
        <f>IFERROR('Energy balance'!H22*#REF!,0)</f>
        <v>0</v>
      </c>
      <c r="I127" s="486">
        <f>IFERROR('Energy balance'!I22*#REF!,0)</f>
        <v>0</v>
      </c>
      <c r="J127" s="486">
        <f>IFERROR('Energy balance'!J22*#REF!,0)</f>
        <v>0</v>
      </c>
      <c r="K127" s="486">
        <f>IFERROR('Energy balance'!K22*#REF!,0)</f>
        <v>0</v>
      </c>
      <c r="L127" s="486">
        <f>IFERROR('Energy balance'!L22*#REF!,0)</f>
        <v>0</v>
      </c>
      <c r="M127" s="487">
        <f>IFERROR('Energy balance'!M22*#REF!,0)</f>
        <v>0</v>
      </c>
      <c r="N127" s="488">
        <f>IFERROR('Energy balance'!N22*#REF!,0)</f>
        <v>0</v>
      </c>
      <c r="O127" s="488">
        <f>IFERROR('Energy balance'!O22*#REF!,0)</f>
        <v>0</v>
      </c>
      <c r="Q127" s="106"/>
    </row>
    <row r="128" spans="1:17" ht="14">
      <c r="A128" s="106" t="s">
        <v>295</v>
      </c>
      <c r="B128" s="363" t="s">
        <v>106</v>
      </c>
      <c r="C128" s="364">
        <f>SUM(C110:C127)</f>
        <v>0</v>
      </c>
      <c r="D128" s="364">
        <f t="shared" ref="D128" si="18">SUM(D110:D127)</f>
        <v>0</v>
      </c>
      <c r="E128" s="364">
        <f t="shared" ref="E128" si="19">SUM(E110:E127)</f>
        <v>0</v>
      </c>
      <c r="F128" s="364">
        <f t="shared" ref="F128" si="20">SUM(F110:F127)</f>
        <v>4470.5919999999996</v>
      </c>
      <c r="G128" s="364">
        <f t="shared" ref="G128" si="21">SUM(G110:G127)</f>
        <v>4309.6859999999997</v>
      </c>
      <c r="H128" s="364">
        <f t="shared" ref="H128" si="22">SUM(H110:H127)</f>
        <v>4322.308</v>
      </c>
      <c r="I128" s="364">
        <f t="shared" ref="I128" si="23">SUM(I110:I127)</f>
        <v>4290.7569999999996</v>
      </c>
      <c r="J128" s="364">
        <f t="shared" ref="J128" si="24">SUM(J110:J127)</f>
        <v>4176.9250000000002</v>
      </c>
      <c r="K128" s="364">
        <f t="shared" ref="K128" si="25">SUM(K110:K127)</f>
        <v>4149.1220000000003</v>
      </c>
      <c r="L128" s="364">
        <f t="shared" ref="L128" si="26">SUM(L110:L127)</f>
        <v>4449.33</v>
      </c>
      <c r="M128" s="364">
        <f t="shared" ref="M128" si="27">SUM(M110:M127)</f>
        <v>4615.2</v>
      </c>
      <c r="N128" s="364">
        <f t="shared" ref="N128:O128" si="28">SUM(N110:N127)</f>
        <v>4454.8270000000002</v>
      </c>
      <c r="O128" s="364">
        <f t="shared" si="28"/>
        <v>4603.9459999999999</v>
      </c>
      <c r="Q128" s="106"/>
    </row>
    <row r="129" spans="17:17">
      <c r="Q129" s="106"/>
    </row>
    <row r="130" spans="17:17">
      <c r="Q130" s="106"/>
    </row>
    <row r="131" spans="17:17">
      <c r="Q131" s="361"/>
    </row>
    <row r="132" spans="17:17">
      <c r="Q132" s="106"/>
    </row>
    <row r="133" spans="17:17">
      <c r="Q133" s="362"/>
    </row>
    <row r="134" spans="17:17">
      <c r="Q134" s="106"/>
    </row>
  </sheetData>
  <hyperlinks>
    <hyperlink ref="Y15" r:id="rId1" xr:uid="{DB179C6C-62F5-4A2A-BFFE-A9030DDE3218}"/>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8E329-F6E5-41ED-8F46-844C29280EC1}">
  <dimension ref="A1:BT27"/>
  <sheetViews>
    <sheetView zoomScale="70" zoomScaleNormal="70" workbookViewId="0">
      <pane xSplit="2" ySplit="10" topLeftCell="BM11" activePane="bottomRight" state="frozen"/>
      <selection pane="topRight"/>
      <selection pane="bottomLeft"/>
      <selection pane="bottomRight" activeCell="E9" sqref="E9"/>
    </sheetView>
  </sheetViews>
  <sheetFormatPr defaultRowHeight="11.4" customHeight="1"/>
  <cols>
    <col min="1" max="1" width="2.1796875" style="583" customWidth="1"/>
    <col min="2" max="2" width="29.90625" style="583" customWidth="1"/>
    <col min="3" max="71" width="19.90625" style="583" customWidth="1"/>
    <col min="72" max="72" width="29.7265625" style="583" customWidth="1"/>
    <col min="73" max="16384" width="8.7265625" style="583"/>
  </cols>
  <sheetData>
    <row r="1" spans="1:72">
      <c r="A1" s="584" t="s">
        <v>915</v>
      </c>
    </row>
    <row r="2" spans="1:72">
      <c r="A2" s="584" t="s">
        <v>916</v>
      </c>
      <c r="B2" s="585" t="s">
        <v>914</v>
      </c>
    </row>
    <row r="3" spans="1:72">
      <c r="A3" s="584" t="s">
        <v>917</v>
      </c>
      <c r="B3" s="584" t="s">
        <v>918</v>
      </c>
    </row>
    <row r="4" spans="1:72"/>
    <row r="5" spans="1:72">
      <c r="A5" s="585" t="s">
        <v>913</v>
      </c>
      <c r="C5" s="584" t="s">
        <v>912</v>
      </c>
    </row>
    <row r="6" spans="1:72">
      <c r="A6" s="585" t="s">
        <v>911</v>
      </c>
      <c r="C6" s="584" t="s">
        <v>910</v>
      </c>
    </row>
    <row r="7" spans="1:72"/>
    <row r="8" spans="1:72">
      <c r="A8" s="654" t="s">
        <v>909</v>
      </c>
      <c r="B8" s="654" t="s">
        <v>909</v>
      </c>
      <c r="C8" s="653" t="s">
        <v>908</v>
      </c>
      <c r="D8" s="653" t="s">
        <v>908</v>
      </c>
      <c r="E8" s="653" t="s">
        <v>908</v>
      </c>
      <c r="F8" s="653" t="s">
        <v>908</v>
      </c>
      <c r="G8" s="653" t="s">
        <v>908</v>
      </c>
      <c r="H8" s="653" t="s">
        <v>908</v>
      </c>
      <c r="I8" s="653" t="s">
        <v>908</v>
      </c>
      <c r="J8" s="653" t="s">
        <v>907</v>
      </c>
      <c r="K8" s="653" t="s">
        <v>907</v>
      </c>
      <c r="L8" s="653" t="s">
        <v>907</v>
      </c>
      <c r="M8" s="653" t="s">
        <v>907</v>
      </c>
      <c r="N8" s="653" t="s">
        <v>907</v>
      </c>
      <c r="O8" s="653" t="s">
        <v>907</v>
      </c>
      <c r="P8" s="653" t="s">
        <v>907</v>
      </c>
      <c r="Q8" s="653" t="s">
        <v>906</v>
      </c>
      <c r="R8" s="653" t="s">
        <v>906</v>
      </c>
      <c r="S8" s="653" t="s">
        <v>906</v>
      </c>
      <c r="T8" s="653" t="s">
        <v>906</v>
      </c>
      <c r="U8" s="653" t="s">
        <v>906</v>
      </c>
      <c r="V8" s="653" t="s">
        <v>906</v>
      </c>
      <c r="W8" s="653" t="s">
        <v>906</v>
      </c>
      <c r="X8" s="653" t="s">
        <v>905</v>
      </c>
      <c r="Y8" s="653" t="s">
        <v>905</v>
      </c>
      <c r="Z8" s="653" t="s">
        <v>905</v>
      </c>
      <c r="AA8" s="653" t="s">
        <v>905</v>
      </c>
      <c r="AB8" s="653" t="s">
        <v>905</v>
      </c>
      <c r="AC8" s="653" t="s">
        <v>905</v>
      </c>
      <c r="AD8" s="653" t="s">
        <v>905</v>
      </c>
      <c r="AE8" s="653" t="s">
        <v>904</v>
      </c>
      <c r="AF8" s="653" t="s">
        <v>904</v>
      </c>
      <c r="AG8" s="653" t="s">
        <v>904</v>
      </c>
      <c r="AH8" s="653" t="s">
        <v>904</v>
      </c>
      <c r="AI8" s="653" t="s">
        <v>904</v>
      </c>
      <c r="AJ8" s="653" t="s">
        <v>904</v>
      </c>
      <c r="AK8" s="653" t="s">
        <v>904</v>
      </c>
      <c r="AL8" s="653" t="s">
        <v>903</v>
      </c>
      <c r="AM8" s="653" t="s">
        <v>903</v>
      </c>
      <c r="AN8" s="653" t="s">
        <v>903</v>
      </c>
      <c r="AO8" s="653" t="s">
        <v>903</v>
      </c>
      <c r="AP8" s="653" t="s">
        <v>903</v>
      </c>
      <c r="AQ8" s="653" t="s">
        <v>903</v>
      </c>
      <c r="AR8" s="653" t="s">
        <v>903</v>
      </c>
      <c r="AS8" s="653" t="s">
        <v>902</v>
      </c>
      <c r="AT8" s="653" t="s">
        <v>902</v>
      </c>
      <c r="AU8" s="653" t="s">
        <v>902</v>
      </c>
      <c r="AV8" s="653" t="s">
        <v>902</v>
      </c>
      <c r="AW8" s="653" t="s">
        <v>902</v>
      </c>
      <c r="AX8" s="653" t="s">
        <v>902</v>
      </c>
      <c r="AY8" s="653" t="s">
        <v>902</v>
      </c>
      <c r="AZ8" s="653" t="s">
        <v>901</v>
      </c>
      <c r="BA8" s="653" t="s">
        <v>901</v>
      </c>
      <c r="BB8" s="653" t="s">
        <v>901</v>
      </c>
      <c r="BC8" s="653" t="s">
        <v>901</v>
      </c>
      <c r="BD8" s="653" t="s">
        <v>901</v>
      </c>
      <c r="BE8" s="653" t="s">
        <v>901</v>
      </c>
      <c r="BF8" s="653" t="s">
        <v>901</v>
      </c>
      <c r="BG8" s="653" t="s">
        <v>900</v>
      </c>
      <c r="BH8" s="653" t="s">
        <v>900</v>
      </c>
      <c r="BI8" s="653" t="s">
        <v>900</v>
      </c>
      <c r="BJ8" s="653" t="s">
        <v>900</v>
      </c>
      <c r="BK8" s="653" t="s">
        <v>900</v>
      </c>
      <c r="BL8" s="653" t="s">
        <v>900</v>
      </c>
      <c r="BM8" s="653" t="s">
        <v>900</v>
      </c>
      <c r="BN8" s="653" t="s">
        <v>899</v>
      </c>
      <c r="BO8" s="653" t="s">
        <v>899</v>
      </c>
      <c r="BP8" s="653" t="s">
        <v>899</v>
      </c>
      <c r="BQ8" s="653" t="s">
        <v>899</v>
      </c>
      <c r="BR8" s="653" t="s">
        <v>899</v>
      </c>
      <c r="BS8" s="653" t="s">
        <v>899</v>
      </c>
      <c r="BT8" s="653" t="s">
        <v>899</v>
      </c>
    </row>
    <row r="9" spans="1:72">
      <c r="A9" s="654" t="s">
        <v>898</v>
      </c>
      <c r="B9" s="654" t="s">
        <v>898</v>
      </c>
      <c r="C9" s="595" t="s">
        <v>897</v>
      </c>
      <c r="D9" s="595" t="s">
        <v>896</v>
      </c>
      <c r="E9" s="595" t="s">
        <v>895</v>
      </c>
      <c r="F9" s="595" t="s">
        <v>894</v>
      </c>
      <c r="G9" s="595" t="s">
        <v>893</v>
      </c>
      <c r="H9" s="595" t="s">
        <v>892</v>
      </c>
      <c r="I9" s="595" t="s">
        <v>891</v>
      </c>
      <c r="J9" s="595" t="s">
        <v>897</v>
      </c>
      <c r="K9" s="595" t="s">
        <v>896</v>
      </c>
      <c r="L9" s="595" t="s">
        <v>895</v>
      </c>
      <c r="M9" s="595" t="s">
        <v>894</v>
      </c>
      <c r="N9" s="595" t="s">
        <v>893</v>
      </c>
      <c r="O9" s="595" t="s">
        <v>892</v>
      </c>
      <c r="P9" s="595" t="s">
        <v>891</v>
      </c>
      <c r="Q9" s="595" t="s">
        <v>897</v>
      </c>
      <c r="R9" s="595" t="s">
        <v>896</v>
      </c>
      <c r="S9" s="595" t="s">
        <v>895</v>
      </c>
      <c r="T9" s="595" t="s">
        <v>894</v>
      </c>
      <c r="U9" s="595" t="s">
        <v>893</v>
      </c>
      <c r="V9" s="595" t="s">
        <v>892</v>
      </c>
      <c r="W9" s="595" t="s">
        <v>891</v>
      </c>
      <c r="X9" s="595" t="s">
        <v>897</v>
      </c>
      <c r="Y9" s="595" t="s">
        <v>896</v>
      </c>
      <c r="Z9" s="595" t="s">
        <v>895</v>
      </c>
      <c r="AA9" s="595" t="s">
        <v>894</v>
      </c>
      <c r="AB9" s="595" t="s">
        <v>893</v>
      </c>
      <c r="AC9" s="595" t="s">
        <v>892</v>
      </c>
      <c r="AD9" s="595" t="s">
        <v>891</v>
      </c>
      <c r="AE9" s="595" t="s">
        <v>897</v>
      </c>
      <c r="AF9" s="595" t="s">
        <v>896</v>
      </c>
      <c r="AG9" s="595" t="s">
        <v>895</v>
      </c>
      <c r="AH9" s="595" t="s">
        <v>894</v>
      </c>
      <c r="AI9" s="595" t="s">
        <v>893</v>
      </c>
      <c r="AJ9" s="595" t="s">
        <v>892</v>
      </c>
      <c r="AK9" s="595" t="s">
        <v>891</v>
      </c>
      <c r="AL9" s="595" t="s">
        <v>897</v>
      </c>
      <c r="AM9" s="595" t="s">
        <v>896</v>
      </c>
      <c r="AN9" s="595" t="s">
        <v>895</v>
      </c>
      <c r="AO9" s="595" t="s">
        <v>894</v>
      </c>
      <c r="AP9" s="595" t="s">
        <v>893</v>
      </c>
      <c r="AQ9" s="595" t="s">
        <v>892</v>
      </c>
      <c r="AR9" s="595" t="s">
        <v>891</v>
      </c>
      <c r="AS9" s="595" t="s">
        <v>897</v>
      </c>
      <c r="AT9" s="595" t="s">
        <v>896</v>
      </c>
      <c r="AU9" s="595" t="s">
        <v>895</v>
      </c>
      <c r="AV9" s="595" t="s">
        <v>894</v>
      </c>
      <c r="AW9" s="595" t="s">
        <v>893</v>
      </c>
      <c r="AX9" s="595" t="s">
        <v>892</v>
      </c>
      <c r="AY9" s="595" t="s">
        <v>891</v>
      </c>
      <c r="AZ9" s="595" t="s">
        <v>897</v>
      </c>
      <c r="BA9" s="595" t="s">
        <v>896</v>
      </c>
      <c r="BB9" s="595" t="s">
        <v>895</v>
      </c>
      <c r="BC9" s="595" t="s">
        <v>894</v>
      </c>
      <c r="BD9" s="595" t="s">
        <v>893</v>
      </c>
      <c r="BE9" s="595" t="s">
        <v>892</v>
      </c>
      <c r="BF9" s="595" t="s">
        <v>891</v>
      </c>
      <c r="BG9" s="595" t="s">
        <v>897</v>
      </c>
      <c r="BH9" s="595" t="s">
        <v>896</v>
      </c>
      <c r="BI9" s="595" t="s">
        <v>895</v>
      </c>
      <c r="BJ9" s="595" t="s">
        <v>894</v>
      </c>
      <c r="BK9" s="595" t="s">
        <v>893</v>
      </c>
      <c r="BL9" s="595" t="s">
        <v>892</v>
      </c>
      <c r="BM9" s="595" t="s">
        <v>891</v>
      </c>
      <c r="BN9" s="595" t="s">
        <v>897</v>
      </c>
      <c r="BO9" s="595" t="s">
        <v>896</v>
      </c>
      <c r="BP9" s="595" t="s">
        <v>895</v>
      </c>
      <c r="BQ9" s="595" t="s">
        <v>894</v>
      </c>
      <c r="BR9" s="595" t="s">
        <v>893</v>
      </c>
      <c r="BS9" s="595" t="s">
        <v>892</v>
      </c>
      <c r="BT9" s="595" t="s">
        <v>891</v>
      </c>
    </row>
    <row r="10" spans="1:72">
      <c r="A10" s="594" t="s">
        <v>890</v>
      </c>
      <c r="B10" s="594" t="s">
        <v>889</v>
      </c>
      <c r="C10" s="593" t="s">
        <v>888</v>
      </c>
      <c r="D10" s="593" t="s">
        <v>888</v>
      </c>
      <c r="E10" s="593" t="s">
        <v>888</v>
      </c>
      <c r="F10" s="593" t="s">
        <v>888</v>
      </c>
      <c r="G10" s="593" t="s">
        <v>888</v>
      </c>
      <c r="H10" s="593" t="s">
        <v>888</v>
      </c>
      <c r="I10" s="593" t="s">
        <v>888</v>
      </c>
      <c r="J10" s="593" t="s">
        <v>888</v>
      </c>
      <c r="K10" s="593" t="s">
        <v>888</v>
      </c>
      <c r="L10" s="593" t="s">
        <v>888</v>
      </c>
      <c r="M10" s="593" t="s">
        <v>888</v>
      </c>
      <c r="N10" s="593" t="s">
        <v>888</v>
      </c>
      <c r="O10" s="593" t="s">
        <v>888</v>
      </c>
      <c r="P10" s="593" t="s">
        <v>888</v>
      </c>
      <c r="Q10" s="593" t="s">
        <v>888</v>
      </c>
      <c r="R10" s="593" t="s">
        <v>888</v>
      </c>
      <c r="S10" s="593" t="s">
        <v>888</v>
      </c>
      <c r="T10" s="593" t="s">
        <v>888</v>
      </c>
      <c r="U10" s="593" t="s">
        <v>888</v>
      </c>
      <c r="V10" s="593" t="s">
        <v>888</v>
      </c>
      <c r="W10" s="593" t="s">
        <v>888</v>
      </c>
      <c r="X10" s="593" t="s">
        <v>888</v>
      </c>
      <c r="Y10" s="593" t="s">
        <v>888</v>
      </c>
      <c r="Z10" s="593" t="s">
        <v>888</v>
      </c>
      <c r="AA10" s="593" t="s">
        <v>888</v>
      </c>
      <c r="AB10" s="593" t="s">
        <v>888</v>
      </c>
      <c r="AC10" s="593" t="s">
        <v>888</v>
      </c>
      <c r="AD10" s="593" t="s">
        <v>888</v>
      </c>
      <c r="AE10" s="593" t="s">
        <v>888</v>
      </c>
      <c r="AF10" s="593" t="s">
        <v>888</v>
      </c>
      <c r="AG10" s="593" t="s">
        <v>888</v>
      </c>
      <c r="AH10" s="593" t="s">
        <v>888</v>
      </c>
      <c r="AI10" s="593" t="s">
        <v>888</v>
      </c>
      <c r="AJ10" s="593" t="s">
        <v>888</v>
      </c>
      <c r="AK10" s="593" t="s">
        <v>888</v>
      </c>
      <c r="AL10" s="593" t="s">
        <v>888</v>
      </c>
      <c r="AM10" s="593" t="s">
        <v>888</v>
      </c>
      <c r="AN10" s="593" t="s">
        <v>888</v>
      </c>
      <c r="AO10" s="593" t="s">
        <v>888</v>
      </c>
      <c r="AP10" s="593" t="s">
        <v>888</v>
      </c>
      <c r="AQ10" s="593" t="s">
        <v>888</v>
      </c>
      <c r="AR10" s="593" t="s">
        <v>888</v>
      </c>
      <c r="AS10" s="593" t="s">
        <v>888</v>
      </c>
      <c r="AT10" s="593" t="s">
        <v>888</v>
      </c>
      <c r="AU10" s="593" t="s">
        <v>888</v>
      </c>
      <c r="AV10" s="593" t="s">
        <v>888</v>
      </c>
      <c r="AW10" s="593" t="s">
        <v>888</v>
      </c>
      <c r="AX10" s="593" t="s">
        <v>888</v>
      </c>
      <c r="AY10" s="593" t="s">
        <v>888</v>
      </c>
      <c r="AZ10" s="593" t="s">
        <v>888</v>
      </c>
      <c r="BA10" s="593" t="s">
        <v>888</v>
      </c>
      <c r="BB10" s="593" t="s">
        <v>888</v>
      </c>
      <c r="BC10" s="593" t="s">
        <v>888</v>
      </c>
      <c r="BD10" s="593" t="s">
        <v>888</v>
      </c>
      <c r="BE10" s="593" t="s">
        <v>888</v>
      </c>
      <c r="BF10" s="593" t="s">
        <v>888</v>
      </c>
      <c r="BG10" s="593" t="s">
        <v>888</v>
      </c>
      <c r="BH10" s="593" t="s">
        <v>888</v>
      </c>
      <c r="BI10" s="593" t="s">
        <v>888</v>
      </c>
      <c r="BJ10" s="593" t="s">
        <v>888</v>
      </c>
      <c r="BK10" s="593" t="s">
        <v>888</v>
      </c>
      <c r="BL10" s="593" t="s">
        <v>888</v>
      </c>
      <c r="BM10" s="593" t="s">
        <v>888</v>
      </c>
      <c r="BN10" s="593" t="s">
        <v>888</v>
      </c>
      <c r="BO10" s="593" t="s">
        <v>888</v>
      </c>
      <c r="BP10" s="593" t="s">
        <v>888</v>
      </c>
      <c r="BQ10" s="593" t="s">
        <v>888</v>
      </c>
      <c r="BR10" s="593" t="s">
        <v>888</v>
      </c>
      <c r="BS10" s="593" t="s">
        <v>888</v>
      </c>
      <c r="BT10" s="593" t="s">
        <v>888</v>
      </c>
    </row>
    <row r="11" spans="1:72">
      <c r="A11" s="589" t="s">
        <v>878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878</v>
      </c>
      <c r="B12" s="589" t="s">
        <v>887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878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878</v>
      </c>
      <c r="B14" s="589" t="s">
        <v>886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878</v>
      </c>
      <c r="B15" s="589" t="s">
        <v>885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878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878</v>
      </c>
      <c r="B17" s="589" t="s">
        <v>884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878</v>
      </c>
      <c r="B18" s="589" t="s">
        <v>883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878</v>
      </c>
      <c r="B19" s="589" t="s">
        <v>882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878</v>
      </c>
      <c r="B20" s="589" t="s">
        <v>881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878</v>
      </c>
      <c r="B21" s="589" t="s">
        <v>880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878</v>
      </c>
      <c r="B22" s="589" t="s">
        <v>879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878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878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877</v>
      </c>
    </row>
    <row r="27" spans="1:72">
      <c r="A27" s="585">
        <v>0</v>
      </c>
      <c r="B27" s="584" t="s">
        <v>876</v>
      </c>
    </row>
  </sheetData>
  <mergeCells count="12">
    <mergeCell ref="A8:B8"/>
    <mergeCell ref="A9:B9"/>
    <mergeCell ref="C8:I8"/>
    <mergeCell ref="J8:P8"/>
    <mergeCell ref="Q8:W8"/>
    <mergeCell ref="BG8:BM8"/>
    <mergeCell ref="BN8:BT8"/>
    <mergeCell ref="X8:AD8"/>
    <mergeCell ref="AE8:AK8"/>
    <mergeCell ref="AL8:AR8"/>
    <mergeCell ref="AS8:AY8"/>
    <mergeCell ref="AZ8:BF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workbookViewId="0">
      <selection activeCell="G16" sqref="G1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738</v>
      </c>
    </row>
    <row r="3" spans="2:9">
      <c r="C3" t="s">
        <v>200</v>
      </c>
      <c r="D3" t="s">
        <v>192</v>
      </c>
      <c r="E3" t="s">
        <v>293</v>
      </c>
      <c r="F3" t="s">
        <v>739</v>
      </c>
      <c r="G3" t="s">
        <v>295</v>
      </c>
      <c r="H3" t="s">
        <v>294</v>
      </c>
      <c r="I3" t="s">
        <v>286</v>
      </c>
    </row>
    <row r="4" spans="2:9">
      <c r="B4" t="s">
        <v>937</v>
      </c>
      <c r="C4" s="519">
        <v>1</v>
      </c>
      <c r="D4" s="519">
        <v>1</v>
      </c>
      <c r="E4" s="519">
        <v>1</v>
      </c>
      <c r="F4" s="519">
        <v>1</v>
      </c>
      <c r="G4" s="519">
        <v>1</v>
      </c>
      <c r="H4" s="519">
        <v>1</v>
      </c>
      <c r="I4" s="519">
        <v>1</v>
      </c>
    </row>
    <row r="5" spans="2:9">
      <c r="B5" t="s">
        <v>237</v>
      </c>
      <c r="C5" s="519">
        <v>0</v>
      </c>
      <c r="D5" s="519">
        <v>0</v>
      </c>
      <c r="E5" s="519">
        <v>0</v>
      </c>
      <c r="F5" s="519">
        <v>0</v>
      </c>
      <c r="G5" s="519">
        <v>0</v>
      </c>
      <c r="H5" s="519">
        <v>0</v>
      </c>
      <c r="I5" s="519">
        <v>0</v>
      </c>
    </row>
    <row r="6" spans="2:9">
      <c r="B6" t="s">
        <v>238</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V22" sqref="V22"/>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222</v>
      </c>
    </row>
    <row r="4" spans="2:22" ht="13">
      <c r="B4" t="s">
        <v>225</v>
      </c>
      <c r="C4" t="s">
        <v>227</v>
      </c>
      <c r="D4" t="s">
        <v>228</v>
      </c>
      <c r="E4" t="s">
        <v>226</v>
      </c>
      <c r="S4" s="132" t="s">
        <v>794</v>
      </c>
    </row>
    <row r="5" spans="2:22" ht="28.75" customHeight="1">
      <c r="B5" s="331" t="s">
        <v>223</v>
      </c>
      <c r="C5" s="331" t="s">
        <v>230</v>
      </c>
      <c r="D5" s="332">
        <v>0.3</v>
      </c>
      <c r="E5" s="667" t="s">
        <v>224</v>
      </c>
    </row>
    <row r="6" spans="2:22" ht="28.75" customHeight="1">
      <c r="B6" s="331" t="s">
        <v>223</v>
      </c>
      <c r="C6" s="331" t="s">
        <v>229</v>
      </c>
      <c r="D6" s="333">
        <v>0.7</v>
      </c>
      <c r="E6" s="667"/>
      <c r="S6" s="132" t="s">
        <v>791</v>
      </c>
    </row>
    <row r="7" spans="2:22">
      <c r="T7" s="106" t="s">
        <v>116</v>
      </c>
      <c r="U7" s="106" t="s">
        <v>792</v>
      </c>
    </row>
    <row r="8" spans="2:22">
      <c r="B8" s="106"/>
      <c r="S8" s="156">
        <v>2011</v>
      </c>
      <c r="T8" s="525">
        <v>4.0054008414882007</v>
      </c>
      <c r="U8" s="525">
        <v>3.1390555577411314</v>
      </c>
      <c r="V8" s="106" t="s">
        <v>793</v>
      </c>
    </row>
    <row r="9" spans="2:22">
      <c r="S9" s="156">
        <v>2016</v>
      </c>
      <c r="T9" s="525">
        <v>4.7531666045225966</v>
      </c>
      <c r="U9" s="525">
        <v>3.6871365087455148</v>
      </c>
      <c r="V9" s="106" t="s">
        <v>793</v>
      </c>
    </row>
    <row r="10" spans="2:22">
      <c r="S10" s="156">
        <v>2021</v>
      </c>
      <c r="T10" s="525">
        <v>6.0763888888888884</v>
      </c>
      <c r="U10" s="525">
        <v>6.0763888888888884</v>
      </c>
      <c r="V10" s="106" t="s">
        <v>793</v>
      </c>
    </row>
    <row r="11" spans="2:22">
      <c r="S11" s="164">
        <v>2031</v>
      </c>
      <c r="T11" s="525">
        <v>6.9444444444444446</v>
      </c>
      <c r="U11" s="525">
        <v>6.9444444444444446</v>
      </c>
      <c r="V11" s="106" t="s">
        <v>793</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963</v>
      </c>
    </row>
    <row r="15" spans="2:22">
      <c r="C15" s="106" t="s">
        <v>234</v>
      </c>
      <c r="D15" s="6">
        <v>3393</v>
      </c>
      <c r="E15" s="6">
        <v>3410</v>
      </c>
      <c r="F15" s="6">
        <v>3558</v>
      </c>
      <c r="G15" s="6">
        <v>3577</v>
      </c>
      <c r="H15" s="6">
        <v>3598</v>
      </c>
      <c r="I15" s="126">
        <v>3620</v>
      </c>
      <c r="J15" s="126">
        <v>3646</v>
      </c>
      <c r="K15" s="126">
        <v>3670</v>
      </c>
      <c r="L15" s="126">
        <v>3698</v>
      </c>
      <c r="M15" s="126">
        <v>3725</v>
      </c>
      <c r="N15" t="s">
        <v>961</v>
      </c>
    </row>
    <row r="16" spans="2:22">
      <c r="C16" t="s">
        <v>232</v>
      </c>
      <c r="D16">
        <v>43297</v>
      </c>
      <c r="E16">
        <v>38051</v>
      </c>
      <c r="F16">
        <v>39101</v>
      </c>
      <c r="G16">
        <v>39649</v>
      </c>
      <c r="H16">
        <v>34679</v>
      </c>
      <c r="I16" s="106">
        <v>33997</v>
      </c>
      <c r="J16" s="106">
        <v>37522</v>
      </c>
      <c r="K16" s="106">
        <v>39969</v>
      </c>
      <c r="L16" s="106">
        <v>44387</v>
      </c>
      <c r="M16" s="106">
        <v>39473</v>
      </c>
      <c r="N16" t="s">
        <v>962</v>
      </c>
    </row>
    <row r="17" spans="2:14">
      <c r="C17" t="s">
        <v>233</v>
      </c>
      <c r="D17">
        <v>206.53</v>
      </c>
      <c r="E17">
        <v>206.53</v>
      </c>
      <c r="F17">
        <v>206.53</v>
      </c>
      <c r="G17">
        <v>206.56</v>
      </c>
      <c r="H17">
        <v>202.33</v>
      </c>
      <c r="I17" s="106">
        <v>199.73</v>
      </c>
      <c r="J17" s="106">
        <v>192.4</v>
      </c>
      <c r="K17" s="106">
        <v>192.4</v>
      </c>
      <c r="L17" s="106">
        <v>192.4</v>
      </c>
      <c r="M17" s="106">
        <v>192.4</v>
      </c>
      <c r="N17" t="s">
        <v>960</v>
      </c>
    </row>
    <row r="18" spans="2:14">
      <c r="D18" s="220"/>
      <c r="E18" s="220"/>
      <c r="F18" s="220"/>
      <c r="G18" s="220"/>
      <c r="H18" s="220"/>
      <c r="I18" s="220"/>
      <c r="J18" s="220"/>
      <c r="K18" s="220"/>
      <c r="L18" s="220"/>
      <c r="M18" s="220"/>
    </row>
    <row r="20" spans="2:14">
      <c r="B20" t="s">
        <v>236</v>
      </c>
    </row>
    <row r="21" spans="2:14">
      <c r="B21" s="106" t="s">
        <v>239</v>
      </c>
    </row>
    <row r="22" spans="2:14">
      <c r="B22" s="106" t="s">
        <v>937</v>
      </c>
      <c r="C22">
        <f>'Data manipulation'!AF5*1000-C23-C24</f>
        <v>3725000</v>
      </c>
      <c r="D22" s="106" t="s">
        <v>242</v>
      </c>
    </row>
    <row r="23" spans="2:14">
      <c r="B23" s="106" t="s">
        <v>237</v>
      </c>
      <c r="C23" s="106">
        <v>0</v>
      </c>
      <c r="D23" s="106" t="s">
        <v>241</v>
      </c>
    </row>
    <row r="24" spans="2:14">
      <c r="B24" s="106" t="s">
        <v>238</v>
      </c>
      <c r="C24">
        <v>0</v>
      </c>
      <c r="D24" s="106" t="s">
        <v>240</v>
      </c>
    </row>
    <row r="25" spans="2:14">
      <c r="C25" s="336"/>
    </row>
    <row r="27" spans="2:14">
      <c r="B27" t="s">
        <v>236</v>
      </c>
    </row>
    <row r="28" spans="2:14">
      <c r="B28" s="106" t="s">
        <v>243</v>
      </c>
    </row>
    <row r="29" spans="2:14">
      <c r="B29" s="106" t="s">
        <v>937</v>
      </c>
      <c r="C29">
        <f>M14-C30-C31</f>
        <v>82792</v>
      </c>
      <c r="D29" s="106" t="s">
        <v>242</v>
      </c>
    </row>
    <row r="30" spans="2:14">
      <c r="B30" s="106" t="s">
        <v>237</v>
      </c>
      <c r="C30" s="106">
        <v>0</v>
      </c>
      <c r="D30" s="106" t="s">
        <v>241</v>
      </c>
    </row>
    <row r="31" spans="2:14">
      <c r="B31" s="106" t="s">
        <v>238</v>
      </c>
      <c r="C31">
        <v>0</v>
      </c>
      <c r="D31" s="106" t="s">
        <v>240</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74" t="s">
        <v>244</v>
      </c>
      <c r="C38" s="674"/>
      <c r="D38" s="674"/>
      <c r="E38" s="674"/>
      <c r="F38" s="300"/>
      <c r="G38" s="300"/>
      <c r="H38" s="300"/>
    </row>
    <row r="39" spans="2:8" ht="14.5" thickBot="1">
      <c r="B39" s="337"/>
      <c r="C39" s="337"/>
      <c r="D39" s="337"/>
      <c r="E39" s="337"/>
      <c r="F39" s="300"/>
      <c r="G39" s="300"/>
      <c r="H39" s="300"/>
    </row>
    <row r="40" spans="2:8" ht="14">
      <c r="B40" s="672"/>
      <c r="C40" s="675" t="s">
        <v>245</v>
      </c>
      <c r="D40" s="662" t="s">
        <v>246</v>
      </c>
      <c r="E40" s="663"/>
      <c r="F40" s="300"/>
      <c r="G40" s="300"/>
      <c r="H40" s="300"/>
    </row>
    <row r="41" spans="2:8" ht="14.5" thickBot="1">
      <c r="B41" s="673"/>
      <c r="C41" s="676"/>
      <c r="D41" s="338" t="s">
        <v>247</v>
      </c>
      <c r="E41" s="339" t="s">
        <v>248</v>
      </c>
      <c r="F41" s="300"/>
      <c r="G41" s="300"/>
      <c r="H41" s="300"/>
    </row>
    <row r="42" spans="2:8" ht="16.5">
      <c r="B42" s="340" t="s">
        <v>249</v>
      </c>
      <c r="C42" s="341">
        <v>22.1</v>
      </c>
      <c r="D42" s="341">
        <v>19.600000000000001</v>
      </c>
      <c r="E42" s="342">
        <v>25</v>
      </c>
      <c r="F42" s="300"/>
      <c r="G42" s="300"/>
      <c r="H42" s="300"/>
    </row>
    <row r="43" spans="2:8" ht="16.5">
      <c r="B43" s="343" t="s">
        <v>250</v>
      </c>
      <c r="C43" s="344">
        <v>15.5</v>
      </c>
      <c r="D43" s="344">
        <v>14</v>
      </c>
      <c r="E43" s="345">
        <v>17.2</v>
      </c>
      <c r="F43" s="300"/>
      <c r="G43" s="300"/>
      <c r="H43" s="300"/>
    </row>
    <row r="44" spans="2:8" ht="14">
      <c r="B44" s="664" t="s">
        <v>251</v>
      </c>
      <c r="C44" s="665"/>
      <c r="D44" s="665"/>
      <c r="E44" s="666"/>
      <c r="F44" s="300"/>
      <c r="G44" s="300"/>
      <c r="H44" s="300"/>
    </row>
    <row r="45" spans="2:8" ht="14">
      <c r="B45" s="346" t="s">
        <v>106</v>
      </c>
      <c r="C45" s="347">
        <v>100</v>
      </c>
      <c r="D45" s="347">
        <v>100</v>
      </c>
      <c r="E45" s="348">
        <v>100</v>
      </c>
      <c r="F45" s="300"/>
      <c r="G45" s="300"/>
      <c r="H45" s="300"/>
    </row>
    <row r="46" spans="2:8" ht="16">
      <c r="B46" s="349" t="s">
        <v>252</v>
      </c>
      <c r="C46" s="350">
        <v>7.4</v>
      </c>
      <c r="D46" s="350">
        <v>10.5</v>
      </c>
      <c r="E46" s="351">
        <v>3.5</v>
      </c>
      <c r="F46" s="300"/>
      <c r="G46" s="300"/>
      <c r="H46" s="300"/>
    </row>
    <row r="47" spans="2:8" ht="16">
      <c r="B47" s="349" t="s">
        <v>253</v>
      </c>
      <c r="C47" s="350">
        <v>40.299999999999997</v>
      </c>
      <c r="D47" s="350">
        <v>46.1</v>
      </c>
      <c r="E47" s="351">
        <v>33.1</v>
      </c>
      <c r="F47" s="300"/>
      <c r="G47" s="300"/>
      <c r="H47" s="300"/>
    </row>
    <row r="48" spans="2:8" ht="16">
      <c r="B48" s="349" t="s">
        <v>254</v>
      </c>
      <c r="C48" s="350">
        <v>27.6</v>
      </c>
      <c r="D48" s="350">
        <v>24.3</v>
      </c>
      <c r="E48" s="351">
        <v>31.8</v>
      </c>
      <c r="F48" s="300"/>
      <c r="G48" s="300"/>
      <c r="H48" s="300"/>
    </row>
    <row r="49" spans="2:8" ht="16">
      <c r="B49" s="349" t="s">
        <v>255</v>
      </c>
      <c r="C49" s="350">
        <v>24.6</v>
      </c>
      <c r="D49" s="350">
        <v>19.100000000000001</v>
      </c>
      <c r="E49" s="351">
        <v>31.6</v>
      </c>
      <c r="F49" s="300"/>
      <c r="G49" s="300"/>
      <c r="H49" s="300"/>
    </row>
    <row r="50" spans="2:8" ht="14">
      <c r="B50" s="664" t="s">
        <v>256</v>
      </c>
      <c r="C50" s="665"/>
      <c r="D50" s="665"/>
      <c r="E50" s="666"/>
      <c r="F50" s="300"/>
      <c r="G50" s="300"/>
      <c r="H50" s="300"/>
    </row>
    <row r="51" spans="2:8" ht="14">
      <c r="B51" s="346" t="s">
        <v>106</v>
      </c>
      <c r="C51" s="347">
        <v>100</v>
      </c>
      <c r="D51" s="347">
        <v>100</v>
      </c>
      <c r="E51" s="348">
        <v>100</v>
      </c>
      <c r="F51" s="300"/>
      <c r="G51" s="300"/>
      <c r="H51" s="300"/>
    </row>
    <row r="52" spans="2:8" ht="16">
      <c r="B52" s="349" t="s">
        <v>252</v>
      </c>
      <c r="C52" s="350">
        <v>26.4</v>
      </c>
      <c r="D52" s="350">
        <v>32.700000000000003</v>
      </c>
      <c r="E52" s="351">
        <v>18.5</v>
      </c>
      <c r="F52" s="300"/>
      <c r="G52" s="300"/>
      <c r="H52" s="300"/>
    </row>
    <row r="53" spans="2:8" ht="16">
      <c r="B53" s="349" t="s">
        <v>253</v>
      </c>
      <c r="C53" s="350">
        <v>46.2</v>
      </c>
      <c r="D53" s="350">
        <v>44.7</v>
      </c>
      <c r="E53" s="351">
        <v>48.1</v>
      </c>
      <c r="F53" s="300"/>
      <c r="G53" s="300"/>
      <c r="H53" s="300"/>
    </row>
    <row r="54" spans="2:8" ht="16">
      <c r="B54" s="349" t="s">
        <v>254</v>
      </c>
      <c r="C54" s="350">
        <v>16.600000000000001</v>
      </c>
      <c r="D54" s="350">
        <v>13.8</v>
      </c>
      <c r="E54" s="351">
        <v>20.2</v>
      </c>
      <c r="F54" s="300"/>
      <c r="G54" s="300"/>
      <c r="H54" s="300"/>
    </row>
    <row r="55" spans="2:8" ht="16">
      <c r="B55" s="349" t="s">
        <v>255</v>
      </c>
      <c r="C55" s="350">
        <v>10.7</v>
      </c>
      <c r="D55" s="350">
        <v>8.8000000000000007</v>
      </c>
      <c r="E55" s="351">
        <v>13.2</v>
      </c>
      <c r="F55" s="300"/>
      <c r="G55" s="300"/>
      <c r="H55" s="300"/>
    </row>
    <row r="56" spans="2:8" ht="14">
      <c r="B56" s="669" t="s">
        <v>257</v>
      </c>
      <c r="C56" s="670"/>
      <c r="D56" s="670"/>
      <c r="E56" s="671"/>
      <c r="F56" s="300"/>
      <c r="G56" s="300"/>
      <c r="H56" s="300"/>
    </row>
    <row r="57" spans="2:8" ht="14">
      <c r="B57" s="346" t="s">
        <v>106</v>
      </c>
      <c r="C57" s="347">
        <v>100</v>
      </c>
      <c r="D57" s="347">
        <v>100</v>
      </c>
      <c r="E57" s="348">
        <v>100</v>
      </c>
      <c r="F57" s="300"/>
      <c r="G57" s="300"/>
      <c r="H57" s="300"/>
    </row>
    <row r="58" spans="2:8" ht="14">
      <c r="B58" s="349" t="s">
        <v>258</v>
      </c>
      <c r="C58" s="352">
        <v>3.6</v>
      </c>
      <c r="D58" s="352">
        <v>5.6</v>
      </c>
      <c r="E58" s="353">
        <v>1.1000000000000001</v>
      </c>
      <c r="F58" s="300"/>
      <c r="G58" s="300"/>
      <c r="H58" s="300"/>
    </row>
    <row r="59" spans="2:8" ht="14">
      <c r="B59" s="349" t="s">
        <v>259</v>
      </c>
      <c r="C59" s="352">
        <v>25</v>
      </c>
      <c r="D59" s="352">
        <v>30.4</v>
      </c>
      <c r="E59" s="353">
        <v>18.2</v>
      </c>
      <c r="F59" s="300"/>
      <c r="G59" s="300"/>
      <c r="H59" s="300"/>
    </row>
    <row r="60" spans="2:8" ht="14">
      <c r="B60" s="349" t="s">
        <v>260</v>
      </c>
      <c r="C60" s="352">
        <v>40.6</v>
      </c>
      <c r="D60" s="352">
        <v>39.5</v>
      </c>
      <c r="E60" s="353">
        <v>41.9</v>
      </c>
      <c r="F60" s="300"/>
      <c r="G60" s="300"/>
      <c r="H60" s="300"/>
    </row>
    <row r="61" spans="2:8" ht="14">
      <c r="B61" s="349" t="s">
        <v>261</v>
      </c>
      <c r="C61" s="352">
        <v>21.3</v>
      </c>
      <c r="D61" s="352">
        <v>17.8</v>
      </c>
      <c r="E61" s="353">
        <v>25.7</v>
      </c>
      <c r="F61" s="300"/>
      <c r="G61" s="300"/>
      <c r="H61" s="300"/>
    </row>
    <row r="62" spans="2:8" ht="14">
      <c r="B62" s="349" t="s">
        <v>262</v>
      </c>
      <c r="C62" s="352">
        <v>9.5</v>
      </c>
      <c r="D62" s="352">
        <v>6.7</v>
      </c>
      <c r="E62" s="353">
        <v>13</v>
      </c>
      <c r="F62" s="300"/>
      <c r="G62" s="300"/>
      <c r="H62" s="300"/>
    </row>
    <row r="63" spans="2:8" ht="14">
      <c r="B63" s="669" t="s">
        <v>263</v>
      </c>
      <c r="C63" s="670"/>
      <c r="D63" s="670"/>
      <c r="E63" s="671"/>
      <c r="F63" s="300"/>
      <c r="G63" s="300"/>
      <c r="H63" s="300"/>
    </row>
    <row r="64" spans="2:8" ht="14">
      <c r="B64" s="346" t="s">
        <v>106</v>
      </c>
      <c r="C64" s="347">
        <v>100</v>
      </c>
      <c r="D64" s="347">
        <v>100</v>
      </c>
      <c r="E64" s="348">
        <v>100</v>
      </c>
      <c r="F64" s="300"/>
    </row>
    <row r="65" spans="2:8" ht="14">
      <c r="B65" s="349" t="s">
        <v>264</v>
      </c>
      <c r="C65" s="350">
        <v>65.8</v>
      </c>
      <c r="D65" s="350">
        <v>43.1</v>
      </c>
      <c r="E65" s="351">
        <v>94.2</v>
      </c>
      <c r="F65" s="300"/>
    </row>
    <row r="66" spans="2:8" ht="14">
      <c r="B66" s="349" t="s">
        <v>265</v>
      </c>
      <c r="C66" s="350">
        <v>1.4</v>
      </c>
      <c r="D66" s="350">
        <v>1.8</v>
      </c>
      <c r="E66" s="351">
        <v>0.9</v>
      </c>
      <c r="F66" s="300"/>
    </row>
    <row r="67" spans="2:8" ht="14">
      <c r="B67" s="349" t="s">
        <v>266</v>
      </c>
      <c r="C67" s="350">
        <v>31.1</v>
      </c>
      <c r="D67" s="350">
        <v>53.9</v>
      </c>
      <c r="E67" s="351">
        <v>2.6</v>
      </c>
      <c r="F67" s="300"/>
    </row>
    <row r="68" spans="2:8" ht="14">
      <c r="B68" s="349" t="s">
        <v>267</v>
      </c>
      <c r="C68" s="350">
        <v>1.4</v>
      </c>
      <c r="D68" s="350">
        <v>1.1000000000000001</v>
      </c>
      <c r="E68" s="351">
        <v>1.7</v>
      </c>
      <c r="F68" s="300"/>
      <c r="G68" s="300"/>
      <c r="H68" s="300"/>
    </row>
    <row r="69" spans="2:8" ht="14">
      <c r="B69" s="349" t="s">
        <v>268</v>
      </c>
      <c r="C69" s="350">
        <v>0.3</v>
      </c>
      <c r="D69" s="350">
        <v>0.1</v>
      </c>
      <c r="E69" s="351">
        <v>0.6</v>
      </c>
      <c r="F69" s="300"/>
      <c r="G69" s="300"/>
      <c r="H69" s="300"/>
    </row>
    <row r="70" spans="2:8" ht="14">
      <c r="B70" s="669" t="s">
        <v>269</v>
      </c>
      <c r="C70" s="670"/>
      <c r="D70" s="670"/>
      <c r="E70" s="671"/>
      <c r="F70" s="300"/>
      <c r="G70" s="300"/>
      <c r="H70" s="300"/>
    </row>
    <row r="71" spans="2:8" ht="14">
      <c r="B71" s="346" t="s">
        <v>106</v>
      </c>
      <c r="C71" s="347">
        <v>100</v>
      </c>
      <c r="D71" s="347">
        <v>100</v>
      </c>
      <c r="E71" s="348">
        <v>100</v>
      </c>
      <c r="F71" s="300"/>
      <c r="G71" s="300"/>
      <c r="H71" s="300"/>
    </row>
    <row r="72" spans="2:8" ht="14">
      <c r="B72" s="349" t="s">
        <v>270</v>
      </c>
      <c r="C72" s="352">
        <v>93.9</v>
      </c>
      <c r="D72" s="352">
        <v>94.2</v>
      </c>
      <c r="E72" s="353">
        <v>93.4</v>
      </c>
      <c r="F72" s="300"/>
      <c r="G72" s="300"/>
      <c r="H72" s="300"/>
    </row>
    <row r="73" spans="2:8" ht="14">
      <c r="B73" s="349" t="s">
        <v>271</v>
      </c>
      <c r="C73" s="352">
        <v>3.7</v>
      </c>
      <c r="D73" s="352">
        <v>2.8</v>
      </c>
      <c r="E73" s="353">
        <v>4.9000000000000004</v>
      </c>
      <c r="F73" s="300"/>
      <c r="G73" s="300"/>
      <c r="H73" s="300"/>
    </row>
    <row r="74" spans="2:8" ht="14">
      <c r="B74" s="349" t="s">
        <v>272</v>
      </c>
      <c r="C74" s="352">
        <v>0.6</v>
      </c>
      <c r="D74" s="352">
        <v>0.7</v>
      </c>
      <c r="E74" s="353">
        <v>0.6</v>
      </c>
      <c r="F74" s="300"/>
      <c r="G74" s="300"/>
      <c r="H74" s="300"/>
    </row>
    <row r="75" spans="2:8" ht="14">
      <c r="B75" s="349" t="s">
        <v>273</v>
      </c>
      <c r="C75" s="352">
        <v>0.8</v>
      </c>
      <c r="D75" s="352">
        <v>1.4</v>
      </c>
      <c r="E75" s="353">
        <v>0</v>
      </c>
      <c r="F75" s="300"/>
      <c r="G75" s="300"/>
      <c r="H75" s="300"/>
    </row>
    <row r="76" spans="2:8" ht="14.5" thickBot="1">
      <c r="B76" s="354" t="s">
        <v>274</v>
      </c>
      <c r="C76" s="355">
        <v>1</v>
      </c>
      <c r="D76" s="355">
        <v>0.8</v>
      </c>
      <c r="E76" s="356">
        <v>1.1000000000000001</v>
      </c>
      <c r="G76" s="300"/>
      <c r="H76" s="300"/>
    </row>
    <row r="87" spans="2:3">
      <c r="B87" t="s">
        <v>282</v>
      </c>
    </row>
    <row r="88" spans="2:3">
      <c r="B88" s="106" t="s">
        <v>283</v>
      </c>
    </row>
    <row r="91" spans="2:3">
      <c r="B91" s="336">
        <v>0.14099999999999999</v>
      </c>
      <c r="C91" s="106" t="s">
        <v>284</v>
      </c>
    </row>
    <row r="92" spans="2:3">
      <c r="B92" s="333">
        <v>0.01</v>
      </c>
      <c r="C92" s="106" t="s">
        <v>285</v>
      </c>
    </row>
    <row r="93" spans="2:3">
      <c r="B93" s="336">
        <v>6.0999999999999999E-2</v>
      </c>
      <c r="C93" s="106" t="s">
        <v>286</v>
      </c>
    </row>
    <row r="94" spans="2:3">
      <c r="B94" s="336">
        <v>0.14799999999999999</v>
      </c>
      <c r="C94" s="106" t="s">
        <v>287</v>
      </c>
    </row>
    <row r="95" spans="2:3">
      <c r="B95" s="336">
        <v>4.0000000000000001E-3</v>
      </c>
      <c r="C95" s="106" t="s">
        <v>288</v>
      </c>
    </row>
    <row r="96" spans="2:3">
      <c r="B96" s="336">
        <v>0.63600000000000001</v>
      </c>
      <c r="C96" s="106" t="s">
        <v>289</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68" t="s">
        <v>300</v>
      </c>
      <c r="C129" s="668"/>
      <c r="D129" s="668"/>
      <c r="E129" s="668"/>
      <c r="F129" s="668"/>
      <c r="G129" s="668"/>
      <c r="H129" s="668"/>
      <c r="I129" s="668"/>
      <c r="J129" s="668"/>
      <c r="K129" s="668"/>
    </row>
    <row r="130" spans="1:11" ht="15.5">
      <c r="B130" s="655" t="s">
        <v>301</v>
      </c>
      <c r="C130" s="655"/>
      <c r="D130" s="655"/>
      <c r="E130" s="655"/>
      <c r="F130" s="655"/>
      <c r="G130" s="655"/>
      <c r="H130" s="655"/>
      <c r="I130" s="655"/>
      <c r="J130" s="655"/>
      <c r="K130" s="655"/>
    </row>
    <row r="131" spans="1:11" ht="16" thickBot="1">
      <c r="B131" s="365"/>
      <c r="C131" s="366"/>
      <c r="D131" s="366"/>
      <c r="E131" s="366"/>
      <c r="F131" s="366"/>
      <c r="G131" s="366"/>
      <c r="H131" s="366"/>
      <c r="I131" s="366"/>
      <c r="J131" s="366"/>
      <c r="K131" s="366"/>
    </row>
    <row r="132" spans="1:11" ht="15.5">
      <c r="B132" s="656" t="s">
        <v>302</v>
      </c>
      <c r="C132" s="658" t="s">
        <v>106</v>
      </c>
      <c r="D132" s="660" t="s">
        <v>303</v>
      </c>
      <c r="E132" s="660"/>
      <c r="F132" s="658" t="s">
        <v>304</v>
      </c>
      <c r="G132" s="660" t="s">
        <v>303</v>
      </c>
      <c r="H132" s="660"/>
      <c r="I132" s="658" t="s">
        <v>305</v>
      </c>
      <c r="J132" s="660" t="s">
        <v>303</v>
      </c>
      <c r="K132" s="661"/>
    </row>
    <row r="133" spans="1:11" ht="15.5" thickBot="1">
      <c r="B133" s="657"/>
      <c r="C133" s="659"/>
      <c r="D133" s="367" t="s">
        <v>306</v>
      </c>
      <c r="E133" s="367" t="s">
        <v>307</v>
      </c>
      <c r="F133" s="659"/>
      <c r="G133" s="367" t="s">
        <v>306</v>
      </c>
      <c r="H133" s="367" t="s">
        <v>307</v>
      </c>
      <c r="I133" s="659"/>
      <c r="J133" s="367" t="s">
        <v>306</v>
      </c>
      <c r="K133" s="368" t="s">
        <v>307</v>
      </c>
    </row>
    <row r="134" spans="1:11" ht="15">
      <c r="B134" s="369" t="s">
        <v>308</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937</v>
      </c>
      <c r="B136" s="372" t="s">
        <v>309</v>
      </c>
      <c r="C136" s="374">
        <v>2277.5</v>
      </c>
      <c r="D136" s="374">
        <v>1132.7</v>
      </c>
      <c r="E136" s="374">
        <v>1144.8</v>
      </c>
      <c r="F136" s="374">
        <v>2277.5</v>
      </c>
      <c r="G136" s="374">
        <v>1132.7</v>
      </c>
      <c r="H136" s="374">
        <v>1144.8</v>
      </c>
      <c r="I136" s="376" t="s">
        <v>206</v>
      </c>
      <c r="J136" s="376" t="s">
        <v>206</v>
      </c>
      <c r="K136" s="377" t="s">
        <v>206</v>
      </c>
    </row>
    <row r="137" spans="1:11" ht="15.5">
      <c r="B137" s="378" t="s">
        <v>303</v>
      </c>
      <c r="C137" s="373"/>
      <c r="D137" s="373"/>
      <c r="E137" s="373"/>
      <c r="F137" s="373"/>
      <c r="G137" s="373"/>
      <c r="H137" s="373"/>
      <c r="I137" s="373"/>
      <c r="J137" s="373"/>
      <c r="K137" s="379"/>
    </row>
    <row r="138" spans="1:11" ht="15">
      <c r="B138" s="372" t="s">
        <v>310</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5">
      <c r="B139" s="380" t="s">
        <v>311</v>
      </c>
      <c r="C139" s="373">
        <v>3.6</v>
      </c>
      <c r="D139" s="373">
        <v>1.9</v>
      </c>
      <c r="E139" s="373">
        <v>1.7000000000000002</v>
      </c>
      <c r="F139" s="373">
        <v>3.6</v>
      </c>
      <c r="G139" s="373">
        <v>1.9</v>
      </c>
      <c r="H139" s="373">
        <v>1.7000000000000002</v>
      </c>
      <c r="I139" s="376" t="s">
        <v>206</v>
      </c>
      <c r="J139" s="376" t="s">
        <v>206</v>
      </c>
      <c r="K139" s="377" t="s">
        <v>206</v>
      </c>
    </row>
    <row r="140" spans="1:11" ht="15.5">
      <c r="B140" s="380" t="s">
        <v>312</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5">
      <c r="B141" s="380" t="s">
        <v>313</v>
      </c>
      <c r="C141" s="373">
        <v>50.6</v>
      </c>
      <c r="D141" s="373">
        <v>25.3</v>
      </c>
      <c r="E141" s="373">
        <v>25.3</v>
      </c>
      <c r="F141" s="373">
        <v>50.6</v>
      </c>
      <c r="G141" s="373">
        <v>25.3</v>
      </c>
      <c r="H141" s="373">
        <v>25.3</v>
      </c>
      <c r="I141" s="376" t="s">
        <v>206</v>
      </c>
      <c r="J141" s="376" t="s">
        <v>206</v>
      </c>
      <c r="K141" s="377" t="s">
        <v>206</v>
      </c>
    </row>
    <row r="142" spans="1:11" ht="15.5">
      <c r="B142" s="380" t="s">
        <v>314</v>
      </c>
      <c r="C142" s="373">
        <v>39</v>
      </c>
      <c r="D142" s="373">
        <v>19.5</v>
      </c>
      <c r="E142" s="373">
        <v>19.5</v>
      </c>
      <c r="F142" s="373">
        <v>39</v>
      </c>
      <c r="G142" s="373">
        <v>19.5</v>
      </c>
      <c r="H142" s="373">
        <v>19.5</v>
      </c>
      <c r="I142" s="376" t="s">
        <v>206</v>
      </c>
      <c r="J142" s="376" t="s">
        <v>206</v>
      </c>
      <c r="K142" s="377" t="s">
        <v>206</v>
      </c>
    </row>
    <row r="143" spans="1:11" ht="15.5">
      <c r="B143" s="380" t="s">
        <v>315</v>
      </c>
      <c r="C143" s="373">
        <v>7</v>
      </c>
      <c r="D143" s="373">
        <v>3.7</v>
      </c>
      <c r="E143" s="373">
        <v>3.3</v>
      </c>
      <c r="F143" s="373">
        <v>7</v>
      </c>
      <c r="G143" s="373">
        <v>3.7</v>
      </c>
      <c r="H143" s="373">
        <v>3.3</v>
      </c>
      <c r="I143" s="376" t="s">
        <v>206</v>
      </c>
      <c r="J143" s="376" t="s">
        <v>206</v>
      </c>
      <c r="K143" s="377" t="s">
        <v>206</v>
      </c>
    </row>
    <row r="144" spans="1:11" ht="15.5">
      <c r="B144" s="380" t="s">
        <v>316</v>
      </c>
      <c r="C144" s="373">
        <v>54.4</v>
      </c>
      <c r="D144" s="373">
        <v>27.2</v>
      </c>
      <c r="E144" s="373">
        <v>27.2</v>
      </c>
      <c r="F144" s="373">
        <v>54.4</v>
      </c>
      <c r="G144" s="373">
        <v>27.2</v>
      </c>
      <c r="H144" s="373">
        <v>27.2</v>
      </c>
      <c r="I144" s="376" t="s">
        <v>206</v>
      </c>
      <c r="J144" s="376" t="s">
        <v>206</v>
      </c>
      <c r="K144" s="377" t="s">
        <v>206</v>
      </c>
    </row>
    <row r="145" spans="2:11" ht="15">
      <c r="B145" s="372" t="s">
        <v>317</v>
      </c>
      <c r="C145" s="374">
        <v>125.5</v>
      </c>
      <c r="D145" s="374">
        <v>63.9</v>
      </c>
      <c r="E145" s="374">
        <v>61.6</v>
      </c>
      <c r="F145" s="374">
        <v>125.5</v>
      </c>
      <c r="G145" s="374">
        <v>63.9</v>
      </c>
      <c r="H145" s="374">
        <v>61.6</v>
      </c>
      <c r="I145" s="376" t="s">
        <v>206</v>
      </c>
      <c r="J145" s="376" t="s">
        <v>206</v>
      </c>
      <c r="K145" s="377" t="s">
        <v>206</v>
      </c>
    </row>
    <row r="146" spans="2:11" ht="15.5">
      <c r="B146" s="380" t="s">
        <v>318</v>
      </c>
      <c r="C146" s="373">
        <v>12.6</v>
      </c>
      <c r="D146" s="373">
        <v>6.5</v>
      </c>
      <c r="E146" s="373">
        <v>6.1</v>
      </c>
      <c r="F146" s="373">
        <v>12.6</v>
      </c>
      <c r="G146" s="373">
        <v>6.5</v>
      </c>
      <c r="H146" s="373">
        <v>6.1</v>
      </c>
      <c r="I146" s="376" t="s">
        <v>206</v>
      </c>
      <c r="J146" s="376" t="s">
        <v>206</v>
      </c>
      <c r="K146" s="377" t="s">
        <v>206</v>
      </c>
    </row>
    <row r="147" spans="2:11" ht="15.5">
      <c r="B147" s="380" t="s">
        <v>319</v>
      </c>
      <c r="C147" s="373">
        <v>1.5</v>
      </c>
      <c r="D147" s="373">
        <v>0.7</v>
      </c>
      <c r="E147" s="373">
        <v>0.8</v>
      </c>
      <c r="F147" s="373">
        <v>1.5</v>
      </c>
      <c r="G147" s="373">
        <v>0.7</v>
      </c>
      <c r="H147" s="373">
        <v>0.8</v>
      </c>
      <c r="I147" s="376" t="s">
        <v>206</v>
      </c>
      <c r="J147" s="376" t="s">
        <v>206</v>
      </c>
      <c r="K147" s="377" t="s">
        <v>206</v>
      </c>
    </row>
    <row r="148" spans="2:11" ht="15.5">
      <c r="B148" s="380" t="s">
        <v>320</v>
      </c>
      <c r="C148" s="373">
        <v>0.4</v>
      </c>
      <c r="D148" s="373">
        <v>0.2</v>
      </c>
      <c r="E148" s="373">
        <v>0.2</v>
      </c>
      <c r="F148" s="373">
        <v>0.4</v>
      </c>
      <c r="G148" s="373">
        <v>0.2</v>
      </c>
      <c r="H148" s="373">
        <v>0.2</v>
      </c>
      <c r="I148" s="376" t="s">
        <v>206</v>
      </c>
      <c r="J148" s="376" t="s">
        <v>206</v>
      </c>
      <c r="K148" s="377" t="s">
        <v>206</v>
      </c>
    </row>
    <row r="149" spans="2:11" ht="15.5">
      <c r="B149" s="380" t="s">
        <v>321</v>
      </c>
      <c r="C149" s="373">
        <v>0.9</v>
      </c>
      <c r="D149" s="373">
        <v>0.4</v>
      </c>
      <c r="E149" s="373">
        <v>0.5</v>
      </c>
      <c r="F149" s="373">
        <v>0.9</v>
      </c>
      <c r="G149" s="373">
        <v>0.4</v>
      </c>
      <c r="H149" s="373">
        <v>0.5</v>
      </c>
      <c r="I149" s="376" t="s">
        <v>206</v>
      </c>
      <c r="J149" s="376" t="s">
        <v>206</v>
      </c>
      <c r="K149" s="377" t="s">
        <v>206</v>
      </c>
    </row>
    <row r="150" spans="2:11" ht="15.5">
      <c r="B150" s="380" t="s">
        <v>322</v>
      </c>
      <c r="C150" s="373" t="s">
        <v>206</v>
      </c>
      <c r="D150" s="373" t="s">
        <v>206</v>
      </c>
      <c r="E150" s="373" t="s">
        <v>206</v>
      </c>
      <c r="F150" s="373" t="s">
        <v>206</v>
      </c>
      <c r="G150" s="373" t="s">
        <v>206</v>
      </c>
      <c r="H150" s="373" t="s">
        <v>206</v>
      </c>
      <c r="I150" s="376" t="s">
        <v>206</v>
      </c>
      <c r="J150" s="376" t="s">
        <v>206</v>
      </c>
      <c r="K150" s="377" t="s">
        <v>206</v>
      </c>
    </row>
    <row r="151" spans="2:11" ht="15.5">
      <c r="B151" s="380" t="s">
        <v>323</v>
      </c>
      <c r="C151" s="373" t="s">
        <v>206</v>
      </c>
      <c r="D151" s="373" t="s">
        <v>206</v>
      </c>
      <c r="E151" s="373" t="s">
        <v>206</v>
      </c>
      <c r="F151" s="373" t="s">
        <v>206</v>
      </c>
      <c r="G151" s="373" t="s">
        <v>206</v>
      </c>
      <c r="H151" s="373" t="s">
        <v>206</v>
      </c>
      <c r="I151" s="376" t="s">
        <v>206</v>
      </c>
      <c r="J151" s="376" t="s">
        <v>206</v>
      </c>
      <c r="K151" s="377" t="s">
        <v>206</v>
      </c>
    </row>
    <row r="152" spans="2:11" ht="15.5">
      <c r="B152" s="380" t="s">
        <v>324</v>
      </c>
      <c r="C152" s="373" t="s">
        <v>206</v>
      </c>
      <c r="D152" s="373" t="s">
        <v>206</v>
      </c>
      <c r="E152" s="373" t="s">
        <v>206</v>
      </c>
      <c r="F152" s="373" t="s">
        <v>206</v>
      </c>
      <c r="G152" s="373" t="s">
        <v>206</v>
      </c>
      <c r="H152" s="373" t="s">
        <v>206</v>
      </c>
      <c r="I152" s="376" t="s">
        <v>206</v>
      </c>
      <c r="J152" s="376" t="s">
        <v>206</v>
      </c>
      <c r="K152" s="377" t="s">
        <v>206</v>
      </c>
    </row>
    <row r="153" spans="2:11" ht="15.5">
      <c r="B153" s="380" t="s">
        <v>325</v>
      </c>
      <c r="C153" s="373">
        <v>5</v>
      </c>
      <c r="D153" s="373">
        <v>2.6</v>
      </c>
      <c r="E153" s="373">
        <v>2.4</v>
      </c>
      <c r="F153" s="373">
        <v>5</v>
      </c>
      <c r="G153" s="373">
        <v>2.6</v>
      </c>
      <c r="H153" s="373">
        <v>2.4</v>
      </c>
      <c r="I153" s="376" t="s">
        <v>206</v>
      </c>
      <c r="J153" s="376" t="s">
        <v>206</v>
      </c>
      <c r="K153" s="377" t="s">
        <v>206</v>
      </c>
    </row>
    <row r="154" spans="2:11" ht="15.5">
      <c r="B154" s="380" t="s">
        <v>326</v>
      </c>
      <c r="C154" s="373">
        <v>0.9</v>
      </c>
      <c r="D154" s="373">
        <v>0.5</v>
      </c>
      <c r="E154" s="373">
        <v>0.4</v>
      </c>
      <c r="F154" s="373">
        <v>0.9</v>
      </c>
      <c r="G154" s="373">
        <v>0.5</v>
      </c>
      <c r="H154" s="373">
        <v>0.4</v>
      </c>
      <c r="I154" s="376" t="s">
        <v>206</v>
      </c>
      <c r="J154" s="376" t="s">
        <v>206</v>
      </c>
      <c r="K154" s="377" t="s">
        <v>206</v>
      </c>
    </row>
    <row r="155" spans="2:11" ht="15.5">
      <c r="B155" s="380" t="s">
        <v>327</v>
      </c>
      <c r="C155" s="373">
        <v>26</v>
      </c>
      <c r="D155" s="373">
        <v>13</v>
      </c>
      <c r="E155" s="373">
        <v>13</v>
      </c>
      <c r="F155" s="373">
        <v>26</v>
      </c>
      <c r="G155" s="373">
        <v>13</v>
      </c>
      <c r="H155" s="373">
        <v>13</v>
      </c>
      <c r="I155" s="376" t="s">
        <v>206</v>
      </c>
      <c r="J155" s="376" t="s">
        <v>206</v>
      </c>
      <c r="K155" s="377" t="s">
        <v>206</v>
      </c>
    </row>
    <row r="156" spans="2:11" ht="15.5">
      <c r="B156" s="380" t="s">
        <v>328</v>
      </c>
      <c r="C156" s="373">
        <v>0.1</v>
      </c>
      <c r="D156" s="373">
        <v>0.1</v>
      </c>
      <c r="E156" s="373">
        <v>0</v>
      </c>
      <c r="F156" s="373">
        <v>0.1</v>
      </c>
      <c r="G156" s="373">
        <v>0.1</v>
      </c>
      <c r="H156" s="373">
        <v>0</v>
      </c>
      <c r="I156" s="376" t="s">
        <v>206</v>
      </c>
      <c r="J156" s="376" t="s">
        <v>206</v>
      </c>
      <c r="K156" s="377" t="s">
        <v>206</v>
      </c>
    </row>
    <row r="157" spans="2:11" ht="15.5">
      <c r="B157" s="380" t="s">
        <v>329</v>
      </c>
      <c r="C157" s="373">
        <v>39.4</v>
      </c>
      <c r="D157" s="373">
        <v>20.2</v>
      </c>
      <c r="E157" s="373">
        <v>19.2</v>
      </c>
      <c r="F157" s="373">
        <v>39.4</v>
      </c>
      <c r="G157" s="373">
        <v>20.2</v>
      </c>
      <c r="H157" s="373">
        <v>19.2</v>
      </c>
      <c r="I157" s="376" t="s">
        <v>206</v>
      </c>
      <c r="J157" s="376" t="s">
        <v>206</v>
      </c>
      <c r="K157" s="377" t="s">
        <v>206</v>
      </c>
    </row>
    <row r="158" spans="2:11" ht="15.5">
      <c r="B158" s="380" t="s">
        <v>330</v>
      </c>
      <c r="C158" s="373">
        <v>0.1</v>
      </c>
      <c r="D158" s="373">
        <v>0.1</v>
      </c>
      <c r="E158" s="373">
        <v>0</v>
      </c>
      <c r="F158" s="373">
        <v>0.1</v>
      </c>
      <c r="G158" s="373">
        <v>0.1</v>
      </c>
      <c r="H158" s="373">
        <v>0</v>
      </c>
      <c r="I158" s="376" t="s">
        <v>206</v>
      </c>
      <c r="J158" s="376" t="s">
        <v>206</v>
      </c>
      <c r="K158" s="377" t="s">
        <v>206</v>
      </c>
    </row>
    <row r="159" spans="2:11" ht="15.5">
      <c r="B159" s="380" t="s">
        <v>331</v>
      </c>
      <c r="C159" s="373" t="s">
        <v>206</v>
      </c>
      <c r="D159" s="373" t="s">
        <v>206</v>
      </c>
      <c r="E159" s="373" t="s">
        <v>206</v>
      </c>
      <c r="F159" s="373" t="s">
        <v>206</v>
      </c>
      <c r="G159" s="373" t="s">
        <v>206</v>
      </c>
      <c r="H159" s="373" t="s">
        <v>206</v>
      </c>
      <c r="I159" s="376" t="s">
        <v>206</v>
      </c>
      <c r="J159" s="376" t="s">
        <v>206</v>
      </c>
      <c r="K159" s="377" t="s">
        <v>206</v>
      </c>
    </row>
    <row r="160" spans="2:11" ht="15.5">
      <c r="B160" s="380" t="s">
        <v>332</v>
      </c>
      <c r="C160" s="373">
        <v>1.3</v>
      </c>
      <c r="D160" s="373">
        <v>0.6</v>
      </c>
      <c r="E160" s="373">
        <v>0.70000000000000007</v>
      </c>
      <c r="F160" s="373">
        <v>1.3</v>
      </c>
      <c r="G160" s="373">
        <v>0.6</v>
      </c>
      <c r="H160" s="373">
        <v>0.70000000000000007</v>
      </c>
      <c r="I160" s="376" t="s">
        <v>206</v>
      </c>
      <c r="J160" s="376" t="s">
        <v>206</v>
      </c>
      <c r="K160" s="377" t="s">
        <v>206</v>
      </c>
    </row>
    <row r="161" spans="2:11" ht="15.5">
      <c r="B161" s="380" t="s">
        <v>333</v>
      </c>
      <c r="C161" s="373">
        <v>2.5</v>
      </c>
      <c r="D161" s="373">
        <v>1.2</v>
      </c>
      <c r="E161" s="373">
        <v>1.3</v>
      </c>
      <c r="F161" s="373">
        <v>2.5</v>
      </c>
      <c r="G161" s="373">
        <v>1.2</v>
      </c>
      <c r="H161" s="373">
        <v>1.3</v>
      </c>
      <c r="I161" s="376" t="s">
        <v>206</v>
      </c>
      <c r="J161" s="376" t="s">
        <v>206</v>
      </c>
      <c r="K161" s="377" t="s">
        <v>206</v>
      </c>
    </row>
    <row r="162" spans="2:11" ht="15.5">
      <c r="B162" s="380" t="s">
        <v>334</v>
      </c>
      <c r="C162" s="373">
        <v>17.7</v>
      </c>
      <c r="D162" s="373">
        <v>9.1</v>
      </c>
      <c r="E162" s="373">
        <v>8.6</v>
      </c>
      <c r="F162" s="373">
        <v>17.7</v>
      </c>
      <c r="G162" s="373">
        <v>9.1</v>
      </c>
      <c r="H162" s="373">
        <v>8.6</v>
      </c>
      <c r="I162" s="376" t="s">
        <v>206</v>
      </c>
      <c r="J162" s="376" t="s">
        <v>206</v>
      </c>
      <c r="K162" s="377" t="s">
        <v>206</v>
      </c>
    </row>
    <row r="163" spans="2:11" ht="15.5">
      <c r="B163" s="380" t="s">
        <v>335</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5">
      <c r="B164" s="380" t="s">
        <v>336</v>
      </c>
      <c r="C164" s="373">
        <v>1.5</v>
      </c>
      <c r="D164" s="373">
        <v>0.8</v>
      </c>
      <c r="E164" s="373">
        <v>0.7</v>
      </c>
      <c r="F164" s="373">
        <v>1.5</v>
      </c>
      <c r="G164" s="373">
        <v>0.8</v>
      </c>
      <c r="H164" s="373">
        <v>0.7</v>
      </c>
      <c r="I164" s="376" t="s">
        <v>206</v>
      </c>
      <c r="J164" s="376" t="s">
        <v>206</v>
      </c>
      <c r="K164" s="377" t="s">
        <v>206</v>
      </c>
    </row>
    <row r="165" spans="2:11" ht="15.5">
      <c r="B165" s="380" t="s">
        <v>337</v>
      </c>
      <c r="C165" s="373">
        <v>4.8</v>
      </c>
      <c r="D165" s="373">
        <v>2.4</v>
      </c>
      <c r="E165" s="373">
        <v>2.4</v>
      </c>
      <c r="F165" s="373">
        <v>4.8</v>
      </c>
      <c r="G165" s="373">
        <v>2.4</v>
      </c>
      <c r="H165" s="373">
        <v>2.4</v>
      </c>
      <c r="I165" s="376" t="s">
        <v>206</v>
      </c>
      <c r="J165" s="376" t="s">
        <v>206</v>
      </c>
      <c r="K165" s="377" t="s">
        <v>206</v>
      </c>
    </row>
    <row r="166" spans="2:11" ht="15.5">
      <c r="B166" s="380" t="s">
        <v>338</v>
      </c>
      <c r="C166" s="373">
        <v>0.8</v>
      </c>
      <c r="D166" s="373">
        <v>0.4</v>
      </c>
      <c r="E166" s="373">
        <v>0.4</v>
      </c>
      <c r="F166" s="373">
        <v>0.8</v>
      </c>
      <c r="G166" s="373">
        <v>0.4</v>
      </c>
      <c r="H166" s="373">
        <v>0.4</v>
      </c>
      <c r="I166" s="376" t="s">
        <v>206</v>
      </c>
      <c r="J166" s="376" t="s">
        <v>206</v>
      </c>
      <c r="K166" s="377" t="s">
        <v>206</v>
      </c>
    </row>
    <row r="167" spans="2:11" ht="15">
      <c r="B167" s="372" t="s">
        <v>339</v>
      </c>
      <c r="C167" s="374">
        <v>166.5</v>
      </c>
      <c r="D167" s="374">
        <v>84.9</v>
      </c>
      <c r="E167" s="374">
        <v>81.599999999999994</v>
      </c>
      <c r="F167" s="374">
        <v>166.5</v>
      </c>
      <c r="G167" s="374">
        <v>84.9</v>
      </c>
      <c r="H167" s="374">
        <v>81.599999999999994</v>
      </c>
      <c r="I167" s="376" t="s">
        <v>206</v>
      </c>
      <c r="J167" s="376" t="s">
        <v>206</v>
      </c>
      <c r="K167" s="377" t="s">
        <v>206</v>
      </c>
    </row>
    <row r="168" spans="2:11" ht="15.5">
      <c r="B168" s="380" t="s">
        <v>340</v>
      </c>
      <c r="C168" s="373">
        <v>57</v>
      </c>
      <c r="D168" s="373">
        <v>28.8</v>
      </c>
      <c r="E168" s="373">
        <v>28.2</v>
      </c>
      <c r="F168" s="373">
        <v>57</v>
      </c>
      <c r="G168" s="373">
        <v>28.8</v>
      </c>
      <c r="H168" s="373">
        <v>28.2</v>
      </c>
      <c r="I168" s="376" t="s">
        <v>206</v>
      </c>
      <c r="J168" s="376" t="s">
        <v>206</v>
      </c>
      <c r="K168" s="377" t="s">
        <v>206</v>
      </c>
    </row>
    <row r="169" spans="2:11" ht="15.5">
      <c r="B169" s="380" t="s">
        <v>341</v>
      </c>
      <c r="C169" s="373">
        <v>31.5</v>
      </c>
      <c r="D169" s="373">
        <v>16</v>
      </c>
      <c r="E169" s="373">
        <v>15.5</v>
      </c>
      <c r="F169" s="373">
        <v>31.5</v>
      </c>
      <c r="G169" s="373">
        <v>16</v>
      </c>
      <c r="H169" s="373">
        <v>15.5</v>
      </c>
      <c r="I169" s="376" t="s">
        <v>206</v>
      </c>
      <c r="J169" s="376" t="s">
        <v>206</v>
      </c>
      <c r="K169" s="377" t="s">
        <v>206</v>
      </c>
    </row>
    <row r="170" spans="2:11" ht="15.5">
      <c r="B170" s="380" t="s">
        <v>342</v>
      </c>
      <c r="C170" s="373">
        <v>5</v>
      </c>
      <c r="D170" s="373">
        <v>2.6</v>
      </c>
      <c r="E170" s="373">
        <v>2.4</v>
      </c>
      <c r="F170" s="373">
        <v>5</v>
      </c>
      <c r="G170" s="373">
        <v>2.6</v>
      </c>
      <c r="H170" s="373">
        <v>2.4</v>
      </c>
      <c r="I170" s="376" t="s">
        <v>206</v>
      </c>
      <c r="J170" s="376" t="s">
        <v>206</v>
      </c>
      <c r="K170" s="377" t="s">
        <v>206</v>
      </c>
    </row>
    <row r="171" spans="2:11" ht="15.5">
      <c r="B171" s="380" t="s">
        <v>343</v>
      </c>
      <c r="C171" s="373">
        <v>25.1</v>
      </c>
      <c r="D171" s="373">
        <v>13.5</v>
      </c>
      <c r="E171" s="373">
        <v>11.600000000000001</v>
      </c>
      <c r="F171" s="373">
        <v>25.1</v>
      </c>
      <c r="G171" s="373">
        <v>13.5</v>
      </c>
      <c r="H171" s="373">
        <v>11.600000000000001</v>
      </c>
      <c r="I171" s="376" t="s">
        <v>206</v>
      </c>
      <c r="J171" s="376" t="s">
        <v>206</v>
      </c>
      <c r="K171" s="377" t="s">
        <v>206</v>
      </c>
    </row>
    <row r="172" spans="2:11" ht="15.5">
      <c r="B172" s="380" t="s">
        <v>344</v>
      </c>
      <c r="C172" s="373">
        <v>3.6</v>
      </c>
      <c r="D172" s="373">
        <v>1.8</v>
      </c>
      <c r="E172" s="373">
        <v>1.8</v>
      </c>
      <c r="F172" s="373">
        <v>3.6</v>
      </c>
      <c r="G172" s="373">
        <v>1.8</v>
      </c>
      <c r="H172" s="373">
        <v>1.8</v>
      </c>
      <c r="I172" s="376" t="s">
        <v>206</v>
      </c>
      <c r="J172" s="376" t="s">
        <v>206</v>
      </c>
      <c r="K172" s="377" t="s">
        <v>206</v>
      </c>
    </row>
    <row r="173" spans="2:11" ht="15.5">
      <c r="B173" s="380" t="s">
        <v>345</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5">
      <c r="B174" s="380" t="s">
        <v>346</v>
      </c>
      <c r="C174" s="373">
        <v>12.5</v>
      </c>
      <c r="D174" s="373">
        <v>6.3</v>
      </c>
      <c r="E174" s="373">
        <v>6.2</v>
      </c>
      <c r="F174" s="373">
        <v>12.5</v>
      </c>
      <c r="G174" s="373">
        <v>6.3</v>
      </c>
      <c r="H174" s="373">
        <v>6.2</v>
      </c>
      <c r="I174" s="376" t="s">
        <v>206</v>
      </c>
      <c r="J174" s="376" t="s">
        <v>206</v>
      </c>
      <c r="K174" s="377" t="s">
        <v>206</v>
      </c>
    </row>
    <row r="175" spans="2:11" ht="15.5">
      <c r="B175" s="380" t="s">
        <v>347</v>
      </c>
      <c r="C175" s="373">
        <v>12.4</v>
      </c>
      <c r="D175" s="373">
        <v>6.2</v>
      </c>
      <c r="E175" s="373">
        <v>6.2</v>
      </c>
      <c r="F175" s="373">
        <v>12.4</v>
      </c>
      <c r="G175" s="373">
        <v>6.2</v>
      </c>
      <c r="H175" s="373">
        <v>6.2</v>
      </c>
      <c r="I175" s="376" t="s">
        <v>206</v>
      </c>
      <c r="J175" s="376" t="s">
        <v>206</v>
      </c>
      <c r="K175" s="377" t="s">
        <v>206</v>
      </c>
    </row>
    <row r="176" spans="2:11" ht="15">
      <c r="B176" s="372" t="s">
        <v>348</v>
      </c>
      <c r="C176" s="374">
        <v>101.8</v>
      </c>
      <c r="D176" s="374">
        <v>48.9</v>
      </c>
      <c r="E176" s="374">
        <v>52.9</v>
      </c>
      <c r="F176" s="374">
        <v>101.8</v>
      </c>
      <c r="G176" s="374">
        <v>48.9</v>
      </c>
      <c r="H176" s="374">
        <v>52.9</v>
      </c>
      <c r="I176" s="376" t="s">
        <v>206</v>
      </c>
      <c r="J176" s="376" t="s">
        <v>206</v>
      </c>
      <c r="K176" s="377" t="s">
        <v>206</v>
      </c>
    </row>
    <row r="177" spans="2:11" ht="15.5">
      <c r="B177" s="380" t="s">
        <v>349</v>
      </c>
      <c r="C177" s="373">
        <v>22.3</v>
      </c>
      <c r="D177" s="373">
        <v>11.2</v>
      </c>
      <c r="E177" s="373">
        <v>11.100000000000001</v>
      </c>
      <c r="F177" s="373">
        <v>22.3</v>
      </c>
      <c r="G177" s="373">
        <v>11.2</v>
      </c>
      <c r="H177" s="373">
        <v>11.100000000000001</v>
      </c>
      <c r="I177" s="376" t="s">
        <v>206</v>
      </c>
      <c r="J177" s="376" t="s">
        <v>206</v>
      </c>
      <c r="K177" s="377" t="s">
        <v>206</v>
      </c>
    </row>
    <row r="178" spans="2:11" ht="15.5">
      <c r="B178" s="380" t="s">
        <v>350</v>
      </c>
      <c r="C178" s="373">
        <v>2.1</v>
      </c>
      <c r="D178" s="373">
        <v>1</v>
      </c>
      <c r="E178" s="373">
        <v>1.1000000000000001</v>
      </c>
      <c r="F178" s="373">
        <v>2.1</v>
      </c>
      <c r="G178" s="373">
        <v>1</v>
      </c>
      <c r="H178" s="373">
        <v>1.1000000000000001</v>
      </c>
      <c r="I178" s="376" t="s">
        <v>206</v>
      </c>
      <c r="J178" s="376" t="s">
        <v>206</v>
      </c>
      <c r="K178" s="377" t="s">
        <v>206</v>
      </c>
    </row>
    <row r="179" spans="2:11" ht="15">
      <c r="B179" s="372" t="s">
        <v>351</v>
      </c>
      <c r="C179" s="381">
        <v>244.6</v>
      </c>
      <c r="D179" s="381">
        <v>122.4</v>
      </c>
      <c r="E179" s="381">
        <v>122.19999999999999</v>
      </c>
      <c r="F179" s="381">
        <v>244.6</v>
      </c>
      <c r="G179" s="381">
        <v>122.4</v>
      </c>
      <c r="H179" s="381">
        <v>122.19999999999999</v>
      </c>
      <c r="I179" s="376" t="s">
        <v>206</v>
      </c>
      <c r="J179" s="376" t="s">
        <v>206</v>
      </c>
      <c r="K179" s="377" t="s">
        <v>206</v>
      </c>
    </row>
    <row r="180" spans="2:11" ht="15.5">
      <c r="B180" s="380" t="s">
        <v>352</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5">
      <c r="B181" s="380" t="s">
        <v>353</v>
      </c>
      <c r="C181" s="382">
        <v>14.4</v>
      </c>
      <c r="D181" s="383">
        <v>7.1</v>
      </c>
      <c r="E181" s="382">
        <v>7.3000000000000007</v>
      </c>
      <c r="F181" s="382">
        <v>14.4</v>
      </c>
      <c r="G181" s="383">
        <v>7.1</v>
      </c>
      <c r="H181" s="382">
        <v>7.3000000000000007</v>
      </c>
      <c r="I181" s="376" t="s">
        <v>206</v>
      </c>
      <c r="J181" s="376" t="s">
        <v>206</v>
      </c>
      <c r="K181" s="377" t="s">
        <v>206</v>
      </c>
    </row>
    <row r="182" spans="2:11" ht="15.5">
      <c r="B182" s="380" t="s">
        <v>354</v>
      </c>
      <c r="C182" s="382">
        <v>8.6</v>
      </c>
      <c r="D182" s="383">
        <v>4.2</v>
      </c>
      <c r="E182" s="382">
        <v>4.3999999999999995</v>
      </c>
      <c r="F182" s="382">
        <v>8.6</v>
      </c>
      <c r="G182" s="383">
        <v>4.2</v>
      </c>
      <c r="H182" s="382">
        <v>4.3999999999999995</v>
      </c>
      <c r="I182" s="376" t="s">
        <v>206</v>
      </c>
      <c r="J182" s="376" t="s">
        <v>206</v>
      </c>
      <c r="K182" s="377" t="s">
        <v>206</v>
      </c>
    </row>
    <row r="183" spans="2:11" ht="15.5">
      <c r="B183" s="380" t="s">
        <v>355</v>
      </c>
      <c r="C183" s="382">
        <v>6.7</v>
      </c>
      <c r="D183" s="383">
        <v>3.3</v>
      </c>
      <c r="E183" s="382">
        <v>3.4000000000000004</v>
      </c>
      <c r="F183" s="382">
        <v>6.7</v>
      </c>
      <c r="G183" s="383">
        <v>3.3</v>
      </c>
      <c r="H183" s="382">
        <v>3.4000000000000004</v>
      </c>
      <c r="I183" s="376" t="s">
        <v>206</v>
      </c>
      <c r="J183" s="376" t="s">
        <v>206</v>
      </c>
      <c r="K183" s="377" t="s">
        <v>206</v>
      </c>
    </row>
    <row r="184" spans="2:11" ht="15.5">
      <c r="B184" s="380" t="s">
        <v>356</v>
      </c>
      <c r="C184" s="382">
        <v>46.2</v>
      </c>
      <c r="D184" s="383">
        <v>23.3</v>
      </c>
      <c r="E184" s="382">
        <v>22.900000000000002</v>
      </c>
      <c r="F184" s="382">
        <v>46.2</v>
      </c>
      <c r="G184" s="383">
        <v>23.3</v>
      </c>
      <c r="H184" s="382">
        <v>22.900000000000002</v>
      </c>
      <c r="I184" s="376" t="s">
        <v>206</v>
      </c>
      <c r="J184" s="376" t="s">
        <v>206</v>
      </c>
      <c r="K184" s="377" t="s">
        <v>206</v>
      </c>
    </row>
    <row r="185" spans="2:11" ht="15.5">
      <c r="B185" s="380" t="s">
        <v>357</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5">
      <c r="B186" s="380" t="s">
        <v>358</v>
      </c>
      <c r="C186" s="382">
        <v>7</v>
      </c>
      <c r="D186" s="383">
        <v>3.6</v>
      </c>
      <c r="E186" s="382">
        <v>3.4</v>
      </c>
      <c r="F186" s="382">
        <v>7</v>
      </c>
      <c r="G186" s="383">
        <v>3.6</v>
      </c>
      <c r="H186" s="382">
        <v>3.4</v>
      </c>
      <c r="I186" s="376" t="s">
        <v>206</v>
      </c>
      <c r="J186" s="376" t="s">
        <v>206</v>
      </c>
      <c r="K186" s="377" t="s">
        <v>206</v>
      </c>
    </row>
    <row r="187" spans="2:11" ht="15.5">
      <c r="B187" s="380" t="s">
        <v>359</v>
      </c>
      <c r="C187" s="382">
        <v>12.9</v>
      </c>
      <c r="D187" s="383">
        <v>6.4</v>
      </c>
      <c r="E187" s="382">
        <v>6.5</v>
      </c>
      <c r="F187" s="382">
        <v>12.9</v>
      </c>
      <c r="G187" s="383">
        <v>6.4</v>
      </c>
      <c r="H187" s="382">
        <v>6.5</v>
      </c>
      <c r="I187" s="376" t="s">
        <v>206</v>
      </c>
      <c r="J187" s="376" t="s">
        <v>206</v>
      </c>
      <c r="K187" s="377" t="s">
        <v>206</v>
      </c>
    </row>
    <row r="188" spans="2:11" ht="15.5">
      <c r="B188" s="380" t="s">
        <v>360</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5">
      <c r="B189" s="380" t="s">
        <v>361</v>
      </c>
      <c r="C189" s="382">
        <v>29.5</v>
      </c>
      <c r="D189" s="383">
        <v>14.5</v>
      </c>
      <c r="E189" s="382">
        <v>15</v>
      </c>
      <c r="F189" s="382">
        <v>29.5</v>
      </c>
      <c r="G189" s="383">
        <v>14.5</v>
      </c>
      <c r="H189" s="382">
        <v>15</v>
      </c>
      <c r="I189" s="376" t="s">
        <v>206</v>
      </c>
      <c r="J189" s="376" t="s">
        <v>206</v>
      </c>
      <c r="K189" s="377" t="s">
        <v>206</v>
      </c>
    </row>
    <row r="190" spans="2:11" ht="15">
      <c r="B190" s="372" t="s">
        <v>362</v>
      </c>
      <c r="C190" s="381">
        <v>219.5</v>
      </c>
      <c r="D190" s="381">
        <v>108.3</v>
      </c>
      <c r="E190" s="381">
        <v>111.2</v>
      </c>
      <c r="F190" s="381">
        <v>219.5</v>
      </c>
      <c r="G190" s="381">
        <v>108.3</v>
      </c>
      <c r="H190" s="381">
        <v>111.2</v>
      </c>
      <c r="I190" s="376" t="s">
        <v>206</v>
      </c>
      <c r="J190" s="376" t="s">
        <v>206</v>
      </c>
      <c r="K190" s="377" t="s">
        <v>206</v>
      </c>
    </row>
    <row r="191" spans="2:11" ht="15.5">
      <c r="B191" s="380" t="s">
        <v>363</v>
      </c>
      <c r="C191" s="382">
        <v>25.3</v>
      </c>
      <c r="D191" s="383">
        <v>12.4</v>
      </c>
      <c r="E191" s="382">
        <v>12.9</v>
      </c>
      <c r="F191" s="382">
        <v>25.3</v>
      </c>
      <c r="G191" s="383">
        <v>12.4</v>
      </c>
      <c r="H191" s="382">
        <v>12.9</v>
      </c>
      <c r="I191" s="376" t="s">
        <v>206</v>
      </c>
      <c r="J191" s="376" t="s">
        <v>206</v>
      </c>
      <c r="K191" s="377" t="s">
        <v>206</v>
      </c>
    </row>
    <row r="192" spans="2:11" ht="15.5">
      <c r="B192" s="380" t="s">
        <v>364</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5">
      <c r="B193" s="380" t="s">
        <v>365</v>
      </c>
      <c r="C193" s="382">
        <v>42.3</v>
      </c>
      <c r="D193" s="383">
        <v>20.9</v>
      </c>
      <c r="E193" s="382">
        <v>21.4</v>
      </c>
      <c r="F193" s="382">
        <v>42.3</v>
      </c>
      <c r="G193" s="383">
        <v>20.9</v>
      </c>
      <c r="H193" s="382">
        <v>21.4</v>
      </c>
      <c r="I193" s="376" t="s">
        <v>206</v>
      </c>
      <c r="J193" s="376" t="s">
        <v>206</v>
      </c>
      <c r="K193" s="377" t="s">
        <v>206</v>
      </c>
    </row>
    <row r="194" spans="2:11" ht="15.5">
      <c r="B194" s="380" t="s">
        <v>366</v>
      </c>
      <c r="C194" s="382">
        <v>87.3</v>
      </c>
      <c r="D194" s="383">
        <v>43.5</v>
      </c>
      <c r="E194" s="382">
        <v>43.8</v>
      </c>
      <c r="F194" s="382">
        <v>87.3</v>
      </c>
      <c r="G194" s="383">
        <v>43.5</v>
      </c>
      <c r="H194" s="382">
        <v>43.8</v>
      </c>
      <c r="I194" s="376" t="s">
        <v>206</v>
      </c>
      <c r="J194" s="376" t="s">
        <v>206</v>
      </c>
      <c r="K194" s="377" t="s">
        <v>206</v>
      </c>
    </row>
    <row r="195" spans="2:11" ht="15.5">
      <c r="B195" s="380" t="s">
        <v>367</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5">
      <c r="B196" s="380" t="s">
        <v>368</v>
      </c>
      <c r="C196" s="382">
        <v>14.2</v>
      </c>
      <c r="D196" s="383">
        <v>7</v>
      </c>
      <c r="E196" s="382">
        <v>7.1999999999999993</v>
      </c>
      <c r="F196" s="382">
        <v>14.2</v>
      </c>
      <c r="G196" s="383">
        <v>7</v>
      </c>
      <c r="H196" s="382">
        <v>7.1999999999999993</v>
      </c>
      <c r="I196" s="376" t="s">
        <v>206</v>
      </c>
      <c r="J196" s="376" t="s">
        <v>206</v>
      </c>
      <c r="K196" s="377" t="s">
        <v>206</v>
      </c>
    </row>
    <row r="197" spans="2:11" ht="15">
      <c r="B197" s="372" t="s">
        <v>369</v>
      </c>
      <c r="C197" s="381">
        <v>178.3</v>
      </c>
      <c r="D197" s="381">
        <v>88.2</v>
      </c>
      <c r="E197" s="381">
        <v>90.100000000000009</v>
      </c>
      <c r="F197" s="381">
        <v>178.3</v>
      </c>
      <c r="G197" s="381">
        <v>88.2</v>
      </c>
      <c r="H197" s="381">
        <v>90.100000000000009</v>
      </c>
      <c r="I197" s="376" t="s">
        <v>206</v>
      </c>
      <c r="J197" s="376" t="s">
        <v>206</v>
      </c>
      <c r="K197" s="377" t="s">
        <v>206</v>
      </c>
    </row>
    <row r="198" spans="2:11" ht="15">
      <c r="B198" s="372" t="s">
        <v>370</v>
      </c>
      <c r="C198" s="381">
        <v>221.1</v>
      </c>
      <c r="D198" s="381">
        <v>109.7</v>
      </c>
      <c r="E198" s="381">
        <v>111.39999999999999</v>
      </c>
      <c r="F198" s="381">
        <v>221.1</v>
      </c>
      <c r="G198" s="381">
        <v>109.7</v>
      </c>
      <c r="H198" s="381">
        <v>111.39999999999999</v>
      </c>
      <c r="I198" s="376" t="s">
        <v>206</v>
      </c>
      <c r="J198" s="376" t="s">
        <v>206</v>
      </c>
      <c r="K198" s="377" t="s">
        <v>206</v>
      </c>
    </row>
    <row r="199" spans="2:11" ht="15">
      <c r="B199" s="372" t="s">
        <v>371</v>
      </c>
      <c r="C199" s="381">
        <v>200</v>
      </c>
      <c r="D199" s="381">
        <v>99.2</v>
      </c>
      <c r="E199" s="381">
        <v>100.8</v>
      </c>
      <c r="F199" s="381">
        <v>200</v>
      </c>
      <c r="G199" s="381">
        <v>99.2</v>
      </c>
      <c r="H199" s="381">
        <v>100.8</v>
      </c>
      <c r="I199" s="376" t="s">
        <v>206</v>
      </c>
      <c r="J199" s="376" t="s">
        <v>206</v>
      </c>
      <c r="K199" s="377" t="s">
        <v>206</v>
      </c>
    </row>
    <row r="200" spans="2:11" ht="15.5">
      <c r="B200" s="380" t="s">
        <v>372</v>
      </c>
      <c r="C200" s="382">
        <v>25.5</v>
      </c>
      <c r="D200" s="383">
        <v>12.5</v>
      </c>
      <c r="E200" s="382">
        <v>13</v>
      </c>
      <c r="F200" s="382">
        <v>25.5</v>
      </c>
      <c r="G200" s="383">
        <v>12.5</v>
      </c>
      <c r="H200" s="382">
        <v>13</v>
      </c>
      <c r="I200" s="376" t="s">
        <v>206</v>
      </c>
      <c r="J200" s="376" t="s">
        <v>206</v>
      </c>
      <c r="K200" s="377" t="s">
        <v>206</v>
      </c>
    </row>
    <row r="201" spans="2:11" ht="15">
      <c r="B201" s="372" t="s">
        <v>373</v>
      </c>
      <c r="C201" s="381">
        <v>20.5</v>
      </c>
      <c r="D201" s="381">
        <v>10.4</v>
      </c>
      <c r="E201" s="381">
        <v>10.1</v>
      </c>
      <c r="F201" s="381">
        <v>20.5</v>
      </c>
      <c r="G201" s="381">
        <v>10.4</v>
      </c>
      <c r="H201" s="381">
        <v>10.1</v>
      </c>
      <c r="I201" s="376" t="s">
        <v>206</v>
      </c>
      <c r="J201" s="376" t="s">
        <v>206</v>
      </c>
      <c r="K201" s="377" t="s">
        <v>206</v>
      </c>
    </row>
    <row r="202" spans="2:11" ht="15.5">
      <c r="B202" s="380" t="s">
        <v>374</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5">
      <c r="B203" s="380" t="s">
        <v>375</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5">
      <c r="B204" s="380" t="s">
        <v>376</v>
      </c>
      <c r="C204" s="382">
        <v>0.4</v>
      </c>
      <c r="D204" s="383">
        <v>0.4</v>
      </c>
      <c r="E204" s="382">
        <v>0</v>
      </c>
      <c r="F204" s="382">
        <v>0.4</v>
      </c>
      <c r="G204" s="383">
        <v>0.4</v>
      </c>
      <c r="H204" s="382">
        <v>0</v>
      </c>
      <c r="I204" s="376" t="s">
        <v>206</v>
      </c>
      <c r="J204" s="376" t="s">
        <v>206</v>
      </c>
      <c r="K204" s="377" t="s">
        <v>206</v>
      </c>
    </row>
    <row r="205" spans="2:11" ht="15.5">
      <c r="B205" s="380" t="s">
        <v>377</v>
      </c>
      <c r="C205" s="382">
        <v>1.2</v>
      </c>
      <c r="D205" s="383">
        <v>0.6</v>
      </c>
      <c r="E205" s="382">
        <v>0.6</v>
      </c>
      <c r="F205" s="382">
        <v>1.2</v>
      </c>
      <c r="G205" s="383">
        <v>0.6</v>
      </c>
      <c r="H205" s="382">
        <v>0.6</v>
      </c>
      <c r="I205" s="376" t="s">
        <v>206</v>
      </c>
      <c r="J205" s="376" t="s">
        <v>206</v>
      </c>
      <c r="K205" s="377" t="s">
        <v>206</v>
      </c>
    </row>
    <row r="206" spans="2:11" ht="15">
      <c r="B206" s="372" t="s">
        <v>378</v>
      </c>
      <c r="C206" s="381">
        <v>286.3</v>
      </c>
      <c r="D206" s="381">
        <v>142.6</v>
      </c>
      <c r="E206" s="381">
        <v>143.70000000000002</v>
      </c>
      <c r="F206" s="381">
        <v>286.3</v>
      </c>
      <c r="G206" s="381">
        <v>142.6</v>
      </c>
      <c r="H206" s="381">
        <v>143.70000000000002</v>
      </c>
      <c r="I206" s="376" t="s">
        <v>206</v>
      </c>
      <c r="J206" s="376" t="s">
        <v>206</v>
      </c>
      <c r="K206" s="377" t="s">
        <v>206</v>
      </c>
    </row>
    <row r="207" spans="2:11" ht="15.5">
      <c r="B207" s="380" t="s">
        <v>379</v>
      </c>
      <c r="C207" s="382">
        <v>11.1</v>
      </c>
      <c r="D207" s="383">
        <v>5.7</v>
      </c>
      <c r="E207" s="382">
        <v>5.3999999999999995</v>
      </c>
      <c r="F207" s="382">
        <v>11.1</v>
      </c>
      <c r="G207" s="383">
        <v>5.7</v>
      </c>
      <c r="H207" s="382">
        <v>5.3999999999999995</v>
      </c>
      <c r="I207" s="376" t="s">
        <v>206</v>
      </c>
      <c r="J207" s="376" t="s">
        <v>206</v>
      </c>
      <c r="K207" s="377" t="s">
        <v>206</v>
      </c>
    </row>
    <row r="208" spans="2:11" ht="15">
      <c r="B208" s="372" t="s">
        <v>380</v>
      </c>
      <c r="C208" s="381">
        <v>247.6</v>
      </c>
      <c r="D208" s="381">
        <v>120.5</v>
      </c>
      <c r="E208" s="381">
        <v>127.1</v>
      </c>
      <c r="F208" s="381">
        <v>247.6</v>
      </c>
      <c r="G208" s="381">
        <v>120.5</v>
      </c>
      <c r="H208" s="381">
        <v>127.1</v>
      </c>
      <c r="I208" s="376" t="s">
        <v>206</v>
      </c>
      <c r="J208" s="376" t="s">
        <v>206</v>
      </c>
      <c r="K208" s="377" t="s">
        <v>206</v>
      </c>
    </row>
    <row r="209" spans="1:11" ht="15">
      <c r="B209" s="372"/>
      <c r="C209" s="384"/>
      <c r="D209" s="385"/>
      <c r="E209" s="385"/>
      <c r="F209" s="386"/>
      <c r="G209" s="386"/>
      <c r="H209" s="386"/>
      <c r="I209" s="386"/>
      <c r="J209" s="386"/>
      <c r="K209" s="387"/>
    </row>
    <row r="210" spans="1:11" ht="15">
      <c r="A210" t="s">
        <v>937</v>
      </c>
      <c r="B210" s="372" t="s">
        <v>381</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303</v>
      </c>
      <c r="C211" s="382"/>
      <c r="D211" s="382"/>
      <c r="E211" s="382"/>
      <c r="F211" s="382"/>
      <c r="G211" s="382"/>
      <c r="H211" s="382"/>
      <c r="I211" s="382"/>
      <c r="J211" s="382"/>
      <c r="K211" s="389"/>
    </row>
    <row r="212" spans="1:11" ht="15">
      <c r="B212" s="372" t="s">
        <v>382</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383</v>
      </c>
      <c r="C213" s="382">
        <v>1.6</v>
      </c>
      <c r="D213" s="383">
        <v>0.8</v>
      </c>
      <c r="E213" s="382">
        <v>0.8</v>
      </c>
      <c r="F213" s="382">
        <v>1.6</v>
      </c>
      <c r="G213" s="383">
        <v>0.8</v>
      </c>
      <c r="H213" s="382">
        <v>0.8</v>
      </c>
      <c r="I213" s="376" t="s">
        <v>206</v>
      </c>
      <c r="J213" s="376" t="s">
        <v>206</v>
      </c>
      <c r="K213" s="377" t="s">
        <v>206</v>
      </c>
    </row>
    <row r="214" spans="1:11" ht="15.5">
      <c r="B214" s="380" t="s">
        <v>384</v>
      </c>
      <c r="C214" s="382">
        <v>1.4</v>
      </c>
      <c r="D214" s="383">
        <v>0.7</v>
      </c>
      <c r="E214" s="382">
        <v>0.7</v>
      </c>
      <c r="F214" s="382">
        <v>1.4</v>
      </c>
      <c r="G214" s="383">
        <v>0.7</v>
      </c>
      <c r="H214" s="382">
        <v>0.7</v>
      </c>
      <c r="I214" s="376" t="s">
        <v>206</v>
      </c>
      <c r="J214" s="376" t="s">
        <v>206</v>
      </c>
      <c r="K214" s="377" t="s">
        <v>206</v>
      </c>
    </row>
    <row r="215" spans="1:11" ht="15.5">
      <c r="B215" s="380" t="s">
        <v>385</v>
      </c>
      <c r="C215" s="382">
        <v>3.7</v>
      </c>
      <c r="D215" s="383">
        <v>1.8</v>
      </c>
      <c r="E215" s="382">
        <v>1.9000000000000001</v>
      </c>
      <c r="F215" s="382">
        <v>3.7</v>
      </c>
      <c r="G215" s="383">
        <v>1.8</v>
      </c>
      <c r="H215" s="382">
        <v>1.9000000000000001</v>
      </c>
      <c r="I215" s="376" t="s">
        <v>206</v>
      </c>
      <c r="J215" s="376" t="s">
        <v>206</v>
      </c>
      <c r="K215" s="377" t="s">
        <v>206</v>
      </c>
    </row>
    <row r="216" spans="1:11" ht="15.5">
      <c r="B216" s="380" t="s">
        <v>386</v>
      </c>
      <c r="C216" s="382">
        <v>2.1</v>
      </c>
      <c r="D216" s="383">
        <v>1</v>
      </c>
      <c r="E216" s="382">
        <v>1.1000000000000001</v>
      </c>
      <c r="F216" s="382">
        <v>2.1</v>
      </c>
      <c r="G216" s="383">
        <v>1</v>
      </c>
      <c r="H216" s="382">
        <v>1.1000000000000001</v>
      </c>
      <c r="I216" s="376" t="s">
        <v>206</v>
      </c>
      <c r="J216" s="376" t="s">
        <v>206</v>
      </c>
      <c r="K216" s="377" t="s">
        <v>206</v>
      </c>
    </row>
    <row r="217" spans="1:11" ht="15.5">
      <c r="B217" s="380"/>
      <c r="C217" s="392"/>
      <c r="D217" s="392"/>
      <c r="E217" s="392"/>
      <c r="F217" s="392"/>
      <c r="G217" s="392"/>
      <c r="H217" s="392"/>
      <c r="I217" s="392"/>
      <c r="J217" s="392"/>
      <c r="K217" s="393"/>
    </row>
    <row r="218" spans="1:11" ht="15">
      <c r="B218" s="372" t="s">
        <v>387</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388</v>
      </c>
      <c r="C219" s="382">
        <v>100.2</v>
      </c>
      <c r="D219" s="383">
        <v>49.5</v>
      </c>
      <c r="E219" s="382">
        <v>50.7</v>
      </c>
      <c r="F219" s="382">
        <v>100.2</v>
      </c>
      <c r="G219" s="383">
        <v>49.5</v>
      </c>
      <c r="H219" s="382">
        <v>50.7</v>
      </c>
      <c r="I219" s="376" t="s">
        <v>206</v>
      </c>
      <c r="J219" s="376" t="s">
        <v>206</v>
      </c>
      <c r="K219" s="377" t="s">
        <v>206</v>
      </c>
    </row>
    <row r="220" spans="1:11" ht="15.5">
      <c r="B220" s="380" t="s">
        <v>389</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5">
      <c r="B221" s="380" t="s">
        <v>390</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5">
      <c r="B222" s="380" t="s">
        <v>391</v>
      </c>
      <c r="C222" s="382">
        <v>5</v>
      </c>
      <c r="D222" s="383">
        <v>2.6</v>
      </c>
      <c r="E222" s="382">
        <v>2.4</v>
      </c>
      <c r="F222" s="382">
        <v>5</v>
      </c>
      <c r="G222" s="383">
        <v>2.6</v>
      </c>
      <c r="H222" s="382">
        <v>2.4</v>
      </c>
      <c r="I222" s="376" t="s">
        <v>206</v>
      </c>
      <c r="J222" s="376" t="s">
        <v>206</v>
      </c>
      <c r="K222" s="377" t="s">
        <v>206</v>
      </c>
    </row>
    <row r="223" spans="1:11" ht="15.5">
      <c r="B223" s="380" t="s">
        <v>392</v>
      </c>
      <c r="C223" s="382">
        <v>2.9</v>
      </c>
      <c r="D223" s="383">
        <v>1.5</v>
      </c>
      <c r="E223" s="382">
        <v>1.4</v>
      </c>
      <c r="F223" s="382">
        <v>2.9</v>
      </c>
      <c r="G223" s="383">
        <v>1.5</v>
      </c>
      <c r="H223" s="382">
        <v>1.4</v>
      </c>
      <c r="I223" s="376" t="s">
        <v>206</v>
      </c>
      <c r="J223" s="376" t="s">
        <v>206</v>
      </c>
      <c r="K223" s="377" t="s">
        <v>206</v>
      </c>
    </row>
    <row r="224" spans="1:11" ht="15.5">
      <c r="B224" s="380" t="s">
        <v>393</v>
      </c>
      <c r="C224" s="382">
        <v>9.9</v>
      </c>
      <c r="D224" s="383">
        <v>5</v>
      </c>
      <c r="E224" s="382">
        <v>4.9000000000000004</v>
      </c>
      <c r="F224" s="382">
        <v>9.9</v>
      </c>
      <c r="G224" s="383">
        <v>5</v>
      </c>
      <c r="H224" s="382">
        <v>4.9000000000000004</v>
      </c>
      <c r="I224" s="376" t="s">
        <v>206</v>
      </c>
      <c r="J224" s="376" t="s">
        <v>206</v>
      </c>
      <c r="K224" s="377" t="s">
        <v>206</v>
      </c>
    </row>
    <row r="225" spans="1:11" ht="15.5">
      <c r="B225" s="380" t="s">
        <v>394</v>
      </c>
      <c r="C225" s="382">
        <v>10.5</v>
      </c>
      <c r="D225" s="383">
        <v>5.0999999999999996</v>
      </c>
      <c r="E225" s="382">
        <v>5.4</v>
      </c>
      <c r="F225" s="382">
        <v>10.5</v>
      </c>
      <c r="G225" s="383">
        <v>5.0999999999999996</v>
      </c>
      <c r="H225" s="382">
        <v>5.4</v>
      </c>
      <c r="I225" s="376" t="s">
        <v>206</v>
      </c>
      <c r="J225" s="376" t="s">
        <v>206</v>
      </c>
      <c r="K225" s="377" t="s">
        <v>206</v>
      </c>
    </row>
    <row r="226" spans="1:11" ht="15.5">
      <c r="B226" s="380" t="s">
        <v>395</v>
      </c>
      <c r="C226" s="382">
        <v>12.7</v>
      </c>
      <c r="D226" s="383">
        <v>6.5</v>
      </c>
      <c r="E226" s="382">
        <v>6.1999999999999993</v>
      </c>
      <c r="F226" s="382">
        <v>12.7</v>
      </c>
      <c r="G226" s="383">
        <v>6.5</v>
      </c>
      <c r="H226" s="382">
        <v>6.1999999999999993</v>
      </c>
      <c r="I226" s="376" t="s">
        <v>206</v>
      </c>
      <c r="J226" s="376" t="s">
        <v>206</v>
      </c>
      <c r="K226" s="377" t="s">
        <v>206</v>
      </c>
    </row>
    <row r="227" spans="1:11" ht="15.5">
      <c r="B227" s="380" t="s">
        <v>396</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5">
      <c r="B228" s="380"/>
      <c r="C228" s="385"/>
      <c r="D228" s="385"/>
      <c r="E228" s="385"/>
      <c r="F228" s="385"/>
      <c r="G228" s="385"/>
      <c r="H228" s="385"/>
      <c r="I228" s="385"/>
      <c r="J228" s="385"/>
      <c r="K228" s="394"/>
    </row>
    <row r="229" spans="1:11" ht="15">
      <c r="B229" s="372" t="s">
        <v>397</v>
      </c>
      <c r="C229" s="381">
        <v>343.1</v>
      </c>
      <c r="D229" s="381">
        <v>169.4</v>
      </c>
      <c r="E229" s="381">
        <v>173.70000000000002</v>
      </c>
      <c r="F229" s="381">
        <v>343.1</v>
      </c>
      <c r="G229" s="381">
        <v>169.4</v>
      </c>
      <c r="H229" s="381">
        <v>173.70000000000002</v>
      </c>
      <c r="I229" s="376" t="s">
        <v>206</v>
      </c>
      <c r="J229" s="376" t="s">
        <v>206</v>
      </c>
      <c r="K229" s="377" t="s">
        <v>206</v>
      </c>
    </row>
    <row r="230" spans="1:11" ht="15.5">
      <c r="B230" s="380" t="s">
        <v>397</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5">
      <c r="B231" s="380" t="s">
        <v>398</v>
      </c>
      <c r="C231" s="382">
        <v>13.6</v>
      </c>
      <c r="D231" s="383">
        <v>6.7</v>
      </c>
      <c r="E231" s="382">
        <v>6.8999999999999995</v>
      </c>
      <c r="F231" s="382">
        <v>13.6</v>
      </c>
      <c r="G231" s="383">
        <v>6.7</v>
      </c>
      <c r="H231" s="382">
        <v>6.8999999999999995</v>
      </c>
      <c r="I231" s="376" t="s">
        <v>206</v>
      </c>
      <c r="J231" s="376" t="s">
        <v>206</v>
      </c>
      <c r="K231" s="377" t="s">
        <v>206</v>
      </c>
    </row>
    <row r="232" spans="1:11" ht="15.5">
      <c r="B232" s="380" t="s">
        <v>399</v>
      </c>
      <c r="C232" s="382">
        <v>23.4</v>
      </c>
      <c r="D232" s="383">
        <v>11.7</v>
      </c>
      <c r="E232" s="382">
        <v>11.7</v>
      </c>
      <c r="F232" s="382">
        <v>23.4</v>
      </c>
      <c r="G232" s="383">
        <v>11.7</v>
      </c>
      <c r="H232" s="382">
        <v>11.7</v>
      </c>
      <c r="I232" s="376" t="s">
        <v>206</v>
      </c>
      <c r="J232" s="376" t="s">
        <v>206</v>
      </c>
      <c r="K232" s="377" t="s">
        <v>206</v>
      </c>
    </row>
    <row r="233" spans="1:11" ht="15.5">
      <c r="B233" s="380"/>
      <c r="C233" s="395"/>
      <c r="D233" s="395"/>
      <c r="E233" s="395"/>
      <c r="F233" s="396"/>
      <c r="G233" s="397"/>
      <c r="H233" s="397"/>
      <c r="I233" s="397"/>
      <c r="J233" s="397"/>
      <c r="K233" s="398"/>
    </row>
    <row r="234" spans="1:11" ht="15">
      <c r="A234" t="s">
        <v>937</v>
      </c>
      <c r="B234" s="372" t="s">
        <v>400</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303</v>
      </c>
      <c r="C235" s="373"/>
      <c r="D235" s="373"/>
      <c r="E235" s="373"/>
      <c r="F235" s="373"/>
      <c r="G235" s="373"/>
      <c r="H235" s="373"/>
      <c r="I235" s="373"/>
      <c r="J235" s="373"/>
      <c r="K235" s="379"/>
    </row>
    <row r="236" spans="1:11" ht="15">
      <c r="B236" s="372" t="s">
        <v>401</v>
      </c>
      <c r="C236" s="381">
        <v>334</v>
      </c>
      <c r="D236" s="381">
        <v>163.1</v>
      </c>
      <c r="E236" s="381">
        <v>170.9</v>
      </c>
      <c r="F236" s="381">
        <v>334</v>
      </c>
      <c r="G236" s="381">
        <v>163.1</v>
      </c>
      <c r="H236" s="381">
        <v>170.9</v>
      </c>
      <c r="I236" s="376" t="s">
        <v>206</v>
      </c>
      <c r="J236" s="376" t="s">
        <v>206</v>
      </c>
      <c r="K236" s="377" t="s">
        <v>206</v>
      </c>
    </row>
    <row r="237" spans="1:11" ht="15.5">
      <c r="B237" s="400" t="s">
        <v>402</v>
      </c>
      <c r="C237" s="373"/>
      <c r="D237" s="373"/>
      <c r="E237" s="373"/>
      <c r="F237" s="373"/>
      <c r="G237" s="373"/>
      <c r="H237" s="373"/>
      <c r="I237" s="401"/>
      <c r="J237" s="401"/>
      <c r="K237" s="402"/>
    </row>
    <row r="238" spans="1:11" ht="15.5">
      <c r="B238" s="403" t="s">
        <v>371</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5">
      <c r="B239" s="403" t="s">
        <v>403</v>
      </c>
      <c r="C239" s="382">
        <v>181.5</v>
      </c>
      <c r="D239" s="382">
        <v>88.7</v>
      </c>
      <c r="E239" s="382">
        <v>92.8</v>
      </c>
      <c r="F239" s="382">
        <v>181.5</v>
      </c>
      <c r="G239" s="382">
        <v>88.7</v>
      </c>
      <c r="H239" s="382">
        <v>92.8</v>
      </c>
      <c r="I239" s="376" t="s">
        <v>206</v>
      </c>
      <c r="J239" s="376" t="s">
        <v>206</v>
      </c>
      <c r="K239" s="377" t="s">
        <v>206</v>
      </c>
    </row>
    <row r="240" spans="1:11" ht="15.5">
      <c r="B240" s="380" t="s">
        <v>404</v>
      </c>
      <c r="C240" s="382">
        <v>0.4</v>
      </c>
      <c r="D240" s="383">
        <v>0.2</v>
      </c>
      <c r="E240" s="382">
        <v>0.2</v>
      </c>
      <c r="F240" s="382">
        <v>0.4</v>
      </c>
      <c r="G240" s="383">
        <v>0.2</v>
      </c>
      <c r="H240" s="382">
        <v>0.2</v>
      </c>
      <c r="I240" s="376" t="s">
        <v>206</v>
      </c>
      <c r="J240" s="376" t="s">
        <v>206</v>
      </c>
      <c r="K240" s="377" t="s">
        <v>206</v>
      </c>
    </row>
    <row r="241" spans="2:11" ht="15.5">
      <c r="B241" s="380" t="s">
        <v>405</v>
      </c>
      <c r="C241" s="382" t="s">
        <v>206</v>
      </c>
      <c r="D241" s="382" t="s">
        <v>206</v>
      </c>
      <c r="E241" s="382" t="s">
        <v>206</v>
      </c>
      <c r="F241" s="382" t="s">
        <v>206</v>
      </c>
      <c r="G241" s="382" t="s">
        <v>206</v>
      </c>
      <c r="H241" s="382" t="s">
        <v>206</v>
      </c>
      <c r="I241" s="376" t="s">
        <v>206</v>
      </c>
      <c r="J241" s="376" t="s">
        <v>206</v>
      </c>
      <c r="K241" s="377" t="s">
        <v>206</v>
      </c>
    </row>
    <row r="242" spans="2:11" ht="15.5">
      <c r="B242" s="380" t="s">
        <v>406</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5">
      <c r="B243" s="380" t="s">
        <v>407</v>
      </c>
      <c r="C243" s="382">
        <v>14.3</v>
      </c>
      <c r="D243" s="383">
        <v>7</v>
      </c>
      <c r="E243" s="382">
        <v>7.3000000000000007</v>
      </c>
      <c r="F243" s="382">
        <v>14.3</v>
      </c>
      <c r="G243" s="383">
        <v>7</v>
      </c>
      <c r="H243" s="382">
        <v>7.3000000000000007</v>
      </c>
      <c r="I243" s="376" t="s">
        <v>206</v>
      </c>
      <c r="J243" s="376" t="s">
        <v>206</v>
      </c>
      <c r="K243" s="377" t="s">
        <v>206</v>
      </c>
    </row>
    <row r="244" spans="2:11" ht="15.5">
      <c r="B244" s="380" t="s">
        <v>408</v>
      </c>
      <c r="C244" s="382">
        <v>4.8</v>
      </c>
      <c r="D244" s="383">
        <v>2.2999999999999998</v>
      </c>
      <c r="E244" s="382">
        <v>2.5</v>
      </c>
      <c r="F244" s="382">
        <v>4.8</v>
      </c>
      <c r="G244" s="383">
        <v>2.2999999999999998</v>
      </c>
      <c r="H244" s="382">
        <v>2.5</v>
      </c>
      <c r="I244" s="376" t="s">
        <v>206</v>
      </c>
      <c r="J244" s="376" t="s">
        <v>206</v>
      </c>
      <c r="K244" s="377" t="s">
        <v>206</v>
      </c>
    </row>
    <row r="245" spans="2:11" ht="15.5">
      <c r="B245" s="380" t="s">
        <v>409</v>
      </c>
      <c r="C245" s="382">
        <v>11.2</v>
      </c>
      <c r="D245" s="383">
        <v>5.5</v>
      </c>
      <c r="E245" s="382">
        <v>5.6999999999999993</v>
      </c>
      <c r="F245" s="382">
        <v>11.2</v>
      </c>
      <c r="G245" s="383">
        <v>5.5</v>
      </c>
      <c r="H245" s="382">
        <v>5.6999999999999993</v>
      </c>
      <c r="I245" s="376" t="s">
        <v>206</v>
      </c>
      <c r="J245" s="376" t="s">
        <v>206</v>
      </c>
      <c r="K245" s="377" t="s">
        <v>206</v>
      </c>
    </row>
    <row r="246" spans="2:11" ht="15.5">
      <c r="B246" s="380" t="s">
        <v>410</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5">
      <c r="B247" s="380"/>
      <c r="C247" s="385"/>
      <c r="D247" s="385"/>
      <c r="E247" s="385"/>
      <c r="F247" s="385"/>
      <c r="G247" s="385"/>
      <c r="H247" s="385"/>
      <c r="I247" s="385"/>
      <c r="J247" s="385"/>
      <c r="K247" s="394"/>
    </row>
    <row r="248" spans="2:11" ht="15">
      <c r="B248" s="372" t="s">
        <v>411</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412</v>
      </c>
      <c r="C249" s="382">
        <v>21.9</v>
      </c>
      <c r="D249" s="383">
        <v>10.6</v>
      </c>
      <c r="E249" s="382">
        <v>11.299999999999999</v>
      </c>
      <c r="F249" s="382">
        <v>21.9</v>
      </c>
      <c r="G249" s="383">
        <v>10.6</v>
      </c>
      <c r="H249" s="382">
        <v>11.299999999999999</v>
      </c>
      <c r="I249" s="376" t="s">
        <v>206</v>
      </c>
      <c r="J249" s="376" t="s">
        <v>206</v>
      </c>
      <c r="K249" s="377" t="s">
        <v>206</v>
      </c>
    </row>
    <row r="250" spans="2:11" ht="15.5">
      <c r="B250" s="380"/>
      <c r="C250" s="392"/>
      <c r="D250" s="392"/>
      <c r="E250" s="392"/>
      <c r="F250" s="392"/>
      <c r="G250" s="392"/>
      <c r="H250" s="392"/>
      <c r="I250" s="392"/>
      <c r="J250" s="392"/>
      <c r="K250" s="393"/>
    </row>
    <row r="251" spans="2:11" ht="15">
      <c r="B251" s="372" t="s">
        <v>413</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414</v>
      </c>
      <c r="C252" s="382">
        <v>12.8</v>
      </c>
      <c r="D252" s="383">
        <v>6.4</v>
      </c>
      <c r="E252" s="382">
        <v>6.4</v>
      </c>
      <c r="F252" s="382">
        <v>12.8</v>
      </c>
      <c r="G252" s="383">
        <v>6.4</v>
      </c>
      <c r="H252" s="382">
        <v>6.4</v>
      </c>
      <c r="I252" s="376" t="s">
        <v>206</v>
      </c>
      <c r="J252" s="376" t="s">
        <v>206</v>
      </c>
      <c r="K252" s="377" t="s">
        <v>206</v>
      </c>
    </row>
    <row r="253" spans="2:11" ht="15.5">
      <c r="B253" s="380" t="s">
        <v>415</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5">
      <c r="B254" s="380" t="s">
        <v>416</v>
      </c>
      <c r="C254" s="382">
        <v>0</v>
      </c>
      <c r="D254" s="383">
        <v>0</v>
      </c>
      <c r="E254" s="382">
        <v>0</v>
      </c>
      <c r="F254" s="382">
        <v>0</v>
      </c>
      <c r="G254" s="383">
        <v>0</v>
      </c>
      <c r="H254" s="382">
        <v>0</v>
      </c>
      <c r="I254" s="376" t="s">
        <v>206</v>
      </c>
      <c r="J254" s="376" t="s">
        <v>206</v>
      </c>
      <c r="K254" s="377" t="s">
        <v>206</v>
      </c>
    </row>
    <row r="255" spans="2:11" ht="15.5">
      <c r="B255" s="380" t="s">
        <v>417</v>
      </c>
      <c r="C255" s="382">
        <v>0.6</v>
      </c>
      <c r="D255" s="383">
        <v>0.3</v>
      </c>
      <c r="E255" s="382">
        <v>0.3</v>
      </c>
      <c r="F255" s="382">
        <v>0.6</v>
      </c>
      <c r="G255" s="383">
        <v>0.3</v>
      </c>
      <c r="H255" s="382">
        <v>0.3</v>
      </c>
      <c r="I255" s="376" t="s">
        <v>206</v>
      </c>
      <c r="J255" s="376" t="s">
        <v>206</v>
      </c>
      <c r="K255" s="377" t="s">
        <v>206</v>
      </c>
    </row>
    <row r="256" spans="2:11" ht="15.5">
      <c r="B256" s="380" t="s">
        <v>418</v>
      </c>
      <c r="C256" s="382">
        <v>0.2</v>
      </c>
      <c r="D256" s="383">
        <v>0.1</v>
      </c>
      <c r="E256" s="382">
        <v>0.1</v>
      </c>
      <c r="F256" s="382">
        <v>0.2</v>
      </c>
      <c r="G256" s="383">
        <v>0.1</v>
      </c>
      <c r="H256" s="382">
        <v>0.1</v>
      </c>
      <c r="I256" s="376" t="s">
        <v>206</v>
      </c>
      <c r="J256" s="376" t="s">
        <v>206</v>
      </c>
      <c r="K256" s="377" t="s">
        <v>206</v>
      </c>
    </row>
    <row r="257" spans="2:11" ht="15.5">
      <c r="B257" s="380" t="s">
        <v>419</v>
      </c>
      <c r="C257" s="382">
        <v>0.2</v>
      </c>
      <c r="D257" s="383">
        <v>0.1</v>
      </c>
      <c r="E257" s="382">
        <v>0.1</v>
      </c>
      <c r="F257" s="382">
        <v>0.2</v>
      </c>
      <c r="G257" s="383">
        <v>0.1</v>
      </c>
      <c r="H257" s="382">
        <v>0.1</v>
      </c>
      <c r="I257" s="376" t="s">
        <v>206</v>
      </c>
      <c r="J257" s="376" t="s">
        <v>206</v>
      </c>
      <c r="K257" s="377" t="s">
        <v>206</v>
      </c>
    </row>
    <row r="258" spans="2:11" ht="15.5">
      <c r="B258" s="380" t="s">
        <v>420</v>
      </c>
      <c r="C258" s="382">
        <v>1.7</v>
      </c>
      <c r="D258" s="383">
        <v>0.8</v>
      </c>
      <c r="E258" s="382">
        <v>0.89999999999999991</v>
      </c>
      <c r="F258" s="382">
        <v>1.7</v>
      </c>
      <c r="G258" s="383">
        <v>0.8</v>
      </c>
      <c r="H258" s="382">
        <v>0.89999999999999991</v>
      </c>
      <c r="I258" s="376" t="s">
        <v>206</v>
      </c>
      <c r="J258" s="376" t="s">
        <v>206</v>
      </c>
      <c r="K258" s="377" t="s">
        <v>206</v>
      </c>
    </row>
    <row r="259" spans="2:11" ht="15.5">
      <c r="B259" s="380" t="s">
        <v>421</v>
      </c>
      <c r="C259" s="382">
        <v>0</v>
      </c>
      <c r="D259" s="383">
        <v>0</v>
      </c>
      <c r="E259" s="382">
        <v>0</v>
      </c>
      <c r="F259" s="382">
        <v>0</v>
      </c>
      <c r="G259" s="383">
        <v>0</v>
      </c>
      <c r="H259" s="382">
        <v>0</v>
      </c>
      <c r="I259" s="376" t="s">
        <v>206</v>
      </c>
      <c r="J259" s="376" t="s">
        <v>206</v>
      </c>
      <c r="K259" s="377" t="s">
        <v>206</v>
      </c>
    </row>
    <row r="260" spans="2:11" ht="15.5">
      <c r="B260" s="380" t="s">
        <v>422</v>
      </c>
      <c r="C260" s="382">
        <v>1.8</v>
      </c>
      <c r="D260" s="383">
        <v>0.9</v>
      </c>
      <c r="E260" s="382">
        <v>0.9</v>
      </c>
      <c r="F260" s="382">
        <v>1.8</v>
      </c>
      <c r="G260" s="383">
        <v>0.9</v>
      </c>
      <c r="H260" s="382">
        <v>0.9</v>
      </c>
      <c r="I260" s="376" t="s">
        <v>206</v>
      </c>
      <c r="J260" s="376" t="s">
        <v>206</v>
      </c>
      <c r="K260" s="377" t="s">
        <v>206</v>
      </c>
    </row>
    <row r="261" spans="2:11" ht="15.5">
      <c r="B261" s="380" t="s">
        <v>423</v>
      </c>
      <c r="C261" s="382">
        <v>3</v>
      </c>
      <c r="D261" s="383">
        <v>1.4</v>
      </c>
      <c r="E261" s="382">
        <v>1.6</v>
      </c>
      <c r="F261" s="382">
        <v>3</v>
      </c>
      <c r="G261" s="383">
        <v>1.4</v>
      </c>
      <c r="H261" s="382">
        <v>1.6</v>
      </c>
      <c r="I261" s="376" t="s">
        <v>206</v>
      </c>
      <c r="J261" s="376" t="s">
        <v>206</v>
      </c>
      <c r="K261" s="377" t="s">
        <v>206</v>
      </c>
    </row>
    <row r="262" spans="2:11" ht="15.5">
      <c r="B262" s="380"/>
      <c r="C262" s="404"/>
      <c r="D262" s="404"/>
      <c r="E262" s="404"/>
      <c r="F262" s="404"/>
      <c r="G262" s="404"/>
      <c r="H262" s="404"/>
      <c r="I262" s="404"/>
      <c r="J262" s="404"/>
      <c r="K262" s="405"/>
    </row>
    <row r="263" spans="2:11" ht="15">
      <c r="B263" s="372" t="s">
        <v>424</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425</v>
      </c>
      <c r="C264" s="382">
        <v>14.1</v>
      </c>
      <c r="D264" s="383">
        <v>6.9</v>
      </c>
      <c r="E264" s="382">
        <v>7.1999999999999993</v>
      </c>
      <c r="F264" s="382">
        <v>14.1</v>
      </c>
      <c r="G264" s="383">
        <v>6.9</v>
      </c>
      <c r="H264" s="382">
        <v>7.1999999999999993</v>
      </c>
      <c r="I264" s="376" t="s">
        <v>206</v>
      </c>
      <c r="J264" s="376" t="s">
        <v>206</v>
      </c>
      <c r="K264" s="377" t="s">
        <v>206</v>
      </c>
    </row>
    <row r="265" spans="2:11" ht="15.5">
      <c r="B265" s="380" t="s">
        <v>426</v>
      </c>
      <c r="C265" s="382">
        <v>15.2</v>
      </c>
      <c r="D265" s="383">
        <v>7.7</v>
      </c>
      <c r="E265" s="382">
        <v>7.4999999999999991</v>
      </c>
      <c r="F265" s="382">
        <v>15.2</v>
      </c>
      <c r="G265" s="383">
        <v>7.7</v>
      </c>
      <c r="H265" s="382">
        <v>7.4999999999999991</v>
      </c>
      <c r="I265" s="376" t="s">
        <v>206</v>
      </c>
      <c r="J265" s="376" t="s">
        <v>206</v>
      </c>
      <c r="K265" s="377" t="s">
        <v>206</v>
      </c>
    </row>
    <row r="266" spans="2:11" ht="15.5">
      <c r="B266" s="380"/>
      <c r="C266" s="392"/>
      <c r="D266" s="392"/>
      <c r="E266" s="392"/>
      <c r="F266" s="392"/>
      <c r="G266" s="392"/>
      <c r="H266" s="392"/>
      <c r="I266" s="392"/>
      <c r="J266" s="392"/>
      <c r="K266" s="393"/>
    </row>
    <row r="267" spans="2:11" ht="15">
      <c r="B267" s="372" t="s">
        <v>427</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428</v>
      </c>
      <c r="C268" s="382">
        <v>43.4</v>
      </c>
      <c r="D268" s="383">
        <v>21.8</v>
      </c>
      <c r="E268" s="382">
        <v>21.599999999999998</v>
      </c>
      <c r="F268" s="382">
        <v>43.4</v>
      </c>
      <c r="G268" s="383">
        <v>21.8</v>
      </c>
      <c r="H268" s="382">
        <v>21.599999999999998</v>
      </c>
      <c r="I268" s="376" t="s">
        <v>206</v>
      </c>
      <c r="J268" s="376" t="s">
        <v>206</v>
      </c>
      <c r="K268" s="377" t="s">
        <v>206</v>
      </c>
    </row>
    <row r="269" spans="2:11" ht="15.5">
      <c r="B269" s="380" t="s">
        <v>429</v>
      </c>
      <c r="C269" s="382">
        <v>0.4</v>
      </c>
      <c r="D269" s="383">
        <v>0.2</v>
      </c>
      <c r="E269" s="382">
        <v>0.2</v>
      </c>
      <c r="F269" s="382">
        <v>0.4</v>
      </c>
      <c r="G269" s="383">
        <v>0.2</v>
      </c>
      <c r="H269" s="382">
        <v>0.2</v>
      </c>
      <c r="I269" s="376" t="s">
        <v>206</v>
      </c>
      <c r="J269" s="376" t="s">
        <v>206</v>
      </c>
      <c r="K269" s="377" t="s">
        <v>206</v>
      </c>
    </row>
    <row r="270" spans="2:11" ht="15.5">
      <c r="B270" s="380" t="s">
        <v>430</v>
      </c>
      <c r="C270" s="382">
        <v>0.7</v>
      </c>
      <c r="D270" s="383">
        <v>0.3</v>
      </c>
      <c r="E270" s="382">
        <v>0.39999999999999997</v>
      </c>
      <c r="F270" s="382">
        <v>0.7</v>
      </c>
      <c r="G270" s="383">
        <v>0.3</v>
      </c>
      <c r="H270" s="382">
        <v>0.39999999999999997</v>
      </c>
      <c r="I270" s="376" t="s">
        <v>206</v>
      </c>
      <c r="J270" s="376" t="s">
        <v>206</v>
      </c>
      <c r="K270" s="377" t="s">
        <v>206</v>
      </c>
    </row>
    <row r="271" spans="2:11" ht="15.5">
      <c r="B271" s="380" t="s">
        <v>431</v>
      </c>
      <c r="C271" s="382">
        <v>8.4</v>
      </c>
      <c r="D271" s="383">
        <v>4.2</v>
      </c>
      <c r="E271" s="382">
        <v>4.2</v>
      </c>
      <c r="F271" s="382">
        <v>8.4</v>
      </c>
      <c r="G271" s="383">
        <v>4.2</v>
      </c>
      <c r="H271" s="382">
        <v>4.2</v>
      </c>
      <c r="I271" s="376" t="s">
        <v>206</v>
      </c>
      <c r="J271" s="376" t="s">
        <v>206</v>
      </c>
      <c r="K271" s="377" t="s">
        <v>206</v>
      </c>
    </row>
    <row r="272" spans="2:11" ht="15.5">
      <c r="B272" s="380" t="s">
        <v>432</v>
      </c>
      <c r="C272" s="382">
        <v>1.5</v>
      </c>
      <c r="D272" s="383">
        <v>0.8</v>
      </c>
      <c r="E272" s="382">
        <v>0.7</v>
      </c>
      <c r="F272" s="382">
        <v>1.5</v>
      </c>
      <c r="G272" s="383">
        <v>0.8</v>
      </c>
      <c r="H272" s="382">
        <v>0.7</v>
      </c>
      <c r="I272" s="376" t="s">
        <v>206</v>
      </c>
      <c r="J272" s="376" t="s">
        <v>206</v>
      </c>
      <c r="K272" s="377" t="s">
        <v>206</v>
      </c>
    </row>
    <row r="273" spans="2:11" ht="15.5">
      <c r="B273" s="380" t="s">
        <v>433</v>
      </c>
      <c r="C273" s="382">
        <v>7.3</v>
      </c>
      <c r="D273" s="383">
        <v>3.6</v>
      </c>
      <c r="E273" s="382">
        <v>3.6999999999999997</v>
      </c>
      <c r="F273" s="382">
        <v>7.3</v>
      </c>
      <c r="G273" s="383">
        <v>3.6</v>
      </c>
      <c r="H273" s="382">
        <v>3.6999999999999997</v>
      </c>
      <c r="I273" s="376" t="s">
        <v>206</v>
      </c>
      <c r="J273" s="376" t="s">
        <v>206</v>
      </c>
      <c r="K273" s="377" t="s">
        <v>206</v>
      </c>
    </row>
    <row r="274" spans="2:11" ht="15.5">
      <c r="B274" s="380" t="s">
        <v>434</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5">
      <c r="B275" s="380" t="s">
        <v>435</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5">
      <c r="B276" s="380"/>
      <c r="C276" s="404"/>
      <c r="D276" s="404"/>
      <c r="E276" s="404"/>
      <c r="F276" s="404"/>
      <c r="G276" s="404"/>
      <c r="H276" s="404"/>
      <c r="I276" s="404"/>
      <c r="J276" s="404"/>
      <c r="K276" s="405"/>
    </row>
    <row r="277" spans="2:11" ht="15">
      <c r="B277" s="372" t="s">
        <v>436</v>
      </c>
      <c r="C277" s="381">
        <v>100.4</v>
      </c>
      <c r="D277" s="381">
        <v>50.7</v>
      </c>
      <c r="E277" s="381">
        <v>49.7</v>
      </c>
      <c r="F277" s="381">
        <v>11.7</v>
      </c>
      <c r="G277" s="390">
        <v>5.7</v>
      </c>
      <c r="H277" s="381">
        <v>5.9999999999999991</v>
      </c>
      <c r="I277" s="381">
        <v>88.7</v>
      </c>
      <c r="J277" s="381">
        <v>45</v>
      </c>
      <c r="K277" s="391">
        <v>43.7</v>
      </c>
    </row>
    <row r="278" spans="2:11" ht="15.5">
      <c r="B278" s="380" t="s">
        <v>437</v>
      </c>
      <c r="C278" s="382">
        <v>11.7</v>
      </c>
      <c r="D278" s="383">
        <v>5.7</v>
      </c>
      <c r="E278" s="382">
        <v>5.9999999999999991</v>
      </c>
      <c r="F278" s="382">
        <v>11.7</v>
      </c>
      <c r="G278" s="383">
        <v>5.7</v>
      </c>
      <c r="H278" s="382">
        <v>5.9999999999999991</v>
      </c>
      <c r="I278" s="376" t="s">
        <v>206</v>
      </c>
      <c r="J278" s="376" t="s">
        <v>206</v>
      </c>
      <c r="K278" s="377" t="s">
        <v>206</v>
      </c>
    </row>
    <row r="279" spans="2:11" ht="15.5">
      <c r="B279" s="380"/>
      <c r="C279" s="392"/>
      <c r="D279" s="392"/>
      <c r="E279" s="392"/>
      <c r="F279" s="392"/>
      <c r="G279" s="392"/>
      <c r="H279" s="392"/>
      <c r="I279" s="392"/>
      <c r="J279" s="392"/>
      <c r="K279" s="393"/>
    </row>
    <row r="280" spans="2:11" ht="15">
      <c r="B280" s="372" t="s">
        <v>438</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439</v>
      </c>
      <c r="C281" s="382">
        <v>11.1</v>
      </c>
      <c r="D281" s="383">
        <v>5.4</v>
      </c>
      <c r="E281" s="382">
        <v>5.6999999999999993</v>
      </c>
      <c r="F281" s="382">
        <v>11.1</v>
      </c>
      <c r="G281" s="383">
        <v>5.4</v>
      </c>
      <c r="H281" s="382">
        <v>5.6999999999999993</v>
      </c>
      <c r="I281" s="376" t="s">
        <v>206</v>
      </c>
      <c r="J281" s="376" t="s">
        <v>206</v>
      </c>
      <c r="K281" s="377" t="s">
        <v>206</v>
      </c>
    </row>
    <row r="282" spans="2:11" ht="15.5">
      <c r="B282" s="380" t="s">
        <v>440</v>
      </c>
      <c r="C282" s="382">
        <v>0.8</v>
      </c>
      <c r="D282" s="383">
        <v>0.4</v>
      </c>
      <c r="E282" s="382">
        <v>0.4</v>
      </c>
      <c r="F282" s="382">
        <v>0.8</v>
      </c>
      <c r="G282" s="383">
        <v>0.4</v>
      </c>
      <c r="H282" s="382">
        <v>0.4</v>
      </c>
      <c r="I282" s="376" t="s">
        <v>206</v>
      </c>
      <c r="J282" s="376" t="s">
        <v>206</v>
      </c>
      <c r="K282" s="377" t="s">
        <v>206</v>
      </c>
    </row>
    <row r="283" spans="2:11" ht="15.5">
      <c r="B283" s="380" t="s">
        <v>441</v>
      </c>
      <c r="C283" s="382">
        <v>0.4</v>
      </c>
      <c r="D283" s="383">
        <v>0.2</v>
      </c>
      <c r="E283" s="382">
        <v>0.2</v>
      </c>
      <c r="F283" s="382">
        <v>0.4</v>
      </c>
      <c r="G283" s="383">
        <v>0.2</v>
      </c>
      <c r="H283" s="382">
        <v>0.2</v>
      </c>
      <c r="I283" s="376" t="s">
        <v>206</v>
      </c>
      <c r="J283" s="376" t="s">
        <v>206</v>
      </c>
      <c r="K283" s="377" t="s">
        <v>206</v>
      </c>
    </row>
    <row r="284" spans="2:11" ht="15.5">
      <c r="B284" s="380" t="s">
        <v>442</v>
      </c>
      <c r="C284" s="382">
        <v>0.5</v>
      </c>
      <c r="D284" s="383">
        <v>0.3</v>
      </c>
      <c r="E284" s="382">
        <v>0.2</v>
      </c>
      <c r="F284" s="382">
        <v>0.5</v>
      </c>
      <c r="G284" s="383">
        <v>0.3</v>
      </c>
      <c r="H284" s="382">
        <v>0.2</v>
      </c>
      <c r="I284" s="376" t="s">
        <v>206</v>
      </c>
      <c r="J284" s="376" t="s">
        <v>206</v>
      </c>
      <c r="K284" s="377" t="s">
        <v>206</v>
      </c>
    </row>
    <row r="285" spans="2:11" ht="15.5">
      <c r="B285" s="380" t="s">
        <v>443</v>
      </c>
      <c r="C285" s="382">
        <v>0.5</v>
      </c>
      <c r="D285" s="383">
        <v>0.2</v>
      </c>
      <c r="E285" s="382">
        <v>0.3</v>
      </c>
      <c r="F285" s="382">
        <v>0.5</v>
      </c>
      <c r="G285" s="383">
        <v>0.2</v>
      </c>
      <c r="H285" s="382">
        <v>0.3</v>
      </c>
      <c r="I285" s="376" t="s">
        <v>206</v>
      </c>
      <c r="J285" s="376" t="s">
        <v>206</v>
      </c>
      <c r="K285" s="377" t="s">
        <v>206</v>
      </c>
    </row>
    <row r="286" spans="2:11" ht="15.5">
      <c r="B286" s="380" t="s">
        <v>444</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5">
      <c r="B287" s="380"/>
      <c r="C287" s="404"/>
      <c r="D287" s="404"/>
      <c r="E287" s="404"/>
      <c r="F287" s="404"/>
      <c r="G287" s="404"/>
      <c r="H287" s="404"/>
      <c r="I287" s="404"/>
      <c r="J287" s="404"/>
      <c r="K287" s="405"/>
    </row>
    <row r="288" spans="2:11" ht="15">
      <c r="B288" s="372" t="s">
        <v>445</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446</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5">
      <c r="B290" s="380" t="s">
        <v>447</v>
      </c>
      <c r="C290" s="382">
        <v>1.3</v>
      </c>
      <c r="D290" s="383">
        <v>0.6</v>
      </c>
      <c r="E290" s="382">
        <v>0.70000000000000007</v>
      </c>
      <c r="F290" s="382">
        <v>1.3</v>
      </c>
      <c r="G290" s="383">
        <v>0.6</v>
      </c>
      <c r="H290" s="382">
        <v>0.70000000000000007</v>
      </c>
      <c r="I290" s="376" t="s">
        <v>206</v>
      </c>
      <c r="J290" s="376" t="s">
        <v>206</v>
      </c>
      <c r="K290" s="377" t="s">
        <v>206</v>
      </c>
    </row>
    <row r="291" spans="2:11" ht="15.5">
      <c r="B291" s="380" t="s">
        <v>448</v>
      </c>
      <c r="C291" s="382">
        <v>6.3</v>
      </c>
      <c r="D291" s="383">
        <v>3.2</v>
      </c>
      <c r="E291" s="382">
        <v>3.0999999999999996</v>
      </c>
      <c r="F291" s="382">
        <v>6.3</v>
      </c>
      <c r="G291" s="383">
        <v>3.2</v>
      </c>
      <c r="H291" s="382">
        <v>3.0999999999999996</v>
      </c>
      <c r="I291" s="376" t="s">
        <v>206</v>
      </c>
      <c r="J291" s="376" t="s">
        <v>206</v>
      </c>
      <c r="K291" s="377" t="s">
        <v>206</v>
      </c>
    </row>
    <row r="292" spans="2:11" ht="15.5">
      <c r="B292" s="380" t="s">
        <v>449</v>
      </c>
      <c r="C292" s="382">
        <v>0</v>
      </c>
      <c r="D292" s="383">
        <v>0</v>
      </c>
      <c r="E292" s="382">
        <v>0</v>
      </c>
      <c r="F292" s="382">
        <v>0</v>
      </c>
      <c r="G292" s="383">
        <v>0</v>
      </c>
      <c r="H292" s="382">
        <v>0</v>
      </c>
      <c r="I292" s="376" t="s">
        <v>206</v>
      </c>
      <c r="J292" s="376" t="s">
        <v>206</v>
      </c>
      <c r="K292" s="377" t="s">
        <v>206</v>
      </c>
    </row>
    <row r="293" spans="2:11" ht="15.5">
      <c r="B293" s="380" t="s">
        <v>450</v>
      </c>
      <c r="C293" s="382">
        <v>2</v>
      </c>
      <c r="D293" s="383">
        <v>1</v>
      </c>
      <c r="E293" s="382">
        <v>1</v>
      </c>
      <c r="F293" s="382">
        <v>2</v>
      </c>
      <c r="G293" s="383">
        <v>1</v>
      </c>
      <c r="H293" s="382">
        <v>1</v>
      </c>
      <c r="I293" s="376" t="s">
        <v>206</v>
      </c>
      <c r="J293" s="376" t="s">
        <v>206</v>
      </c>
      <c r="K293" s="377" t="s">
        <v>206</v>
      </c>
    </row>
    <row r="294" spans="2:11" ht="15.5">
      <c r="B294" s="380" t="s">
        <v>451</v>
      </c>
      <c r="C294" s="382">
        <v>1.5</v>
      </c>
      <c r="D294" s="383">
        <v>0.7</v>
      </c>
      <c r="E294" s="382">
        <v>0.8</v>
      </c>
      <c r="F294" s="382">
        <v>1.5</v>
      </c>
      <c r="G294" s="383">
        <v>0.7</v>
      </c>
      <c r="H294" s="382">
        <v>0.8</v>
      </c>
      <c r="I294" s="376" t="s">
        <v>206</v>
      </c>
      <c r="J294" s="376" t="s">
        <v>206</v>
      </c>
      <c r="K294" s="377" t="s">
        <v>206</v>
      </c>
    </row>
    <row r="295" spans="2:11" ht="15.5">
      <c r="B295" s="380" t="s">
        <v>452</v>
      </c>
      <c r="C295" s="382">
        <v>0.6</v>
      </c>
      <c r="D295" s="383">
        <v>0.3</v>
      </c>
      <c r="E295" s="382">
        <v>0.3</v>
      </c>
      <c r="F295" s="382">
        <v>0.6</v>
      </c>
      <c r="G295" s="383">
        <v>0.3</v>
      </c>
      <c r="H295" s="382">
        <v>0.3</v>
      </c>
      <c r="I295" s="376" t="s">
        <v>206</v>
      </c>
      <c r="J295" s="376" t="s">
        <v>206</v>
      </c>
      <c r="K295" s="377" t="s">
        <v>206</v>
      </c>
    </row>
    <row r="296" spans="2:11" ht="15.5">
      <c r="B296" s="380"/>
      <c r="C296" s="385"/>
      <c r="D296" s="385"/>
      <c r="E296" s="385"/>
      <c r="F296" s="385"/>
      <c r="G296" s="385"/>
      <c r="H296" s="385"/>
      <c r="I296" s="385"/>
      <c r="J296" s="385"/>
      <c r="K296" s="394"/>
    </row>
    <row r="297" spans="2:11" ht="15">
      <c r="B297" s="372" t="s">
        <v>453</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454</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5">
      <c r="B299" s="380" t="s">
        <v>455</v>
      </c>
      <c r="C299" s="382">
        <v>0.3</v>
      </c>
      <c r="D299" s="383">
        <v>0.2</v>
      </c>
      <c r="E299" s="382">
        <v>9.9999999999999978E-2</v>
      </c>
      <c r="F299" s="382">
        <v>0.3</v>
      </c>
      <c r="G299" s="383">
        <v>0.2</v>
      </c>
      <c r="H299" s="382">
        <v>9.9999999999999978E-2</v>
      </c>
      <c r="I299" s="376" t="s">
        <v>206</v>
      </c>
      <c r="J299" s="376" t="s">
        <v>206</v>
      </c>
      <c r="K299" s="377" t="s">
        <v>206</v>
      </c>
    </row>
    <row r="300" spans="2:11" ht="15.5">
      <c r="B300" s="380" t="s">
        <v>456</v>
      </c>
      <c r="C300" s="382">
        <v>0.1</v>
      </c>
      <c r="D300" s="383">
        <v>0.1</v>
      </c>
      <c r="E300" s="382">
        <v>0</v>
      </c>
      <c r="F300" s="382">
        <v>0.1</v>
      </c>
      <c r="G300" s="383">
        <v>0.1</v>
      </c>
      <c r="H300" s="382">
        <v>0</v>
      </c>
      <c r="I300" s="376" t="s">
        <v>206</v>
      </c>
      <c r="J300" s="376" t="s">
        <v>206</v>
      </c>
      <c r="K300" s="377" t="s">
        <v>206</v>
      </c>
    </row>
    <row r="301" spans="2:11" ht="15.5">
      <c r="B301" s="380" t="s">
        <v>457</v>
      </c>
      <c r="C301" s="382">
        <v>0.4</v>
      </c>
      <c r="D301" s="383">
        <v>0.2</v>
      </c>
      <c r="E301" s="382">
        <v>0.2</v>
      </c>
      <c r="F301" s="382">
        <v>0.4</v>
      </c>
      <c r="G301" s="383">
        <v>0.2</v>
      </c>
      <c r="H301" s="382">
        <v>0.2</v>
      </c>
      <c r="I301" s="376" t="s">
        <v>206</v>
      </c>
      <c r="J301" s="376" t="s">
        <v>206</v>
      </c>
      <c r="K301" s="377" t="s">
        <v>206</v>
      </c>
    </row>
    <row r="302" spans="2:11" ht="15.5">
      <c r="B302" s="380" t="s">
        <v>458</v>
      </c>
      <c r="C302" s="382">
        <v>4.3</v>
      </c>
      <c r="D302" s="383">
        <v>2.1</v>
      </c>
      <c r="E302" s="382">
        <v>2.1999999999999997</v>
      </c>
      <c r="F302" s="382">
        <v>4.3</v>
      </c>
      <c r="G302" s="383">
        <v>2.1</v>
      </c>
      <c r="H302" s="382">
        <v>2.1999999999999997</v>
      </c>
      <c r="I302" s="376" t="s">
        <v>206</v>
      </c>
      <c r="J302" s="376" t="s">
        <v>206</v>
      </c>
      <c r="K302" s="377" t="s">
        <v>206</v>
      </c>
    </row>
    <row r="303" spans="2:11" ht="15.5">
      <c r="B303" s="380" t="s">
        <v>459</v>
      </c>
      <c r="C303" s="382">
        <v>0.4</v>
      </c>
      <c r="D303" s="383">
        <v>0.2</v>
      </c>
      <c r="E303" s="382">
        <v>0.2</v>
      </c>
      <c r="F303" s="382">
        <v>0.4</v>
      </c>
      <c r="G303" s="383">
        <v>0.2</v>
      </c>
      <c r="H303" s="382">
        <v>0.2</v>
      </c>
      <c r="I303" s="376" t="s">
        <v>206</v>
      </c>
      <c r="J303" s="376" t="s">
        <v>206</v>
      </c>
      <c r="K303" s="377" t="s">
        <v>206</v>
      </c>
    </row>
    <row r="304" spans="2:11" ht="15.5">
      <c r="B304" s="380" t="s">
        <v>460</v>
      </c>
      <c r="C304" s="382">
        <v>1</v>
      </c>
      <c r="D304" s="383">
        <v>0.5</v>
      </c>
      <c r="E304" s="382">
        <v>0.5</v>
      </c>
      <c r="F304" s="382">
        <v>1</v>
      </c>
      <c r="G304" s="383">
        <v>0.5</v>
      </c>
      <c r="H304" s="382">
        <v>0.5</v>
      </c>
      <c r="I304" s="376" t="s">
        <v>206</v>
      </c>
      <c r="J304" s="376" t="s">
        <v>206</v>
      </c>
      <c r="K304" s="377" t="s">
        <v>206</v>
      </c>
    </row>
    <row r="305" spans="1:11" ht="15.5">
      <c r="B305" s="380"/>
      <c r="C305" s="392"/>
      <c r="D305" s="392"/>
      <c r="E305" s="392"/>
      <c r="F305" s="392"/>
      <c r="G305" s="392"/>
      <c r="H305" s="392"/>
      <c r="I305" s="392"/>
      <c r="J305" s="392"/>
      <c r="K305" s="393"/>
    </row>
    <row r="306" spans="1:11" ht="15">
      <c r="B306" s="372" t="s">
        <v>461</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462</v>
      </c>
      <c r="C307" s="382">
        <v>7.4</v>
      </c>
      <c r="D307" s="383">
        <v>3.7</v>
      </c>
      <c r="E307" s="382">
        <v>3.7</v>
      </c>
      <c r="F307" s="382">
        <v>7.4</v>
      </c>
      <c r="G307" s="383">
        <v>3.7</v>
      </c>
      <c r="H307" s="382">
        <v>3.7</v>
      </c>
      <c r="I307" s="376" t="s">
        <v>206</v>
      </c>
      <c r="J307" s="376" t="s">
        <v>206</v>
      </c>
      <c r="K307" s="377" t="s">
        <v>206</v>
      </c>
    </row>
    <row r="308" spans="1:11" ht="15.5">
      <c r="B308" s="380" t="s">
        <v>463</v>
      </c>
      <c r="C308" s="382">
        <v>5.6</v>
      </c>
      <c r="D308" s="383">
        <v>2.8</v>
      </c>
      <c r="E308" s="382">
        <v>2.8</v>
      </c>
      <c r="F308" s="382">
        <v>5.6</v>
      </c>
      <c r="G308" s="383">
        <v>2.8</v>
      </c>
      <c r="H308" s="382">
        <v>2.8</v>
      </c>
      <c r="I308" s="376" t="s">
        <v>206</v>
      </c>
      <c r="J308" s="376" t="s">
        <v>206</v>
      </c>
      <c r="K308" s="377" t="s">
        <v>206</v>
      </c>
    </row>
    <row r="309" spans="1:11" ht="15.5">
      <c r="B309" s="380" t="s">
        <v>464</v>
      </c>
      <c r="C309" s="382">
        <v>0</v>
      </c>
      <c r="D309" s="383">
        <v>0</v>
      </c>
      <c r="E309" s="382">
        <v>0</v>
      </c>
      <c r="F309" s="382">
        <v>0</v>
      </c>
      <c r="G309" s="383">
        <v>0</v>
      </c>
      <c r="H309" s="382">
        <v>0</v>
      </c>
      <c r="I309" s="376" t="s">
        <v>206</v>
      </c>
      <c r="J309" s="376" t="s">
        <v>206</v>
      </c>
      <c r="K309" s="377" t="s">
        <v>206</v>
      </c>
    </row>
    <row r="310" spans="1:11" ht="15.5">
      <c r="B310" s="380" t="s">
        <v>465</v>
      </c>
      <c r="C310" s="382">
        <v>7.1</v>
      </c>
      <c r="D310" s="383">
        <v>3.6</v>
      </c>
      <c r="E310" s="382">
        <v>3.4999999999999996</v>
      </c>
      <c r="F310" s="382">
        <v>7.1</v>
      </c>
      <c r="G310" s="383">
        <v>3.6</v>
      </c>
      <c r="H310" s="382">
        <v>3.4999999999999996</v>
      </c>
      <c r="I310" s="376" t="s">
        <v>206</v>
      </c>
      <c r="J310" s="376" t="s">
        <v>206</v>
      </c>
      <c r="K310" s="377" t="s">
        <v>206</v>
      </c>
    </row>
    <row r="311" spans="1:11" ht="15.5">
      <c r="B311" s="380" t="s">
        <v>466</v>
      </c>
      <c r="C311" s="382">
        <v>0.3</v>
      </c>
      <c r="D311" s="383">
        <v>0.1</v>
      </c>
      <c r="E311" s="382">
        <v>0.19999999999999998</v>
      </c>
      <c r="F311" s="382">
        <v>0.3</v>
      </c>
      <c r="G311" s="383">
        <v>0.1</v>
      </c>
      <c r="H311" s="382">
        <v>0.19999999999999998</v>
      </c>
      <c r="I311" s="376" t="s">
        <v>206</v>
      </c>
      <c r="J311" s="376" t="s">
        <v>206</v>
      </c>
      <c r="K311" s="377" t="s">
        <v>206</v>
      </c>
    </row>
    <row r="312" spans="1:11" ht="15.5">
      <c r="B312" s="380" t="s">
        <v>467</v>
      </c>
      <c r="C312" s="382">
        <v>0.8</v>
      </c>
      <c r="D312" s="383">
        <v>0.4</v>
      </c>
      <c r="E312" s="382">
        <v>0.4</v>
      </c>
      <c r="F312" s="382">
        <v>0.8</v>
      </c>
      <c r="G312" s="383">
        <v>0.4</v>
      </c>
      <c r="H312" s="382">
        <v>0.4</v>
      </c>
      <c r="I312" s="376" t="s">
        <v>206</v>
      </c>
      <c r="J312" s="376" t="s">
        <v>206</v>
      </c>
      <c r="K312" s="377" t="s">
        <v>206</v>
      </c>
    </row>
    <row r="313" spans="1:11" ht="15.5">
      <c r="B313" s="380" t="s">
        <v>468</v>
      </c>
      <c r="C313" s="382">
        <v>0.8</v>
      </c>
      <c r="D313" s="383">
        <v>0.4</v>
      </c>
      <c r="E313" s="382">
        <v>0.4</v>
      </c>
      <c r="F313" s="382">
        <v>0.8</v>
      </c>
      <c r="G313" s="383">
        <v>0.4</v>
      </c>
      <c r="H313" s="382">
        <v>0.4</v>
      </c>
      <c r="I313" s="376" t="s">
        <v>206</v>
      </c>
      <c r="J313" s="376" t="s">
        <v>206</v>
      </c>
      <c r="K313" s="377" t="s">
        <v>206</v>
      </c>
    </row>
    <row r="314" spans="1:11" ht="15.5">
      <c r="B314" s="380" t="s">
        <v>469</v>
      </c>
      <c r="C314" s="382">
        <v>0.2</v>
      </c>
      <c r="D314" s="383">
        <v>0.1</v>
      </c>
      <c r="E314" s="382">
        <v>0.1</v>
      </c>
      <c r="F314" s="382">
        <v>0.2</v>
      </c>
      <c r="G314" s="383">
        <v>0.1</v>
      </c>
      <c r="H314" s="382">
        <v>0.1</v>
      </c>
      <c r="I314" s="376" t="s">
        <v>206</v>
      </c>
      <c r="J314" s="376" t="s">
        <v>206</v>
      </c>
      <c r="K314" s="377" t="s">
        <v>206</v>
      </c>
    </row>
    <row r="315" spans="1:11" ht="15.5">
      <c r="B315" s="380"/>
      <c r="C315" s="392"/>
      <c r="D315" s="392"/>
      <c r="E315" s="392"/>
      <c r="F315" s="392"/>
      <c r="G315" s="392"/>
      <c r="H315" s="392"/>
      <c r="I315" s="392"/>
      <c r="J315" s="392"/>
      <c r="K315" s="393"/>
    </row>
    <row r="316" spans="1:11" ht="15">
      <c r="B316" s="372" t="s">
        <v>470</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937</v>
      </c>
      <c r="B318" s="372" t="s">
        <v>471</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303</v>
      </c>
      <c r="C319" s="373"/>
      <c r="D319" s="373"/>
      <c r="E319" s="373"/>
      <c r="F319" s="373"/>
      <c r="G319" s="373"/>
      <c r="H319" s="373"/>
      <c r="I319" s="373"/>
      <c r="J319" s="373"/>
      <c r="K319" s="379"/>
    </row>
    <row r="320" spans="1:11" ht="15">
      <c r="B320" s="372" t="s">
        <v>472</v>
      </c>
      <c r="C320" s="381">
        <v>98.3</v>
      </c>
      <c r="D320" s="381">
        <v>48.8</v>
      </c>
      <c r="E320" s="381">
        <v>49.5</v>
      </c>
      <c r="F320" s="381">
        <v>15</v>
      </c>
      <c r="G320" s="381">
        <v>7</v>
      </c>
      <c r="H320" s="381">
        <v>8</v>
      </c>
      <c r="I320" s="381">
        <v>83.3</v>
      </c>
      <c r="J320" s="381">
        <v>41.8</v>
      </c>
      <c r="K320" s="388">
        <v>41.5</v>
      </c>
    </row>
    <row r="321" spans="2:11" ht="15.5">
      <c r="B321" s="380" t="s">
        <v>473</v>
      </c>
      <c r="C321" s="382">
        <v>14</v>
      </c>
      <c r="D321" s="383">
        <v>6.5</v>
      </c>
      <c r="E321" s="382">
        <v>7.5</v>
      </c>
      <c r="F321" s="382">
        <v>14</v>
      </c>
      <c r="G321" s="383">
        <v>6.5</v>
      </c>
      <c r="H321" s="382">
        <v>7.5</v>
      </c>
      <c r="I321" s="376" t="s">
        <v>206</v>
      </c>
      <c r="J321" s="376" t="s">
        <v>206</v>
      </c>
      <c r="K321" s="377" t="s">
        <v>206</v>
      </c>
    </row>
    <row r="322" spans="2:11" ht="15.5">
      <c r="B322" s="380" t="s">
        <v>474</v>
      </c>
      <c r="C322" s="382">
        <v>1</v>
      </c>
      <c r="D322" s="383">
        <v>0.5</v>
      </c>
      <c r="E322" s="382">
        <v>0.5</v>
      </c>
      <c r="F322" s="382">
        <v>1</v>
      </c>
      <c r="G322" s="383">
        <v>0.5</v>
      </c>
      <c r="H322" s="382">
        <v>0.5</v>
      </c>
      <c r="I322" s="376" t="s">
        <v>206</v>
      </c>
      <c r="J322" s="376" t="s">
        <v>206</v>
      </c>
      <c r="K322" s="377" t="s">
        <v>206</v>
      </c>
    </row>
    <row r="323" spans="2:11" ht="15.5">
      <c r="B323" s="380"/>
      <c r="C323" s="392"/>
      <c r="D323" s="392"/>
      <c r="E323" s="392"/>
      <c r="F323" s="392"/>
      <c r="G323" s="392"/>
      <c r="H323" s="392"/>
      <c r="I323" s="392"/>
      <c r="J323" s="392"/>
      <c r="K323" s="393"/>
    </row>
    <row r="324" spans="2:11" ht="15">
      <c r="B324" s="372" t="s">
        <v>475</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476</v>
      </c>
      <c r="C325" s="382">
        <v>21.7</v>
      </c>
      <c r="D325" s="383">
        <v>10.4</v>
      </c>
      <c r="E325" s="382">
        <v>11.299999999999999</v>
      </c>
      <c r="F325" s="382">
        <v>21.7</v>
      </c>
      <c r="G325" s="383">
        <v>10.4</v>
      </c>
      <c r="H325" s="382">
        <v>11.299999999999999</v>
      </c>
      <c r="I325" s="376" t="s">
        <v>206</v>
      </c>
      <c r="J325" s="376" t="s">
        <v>206</v>
      </c>
      <c r="K325" s="377" t="s">
        <v>206</v>
      </c>
    </row>
    <row r="326" spans="2:11" ht="15.5">
      <c r="B326" s="380" t="s">
        <v>477</v>
      </c>
      <c r="C326" s="382">
        <v>11.1</v>
      </c>
      <c r="D326" s="383">
        <v>5.5</v>
      </c>
      <c r="E326" s="382">
        <v>5.6</v>
      </c>
      <c r="F326" s="382">
        <v>11.1</v>
      </c>
      <c r="G326" s="383">
        <v>5.5</v>
      </c>
      <c r="H326" s="382">
        <v>5.6</v>
      </c>
      <c r="I326" s="376" t="s">
        <v>206</v>
      </c>
      <c r="J326" s="376" t="s">
        <v>206</v>
      </c>
      <c r="K326" s="377" t="s">
        <v>206</v>
      </c>
    </row>
    <row r="327" spans="2:11" ht="15.5">
      <c r="B327" s="380"/>
      <c r="C327" s="392"/>
      <c r="D327" s="392"/>
      <c r="E327" s="392"/>
      <c r="F327" s="392"/>
      <c r="G327" s="392"/>
      <c r="H327" s="392"/>
      <c r="I327" s="392"/>
      <c r="J327" s="392"/>
      <c r="K327" s="393"/>
    </row>
    <row r="328" spans="2:11" ht="15">
      <c r="B328" s="372" t="s">
        <v>478</v>
      </c>
      <c r="C328" s="381">
        <v>56.9</v>
      </c>
      <c r="D328" s="381">
        <v>27.7</v>
      </c>
      <c r="E328" s="381">
        <v>29.2</v>
      </c>
      <c r="F328" s="381">
        <v>14.4</v>
      </c>
      <c r="G328" s="381">
        <v>6.8</v>
      </c>
      <c r="H328" s="381">
        <v>7.6000000000000005</v>
      </c>
      <c r="I328" s="381">
        <v>42.5</v>
      </c>
      <c r="J328" s="381">
        <v>20.9</v>
      </c>
      <c r="K328" s="388">
        <v>21.6</v>
      </c>
    </row>
    <row r="329" spans="2:11" ht="15.5">
      <c r="B329" s="380" t="s">
        <v>479</v>
      </c>
      <c r="C329" s="382">
        <v>14.4</v>
      </c>
      <c r="D329" s="383">
        <v>6.8</v>
      </c>
      <c r="E329" s="382">
        <v>7.6000000000000005</v>
      </c>
      <c r="F329" s="382">
        <v>14.4</v>
      </c>
      <c r="G329" s="383">
        <v>6.8</v>
      </c>
      <c r="H329" s="382">
        <v>7.6000000000000005</v>
      </c>
      <c r="I329" s="376" t="s">
        <v>206</v>
      </c>
      <c r="J329" s="376" t="s">
        <v>206</v>
      </c>
      <c r="K329" s="377" t="s">
        <v>206</v>
      </c>
    </row>
    <row r="330" spans="2:11" ht="15.5">
      <c r="B330" s="380"/>
      <c r="C330" s="392"/>
      <c r="D330" s="392"/>
      <c r="E330" s="392"/>
      <c r="F330" s="392"/>
      <c r="G330" s="392"/>
      <c r="H330" s="392"/>
      <c r="I330" s="392"/>
      <c r="J330" s="392"/>
      <c r="K330" s="408" t="s">
        <v>206</v>
      </c>
    </row>
    <row r="331" spans="2:11" ht="15">
      <c r="B331" s="372" t="s">
        <v>480</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480</v>
      </c>
      <c r="C332" s="382">
        <v>65.3</v>
      </c>
      <c r="D332" s="383">
        <v>31.8</v>
      </c>
      <c r="E332" s="382">
        <v>33.5</v>
      </c>
      <c r="F332" s="382">
        <v>65.3</v>
      </c>
      <c r="G332" s="383">
        <v>31.8</v>
      </c>
      <c r="H332" s="382">
        <v>33.5</v>
      </c>
      <c r="I332" s="376" t="s">
        <v>206</v>
      </c>
      <c r="J332" s="376" t="s">
        <v>206</v>
      </c>
      <c r="K332" s="377" t="s">
        <v>206</v>
      </c>
    </row>
    <row r="333" spans="2:11" ht="15.5">
      <c r="B333" s="380" t="s">
        <v>481</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5">
      <c r="B334" s="380" t="s">
        <v>482</v>
      </c>
      <c r="C334" s="382">
        <v>0.3</v>
      </c>
      <c r="D334" s="383">
        <v>0.2</v>
      </c>
      <c r="E334" s="382">
        <v>9.9999999999999978E-2</v>
      </c>
      <c r="F334" s="382">
        <v>0.3</v>
      </c>
      <c r="G334" s="383">
        <v>0.2</v>
      </c>
      <c r="H334" s="382">
        <v>9.9999999999999978E-2</v>
      </c>
      <c r="I334" s="376" t="s">
        <v>206</v>
      </c>
      <c r="J334" s="376" t="s">
        <v>206</v>
      </c>
      <c r="K334" s="377" t="s">
        <v>206</v>
      </c>
    </row>
    <row r="335" spans="2:11" ht="15.5">
      <c r="B335" s="380"/>
      <c r="C335" s="385"/>
      <c r="D335" s="385"/>
      <c r="E335" s="385"/>
      <c r="F335" s="385"/>
      <c r="G335" s="385"/>
      <c r="H335" s="385"/>
      <c r="I335" s="385"/>
      <c r="J335" s="385"/>
      <c r="K335" s="394"/>
    </row>
    <row r="336" spans="2:11" ht="15">
      <c r="B336" s="372" t="s">
        <v>483</v>
      </c>
      <c r="C336" s="381">
        <v>44.3</v>
      </c>
      <c r="D336" s="381">
        <v>22.4</v>
      </c>
      <c r="E336" s="381">
        <v>21.9</v>
      </c>
      <c r="F336" s="381">
        <v>7.4</v>
      </c>
      <c r="G336" s="381">
        <v>3.7</v>
      </c>
      <c r="H336" s="381">
        <v>3.7</v>
      </c>
      <c r="I336" s="381">
        <v>36.9</v>
      </c>
      <c r="J336" s="381">
        <v>18.7</v>
      </c>
      <c r="K336" s="388">
        <v>18.2</v>
      </c>
    </row>
    <row r="337" spans="1:11" ht="15.5">
      <c r="B337" s="380" t="s">
        <v>484</v>
      </c>
      <c r="C337" s="382">
        <v>7.4</v>
      </c>
      <c r="D337" s="383">
        <v>3.7</v>
      </c>
      <c r="E337" s="382">
        <v>3.7</v>
      </c>
      <c r="F337" s="382">
        <v>7.4</v>
      </c>
      <c r="G337" s="383">
        <v>3.7</v>
      </c>
      <c r="H337" s="382">
        <v>3.7</v>
      </c>
      <c r="I337" s="376" t="s">
        <v>206</v>
      </c>
      <c r="J337" s="376" t="s">
        <v>206</v>
      </c>
      <c r="K337" s="377" t="s">
        <v>206</v>
      </c>
    </row>
    <row r="338" spans="1:11" ht="15.5">
      <c r="B338" s="380"/>
      <c r="C338" s="409"/>
      <c r="D338" s="409"/>
      <c r="E338" s="409"/>
      <c r="F338" s="409"/>
      <c r="G338" s="409"/>
      <c r="H338" s="409"/>
      <c r="I338" s="409"/>
      <c r="J338" s="409"/>
      <c r="K338" s="410"/>
    </row>
    <row r="339" spans="1:11" ht="15">
      <c r="B339" s="372" t="s">
        <v>485</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486</v>
      </c>
      <c r="C340" s="382">
        <v>14</v>
      </c>
      <c r="D340" s="383">
        <v>6.9</v>
      </c>
      <c r="E340" s="382">
        <v>7.1</v>
      </c>
      <c r="F340" s="382">
        <v>14</v>
      </c>
      <c r="G340" s="383">
        <v>6.9</v>
      </c>
      <c r="H340" s="382">
        <v>7.1</v>
      </c>
      <c r="I340" s="376" t="s">
        <v>206</v>
      </c>
      <c r="J340" s="376" t="s">
        <v>206</v>
      </c>
      <c r="K340" s="377" t="s">
        <v>206</v>
      </c>
    </row>
    <row r="341" spans="1:11" ht="15.5">
      <c r="B341" s="380" t="s">
        <v>487</v>
      </c>
      <c r="C341" s="382">
        <v>5.8</v>
      </c>
      <c r="D341" s="383">
        <v>3.1</v>
      </c>
      <c r="E341" s="382">
        <v>2.6999999999999997</v>
      </c>
      <c r="F341" s="382">
        <v>5.8</v>
      </c>
      <c r="G341" s="383">
        <v>3.1</v>
      </c>
      <c r="H341" s="382">
        <v>2.6999999999999997</v>
      </c>
      <c r="I341" s="376" t="s">
        <v>206</v>
      </c>
      <c r="J341" s="376" t="s">
        <v>206</v>
      </c>
      <c r="K341" s="377" t="s">
        <v>206</v>
      </c>
    </row>
    <row r="342" spans="1:11" ht="15.5">
      <c r="B342" s="380" t="s">
        <v>488</v>
      </c>
      <c r="C342" s="382">
        <v>6.2</v>
      </c>
      <c r="D342" s="383">
        <v>3.1</v>
      </c>
      <c r="E342" s="382">
        <v>3.1</v>
      </c>
      <c r="F342" s="382">
        <v>6.2</v>
      </c>
      <c r="G342" s="383">
        <v>3.1</v>
      </c>
      <c r="H342" s="382">
        <v>3.1</v>
      </c>
      <c r="I342" s="376" t="s">
        <v>206</v>
      </c>
      <c r="J342" s="376" t="s">
        <v>206</v>
      </c>
      <c r="K342" s="377" t="s">
        <v>206</v>
      </c>
    </row>
    <row r="343" spans="1:11" ht="15.5">
      <c r="B343" s="380" t="s">
        <v>489</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5">
      <c r="B344" s="380"/>
      <c r="C344" s="385"/>
      <c r="D344" s="385"/>
      <c r="E344" s="385"/>
      <c r="F344" s="385"/>
      <c r="G344" s="385"/>
      <c r="H344" s="385"/>
      <c r="I344" s="385"/>
      <c r="J344" s="385"/>
      <c r="K344" s="394"/>
    </row>
    <row r="345" spans="1:11" ht="15">
      <c r="A345" t="s">
        <v>937</v>
      </c>
      <c r="B345" s="372" t="s">
        <v>490</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303</v>
      </c>
      <c r="C346" s="382"/>
      <c r="D346" s="382"/>
      <c r="E346" s="382"/>
      <c r="F346" s="382"/>
      <c r="G346" s="382"/>
      <c r="H346" s="382"/>
      <c r="I346" s="382"/>
      <c r="J346" s="382"/>
      <c r="K346" s="389"/>
    </row>
    <row r="347" spans="1:11" ht="15">
      <c r="B347" s="372" t="s">
        <v>491</v>
      </c>
      <c r="C347" s="381">
        <v>108.6</v>
      </c>
      <c r="D347" s="381">
        <v>54.6</v>
      </c>
      <c r="E347" s="381">
        <v>53.999999999999993</v>
      </c>
      <c r="F347" s="381">
        <v>33.6</v>
      </c>
      <c r="G347" s="381">
        <v>16.600000000000001</v>
      </c>
      <c r="H347" s="381">
        <v>17</v>
      </c>
      <c r="I347" s="381">
        <v>75</v>
      </c>
      <c r="J347" s="381">
        <v>38</v>
      </c>
      <c r="K347" s="388">
        <v>37</v>
      </c>
    </row>
    <row r="348" spans="1:11" ht="15.5">
      <c r="B348" s="380" t="s">
        <v>492</v>
      </c>
      <c r="C348" s="382">
        <v>17.5</v>
      </c>
      <c r="D348" s="383">
        <v>8.6</v>
      </c>
      <c r="E348" s="382">
        <v>8.9</v>
      </c>
      <c r="F348" s="382">
        <v>17.5</v>
      </c>
      <c r="G348" s="383">
        <v>8.6</v>
      </c>
      <c r="H348" s="382">
        <v>8.9</v>
      </c>
      <c r="I348" s="376" t="s">
        <v>206</v>
      </c>
      <c r="J348" s="376" t="s">
        <v>206</v>
      </c>
      <c r="K348" s="377" t="s">
        <v>206</v>
      </c>
    </row>
    <row r="349" spans="1:11" ht="15.5">
      <c r="B349" s="380" t="s">
        <v>493</v>
      </c>
      <c r="C349" s="382">
        <v>6.4</v>
      </c>
      <c r="D349" s="383">
        <v>3.1</v>
      </c>
      <c r="E349" s="382">
        <v>3.3000000000000003</v>
      </c>
      <c r="F349" s="382">
        <v>6.4</v>
      </c>
      <c r="G349" s="383">
        <v>3.1</v>
      </c>
      <c r="H349" s="382">
        <v>3.3000000000000003</v>
      </c>
      <c r="I349" s="376" t="s">
        <v>206</v>
      </c>
      <c r="J349" s="376" t="s">
        <v>206</v>
      </c>
      <c r="K349" s="377" t="s">
        <v>206</v>
      </c>
    </row>
    <row r="350" spans="1:11" ht="15.5">
      <c r="B350" s="380" t="s">
        <v>494</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5">
      <c r="B351" s="380"/>
      <c r="C351" s="404"/>
      <c r="D351" s="404"/>
      <c r="E351" s="404"/>
      <c r="F351" s="404"/>
      <c r="G351" s="404"/>
      <c r="H351" s="404"/>
      <c r="I351" s="404"/>
      <c r="J351" s="404"/>
      <c r="K351" s="405"/>
    </row>
    <row r="352" spans="1:11" ht="15">
      <c r="B352" s="372" t="s">
        <v>495</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495</v>
      </c>
      <c r="C353" s="382">
        <v>52.6</v>
      </c>
      <c r="D353" s="383">
        <v>25.7</v>
      </c>
      <c r="E353" s="382">
        <v>26.900000000000002</v>
      </c>
      <c r="F353" s="382">
        <v>52.6</v>
      </c>
      <c r="G353" s="383">
        <v>25.7</v>
      </c>
      <c r="H353" s="382">
        <v>26.900000000000002</v>
      </c>
      <c r="I353" s="376" t="s">
        <v>206</v>
      </c>
      <c r="J353" s="376" t="s">
        <v>206</v>
      </c>
      <c r="K353" s="377" t="s">
        <v>206</v>
      </c>
    </row>
    <row r="354" spans="2:11" ht="15.5">
      <c r="B354" s="380" t="s">
        <v>496</v>
      </c>
      <c r="C354" s="382">
        <v>11.5</v>
      </c>
      <c r="D354" s="383">
        <v>5.7</v>
      </c>
      <c r="E354" s="382">
        <v>5.8</v>
      </c>
      <c r="F354" s="382">
        <v>11.5</v>
      </c>
      <c r="G354" s="383">
        <v>5.7</v>
      </c>
      <c r="H354" s="382">
        <v>5.8</v>
      </c>
      <c r="I354" s="376" t="s">
        <v>206</v>
      </c>
      <c r="J354" s="376" t="s">
        <v>206</v>
      </c>
      <c r="K354" s="377" t="s">
        <v>206</v>
      </c>
    </row>
    <row r="355" spans="2:11" ht="15.5">
      <c r="B355" s="380" t="s">
        <v>497</v>
      </c>
      <c r="C355" s="382">
        <v>1.9</v>
      </c>
      <c r="D355" s="383">
        <v>0.9</v>
      </c>
      <c r="E355" s="382">
        <v>0.99999999999999989</v>
      </c>
      <c r="F355" s="382">
        <v>1.9</v>
      </c>
      <c r="G355" s="383">
        <v>0.9</v>
      </c>
      <c r="H355" s="382">
        <v>0.99999999999999989</v>
      </c>
      <c r="I355" s="376" t="s">
        <v>206</v>
      </c>
      <c r="J355" s="376" t="s">
        <v>206</v>
      </c>
      <c r="K355" s="377" t="s">
        <v>206</v>
      </c>
    </row>
    <row r="356" spans="2:11" ht="15.5">
      <c r="B356" s="380" t="s">
        <v>498</v>
      </c>
      <c r="C356" s="382">
        <v>3.2</v>
      </c>
      <c r="D356" s="383">
        <v>1.6</v>
      </c>
      <c r="E356" s="382">
        <v>1.6</v>
      </c>
      <c r="F356" s="382">
        <v>3.2</v>
      </c>
      <c r="G356" s="383">
        <v>1.6</v>
      </c>
      <c r="H356" s="382">
        <v>1.6</v>
      </c>
      <c r="I356" s="376" t="s">
        <v>206</v>
      </c>
      <c r="J356" s="376" t="s">
        <v>206</v>
      </c>
      <c r="K356" s="377" t="s">
        <v>206</v>
      </c>
    </row>
    <row r="357" spans="2:11" ht="15.5">
      <c r="B357" s="380" t="s">
        <v>499</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5">
      <c r="B358" s="380" t="s">
        <v>500</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5">
      <c r="B359" s="380" t="s">
        <v>501</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5">
      <c r="B360" s="380" t="s">
        <v>502</v>
      </c>
      <c r="C360" s="382">
        <v>2.5</v>
      </c>
      <c r="D360" s="383">
        <v>1.3</v>
      </c>
      <c r="E360" s="382">
        <v>1.2</v>
      </c>
      <c r="F360" s="382">
        <v>2.5</v>
      </c>
      <c r="G360" s="383">
        <v>1.3</v>
      </c>
      <c r="H360" s="382">
        <v>1.2</v>
      </c>
      <c r="I360" s="376" t="s">
        <v>206</v>
      </c>
      <c r="J360" s="376" t="s">
        <v>206</v>
      </c>
      <c r="K360" s="377" t="s">
        <v>206</v>
      </c>
    </row>
    <row r="361" spans="2:11" ht="15.5">
      <c r="B361" s="380" t="s">
        <v>503</v>
      </c>
      <c r="C361" s="382">
        <v>1.3</v>
      </c>
      <c r="D361" s="383">
        <v>0.7</v>
      </c>
      <c r="E361" s="382">
        <v>0.60000000000000009</v>
      </c>
      <c r="F361" s="382">
        <v>1.3</v>
      </c>
      <c r="G361" s="383">
        <v>0.7</v>
      </c>
      <c r="H361" s="382">
        <v>0.60000000000000009</v>
      </c>
      <c r="I361" s="376" t="s">
        <v>206</v>
      </c>
      <c r="J361" s="376" t="s">
        <v>206</v>
      </c>
      <c r="K361" s="377" t="s">
        <v>206</v>
      </c>
    </row>
    <row r="362" spans="2:11" ht="15.5">
      <c r="B362" s="380" t="s">
        <v>504</v>
      </c>
      <c r="C362" s="382">
        <v>3.7</v>
      </c>
      <c r="D362" s="383">
        <v>1.8</v>
      </c>
      <c r="E362" s="382">
        <v>1.9000000000000001</v>
      </c>
      <c r="F362" s="382">
        <v>3.7</v>
      </c>
      <c r="G362" s="383">
        <v>1.8</v>
      </c>
      <c r="H362" s="382">
        <v>1.9000000000000001</v>
      </c>
      <c r="I362" s="376" t="s">
        <v>206</v>
      </c>
      <c r="J362" s="376" t="s">
        <v>206</v>
      </c>
      <c r="K362" s="377" t="s">
        <v>206</v>
      </c>
    </row>
    <row r="363" spans="2:11" ht="15.5">
      <c r="B363" s="380"/>
      <c r="C363" s="404"/>
      <c r="D363" s="404"/>
      <c r="E363" s="404"/>
      <c r="F363" s="404"/>
      <c r="G363" s="404"/>
      <c r="H363" s="404"/>
      <c r="I363" s="404"/>
      <c r="J363" s="404"/>
      <c r="K363" s="405"/>
    </row>
    <row r="364" spans="2:11" ht="15">
      <c r="B364" s="372" t="s">
        <v>505</v>
      </c>
      <c r="C364" s="381">
        <v>84.7</v>
      </c>
      <c r="D364" s="381">
        <v>42.9</v>
      </c>
      <c r="E364" s="381">
        <v>41.800000000000004</v>
      </c>
      <c r="F364" s="381">
        <v>8.5</v>
      </c>
      <c r="G364" s="381">
        <v>4.3</v>
      </c>
      <c r="H364" s="381">
        <v>4.2</v>
      </c>
      <c r="I364" s="381">
        <v>76.2</v>
      </c>
      <c r="J364" s="381">
        <v>38.6</v>
      </c>
      <c r="K364" s="388">
        <v>37.6</v>
      </c>
    </row>
    <row r="365" spans="2:11" ht="15.5">
      <c r="B365" s="380" t="s">
        <v>506</v>
      </c>
      <c r="C365" s="382">
        <v>8.5</v>
      </c>
      <c r="D365" s="383">
        <v>4.3</v>
      </c>
      <c r="E365" s="382">
        <v>4.2</v>
      </c>
      <c r="F365" s="382">
        <v>8.5</v>
      </c>
      <c r="G365" s="383">
        <v>4.3</v>
      </c>
      <c r="H365" s="382">
        <v>4.2</v>
      </c>
      <c r="I365" s="376" t="s">
        <v>206</v>
      </c>
      <c r="J365" s="376" t="s">
        <v>206</v>
      </c>
      <c r="K365" s="377" t="s">
        <v>206</v>
      </c>
    </row>
    <row r="366" spans="2:11" ht="15.5">
      <c r="B366" s="380"/>
      <c r="C366" s="392"/>
      <c r="D366" s="392"/>
      <c r="E366" s="392"/>
      <c r="F366" s="392"/>
      <c r="G366" s="392"/>
      <c r="H366" s="392"/>
      <c r="I366" s="392"/>
      <c r="J366" s="392"/>
      <c r="K366" s="393"/>
    </row>
    <row r="367" spans="2:11" ht="15">
      <c r="B367" s="372" t="s">
        <v>507</v>
      </c>
      <c r="C367" s="381">
        <v>67</v>
      </c>
      <c r="D367" s="381">
        <v>34.299999999999997</v>
      </c>
      <c r="E367" s="381">
        <v>32.700000000000003</v>
      </c>
      <c r="F367" s="381">
        <v>7.5</v>
      </c>
      <c r="G367" s="381">
        <v>3.9</v>
      </c>
      <c r="H367" s="381">
        <v>3.6</v>
      </c>
      <c r="I367" s="381">
        <v>59.5</v>
      </c>
      <c r="J367" s="381">
        <v>30.4</v>
      </c>
      <c r="K367" s="388">
        <v>29.1</v>
      </c>
    </row>
    <row r="368" spans="2:11" ht="15.5">
      <c r="B368" s="380" t="s">
        <v>508</v>
      </c>
      <c r="C368" s="382">
        <v>7.5</v>
      </c>
      <c r="D368" s="383">
        <v>3.9</v>
      </c>
      <c r="E368" s="382">
        <v>3.6</v>
      </c>
      <c r="F368" s="382">
        <v>7.5</v>
      </c>
      <c r="G368" s="383">
        <v>3.9</v>
      </c>
      <c r="H368" s="382">
        <v>3.6</v>
      </c>
      <c r="I368" s="376" t="s">
        <v>206</v>
      </c>
      <c r="J368" s="376" t="s">
        <v>206</v>
      </c>
      <c r="K368" s="377" t="s">
        <v>206</v>
      </c>
    </row>
    <row r="369" spans="1:11" ht="15.5">
      <c r="B369" s="380"/>
      <c r="C369" s="392"/>
      <c r="D369" s="392"/>
      <c r="E369" s="392"/>
      <c r="F369" s="392"/>
      <c r="G369" s="392"/>
      <c r="H369" s="392"/>
      <c r="I369" s="392"/>
      <c r="J369" s="392"/>
      <c r="K369" s="393"/>
    </row>
    <row r="370" spans="1:11" ht="15">
      <c r="B370" s="372" t="s">
        <v>509</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510</v>
      </c>
      <c r="C371" s="382">
        <v>26.3</v>
      </c>
      <c r="D371" s="383">
        <v>13.4</v>
      </c>
      <c r="E371" s="382">
        <v>12.9</v>
      </c>
      <c r="F371" s="382">
        <v>26.3</v>
      </c>
      <c r="G371" s="383">
        <v>13.4</v>
      </c>
      <c r="H371" s="382">
        <v>12.9</v>
      </c>
      <c r="I371" s="376" t="s">
        <v>206</v>
      </c>
      <c r="J371" s="376" t="s">
        <v>206</v>
      </c>
      <c r="K371" s="377" t="s">
        <v>206</v>
      </c>
    </row>
    <row r="372" spans="1:11" ht="15.5">
      <c r="B372" s="380" t="s">
        <v>511</v>
      </c>
      <c r="C372" s="382">
        <v>7</v>
      </c>
      <c r="D372" s="383">
        <v>3.6</v>
      </c>
      <c r="E372" s="382">
        <v>3.4</v>
      </c>
      <c r="F372" s="382">
        <v>7</v>
      </c>
      <c r="G372" s="383">
        <v>3.6</v>
      </c>
      <c r="H372" s="382">
        <v>3.4</v>
      </c>
      <c r="I372" s="376" t="s">
        <v>206</v>
      </c>
      <c r="J372" s="376" t="s">
        <v>206</v>
      </c>
      <c r="K372" s="377" t="s">
        <v>206</v>
      </c>
    </row>
    <row r="373" spans="1:11" ht="15.5">
      <c r="B373" s="380" t="s">
        <v>512</v>
      </c>
      <c r="C373" s="382">
        <v>17.8</v>
      </c>
      <c r="D373" s="383">
        <v>9.3000000000000007</v>
      </c>
      <c r="E373" s="382">
        <v>8.5</v>
      </c>
      <c r="F373" s="382">
        <v>17.8</v>
      </c>
      <c r="G373" s="383">
        <v>9.3000000000000007</v>
      </c>
      <c r="H373" s="382">
        <v>8.5</v>
      </c>
      <c r="I373" s="376" t="s">
        <v>206</v>
      </c>
      <c r="J373" s="376" t="s">
        <v>206</v>
      </c>
      <c r="K373" s="377" t="s">
        <v>206</v>
      </c>
    </row>
    <row r="374" spans="1:11" ht="15.5">
      <c r="B374" s="380"/>
      <c r="C374" s="385"/>
      <c r="D374" s="385"/>
      <c r="E374" s="385"/>
      <c r="F374" s="385"/>
      <c r="G374" s="385"/>
      <c r="H374" s="385"/>
      <c r="I374" s="385"/>
      <c r="J374" s="385"/>
      <c r="K374" s="394"/>
    </row>
    <row r="375" spans="1:11" ht="15">
      <c r="B375" s="372" t="s">
        <v>513</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514</v>
      </c>
      <c r="C376" s="382">
        <v>46.7</v>
      </c>
      <c r="D376" s="383">
        <v>23.4</v>
      </c>
      <c r="E376" s="382">
        <v>23.300000000000004</v>
      </c>
      <c r="F376" s="382">
        <v>46.7</v>
      </c>
      <c r="G376" s="383">
        <v>23.4</v>
      </c>
      <c r="H376" s="382">
        <v>23.300000000000004</v>
      </c>
      <c r="I376" s="376" t="s">
        <v>206</v>
      </c>
      <c r="J376" s="376" t="s">
        <v>206</v>
      </c>
      <c r="K376" s="377" t="s">
        <v>206</v>
      </c>
    </row>
    <row r="377" spans="1:11" ht="15.5">
      <c r="B377" s="380" t="s">
        <v>515</v>
      </c>
      <c r="C377" s="382">
        <v>15.3</v>
      </c>
      <c r="D377" s="383">
        <v>7.7</v>
      </c>
      <c r="E377" s="382">
        <v>7.6000000000000005</v>
      </c>
      <c r="F377" s="382">
        <v>15.3</v>
      </c>
      <c r="G377" s="383">
        <v>7.7</v>
      </c>
      <c r="H377" s="382">
        <v>7.6000000000000005</v>
      </c>
      <c r="I377" s="376" t="s">
        <v>206</v>
      </c>
      <c r="J377" s="376" t="s">
        <v>206</v>
      </c>
      <c r="K377" s="377" t="s">
        <v>206</v>
      </c>
    </row>
    <row r="378" spans="1:11" ht="15.5">
      <c r="B378" s="380" t="s">
        <v>516</v>
      </c>
      <c r="C378" s="382" t="s">
        <v>206</v>
      </c>
      <c r="D378" s="382" t="s">
        <v>206</v>
      </c>
      <c r="E378" s="382" t="s">
        <v>206</v>
      </c>
      <c r="F378" s="382" t="s">
        <v>206</v>
      </c>
      <c r="G378" s="382" t="s">
        <v>206</v>
      </c>
      <c r="H378" s="382" t="s">
        <v>206</v>
      </c>
      <c r="I378" s="376" t="s">
        <v>206</v>
      </c>
      <c r="J378" s="376" t="s">
        <v>206</v>
      </c>
      <c r="K378" s="377" t="s">
        <v>206</v>
      </c>
    </row>
    <row r="379" spans="1:11" ht="15.5">
      <c r="B379" s="380"/>
      <c r="C379" s="385"/>
      <c r="D379" s="385"/>
      <c r="E379" s="385"/>
      <c r="F379" s="385"/>
      <c r="G379" s="385"/>
      <c r="H379" s="385"/>
      <c r="I379" s="385"/>
      <c r="J379" s="385"/>
      <c r="K379" s="394"/>
    </row>
    <row r="380" spans="1:11" ht="15">
      <c r="A380" t="s">
        <v>937</v>
      </c>
      <c r="B380" s="372" t="s">
        <v>517</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303</v>
      </c>
      <c r="C381" s="406"/>
      <c r="D381" s="406"/>
      <c r="E381" s="406"/>
      <c r="F381" s="406"/>
      <c r="G381" s="406"/>
      <c r="H381" s="406"/>
      <c r="I381" s="406"/>
      <c r="J381" s="406"/>
      <c r="K381" s="407"/>
    </row>
    <row r="382" spans="1:11" ht="15">
      <c r="B382" s="372" t="s">
        <v>518</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519</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5">
      <c r="B384" s="380" t="s">
        <v>520</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5">
      <c r="B385" s="380"/>
      <c r="C385" s="404"/>
      <c r="D385" s="404"/>
      <c r="E385" s="404"/>
      <c r="F385" s="404"/>
      <c r="G385" s="404"/>
      <c r="H385" s="404"/>
      <c r="I385" s="404"/>
      <c r="J385" s="404"/>
      <c r="K385" s="405"/>
    </row>
    <row r="386" spans="2:11" ht="15">
      <c r="B386" s="372" t="s">
        <v>521</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522</v>
      </c>
      <c r="C387" s="382">
        <v>42.4</v>
      </c>
      <c r="D387" s="383">
        <v>20.8</v>
      </c>
      <c r="E387" s="382">
        <v>21.599999999999998</v>
      </c>
      <c r="F387" s="382">
        <v>42.4</v>
      </c>
      <c r="G387" s="383">
        <v>20.8</v>
      </c>
      <c r="H387" s="382">
        <v>21.599999999999998</v>
      </c>
      <c r="I387" s="376" t="s">
        <v>206</v>
      </c>
      <c r="J387" s="376" t="s">
        <v>206</v>
      </c>
      <c r="K387" s="377" t="s">
        <v>206</v>
      </c>
    </row>
    <row r="388" spans="2:11" ht="15.5">
      <c r="B388" s="380" t="s">
        <v>523</v>
      </c>
      <c r="C388" s="382">
        <v>16.8</v>
      </c>
      <c r="D388" s="383">
        <v>8.3000000000000007</v>
      </c>
      <c r="E388" s="382">
        <v>8.5</v>
      </c>
      <c r="F388" s="382">
        <v>16.8</v>
      </c>
      <c r="G388" s="383">
        <v>8.3000000000000007</v>
      </c>
      <c r="H388" s="382">
        <v>8.5</v>
      </c>
      <c r="I388" s="376" t="s">
        <v>206</v>
      </c>
      <c r="J388" s="376" t="s">
        <v>206</v>
      </c>
      <c r="K388" s="377" t="s">
        <v>206</v>
      </c>
    </row>
    <row r="389" spans="2:11" ht="15.5">
      <c r="B389" s="380" t="s">
        <v>524</v>
      </c>
      <c r="C389" s="382">
        <v>0.2</v>
      </c>
      <c r="D389" s="383">
        <v>0.1</v>
      </c>
      <c r="E389" s="382">
        <v>0.1</v>
      </c>
      <c r="F389" s="382">
        <v>0.2</v>
      </c>
      <c r="G389" s="383">
        <v>0.1</v>
      </c>
      <c r="H389" s="382">
        <v>0.1</v>
      </c>
      <c r="I389" s="376" t="s">
        <v>206</v>
      </c>
      <c r="J389" s="376" t="s">
        <v>206</v>
      </c>
      <c r="K389" s="377" t="s">
        <v>206</v>
      </c>
    </row>
    <row r="390" spans="2:11" ht="15.5">
      <c r="B390" s="380" t="s">
        <v>525</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5">
      <c r="B391" s="380" t="s">
        <v>526</v>
      </c>
      <c r="C391" s="382">
        <v>0.4</v>
      </c>
      <c r="D391" s="383">
        <v>0.2</v>
      </c>
      <c r="E391" s="382">
        <v>0.2</v>
      </c>
      <c r="F391" s="382">
        <v>0.4</v>
      </c>
      <c r="G391" s="383">
        <v>0.2</v>
      </c>
      <c r="H391" s="382">
        <v>0.2</v>
      </c>
      <c r="I391" s="376" t="s">
        <v>206</v>
      </c>
      <c r="J391" s="376" t="s">
        <v>206</v>
      </c>
      <c r="K391" s="377" t="s">
        <v>206</v>
      </c>
    </row>
    <row r="392" spans="2:11" ht="15.5">
      <c r="B392" s="380" t="s">
        <v>527</v>
      </c>
      <c r="C392" s="382">
        <v>0.4</v>
      </c>
      <c r="D392" s="383">
        <v>0.2</v>
      </c>
      <c r="E392" s="382">
        <v>0.2</v>
      </c>
      <c r="F392" s="382">
        <v>0.4</v>
      </c>
      <c r="G392" s="383">
        <v>0.2</v>
      </c>
      <c r="H392" s="382">
        <v>0.2</v>
      </c>
      <c r="I392" s="376" t="s">
        <v>206</v>
      </c>
      <c r="J392" s="376" t="s">
        <v>206</v>
      </c>
      <c r="K392" s="377" t="s">
        <v>206</v>
      </c>
    </row>
    <row r="393" spans="2:11" ht="15.5">
      <c r="B393" s="380" t="s">
        <v>528</v>
      </c>
      <c r="C393" s="382">
        <v>0.2</v>
      </c>
      <c r="D393" s="383">
        <v>0.1</v>
      </c>
      <c r="E393" s="382">
        <v>0.1</v>
      </c>
      <c r="F393" s="382">
        <v>0.2</v>
      </c>
      <c r="G393" s="383">
        <v>0.1</v>
      </c>
      <c r="H393" s="382">
        <v>0.1</v>
      </c>
      <c r="I393" s="376" t="s">
        <v>206</v>
      </c>
      <c r="J393" s="376" t="s">
        <v>206</v>
      </c>
      <c r="K393" s="377" t="s">
        <v>206</v>
      </c>
    </row>
    <row r="394" spans="2:11" ht="15.5">
      <c r="B394" s="380" t="s">
        <v>529</v>
      </c>
      <c r="C394" s="382">
        <v>0.1</v>
      </c>
      <c r="D394" s="383">
        <v>0.1</v>
      </c>
      <c r="E394" s="382">
        <v>0</v>
      </c>
      <c r="F394" s="382">
        <v>0.1</v>
      </c>
      <c r="G394" s="383">
        <v>0.1</v>
      </c>
      <c r="H394" s="382">
        <v>0</v>
      </c>
      <c r="I394" s="376" t="s">
        <v>206</v>
      </c>
      <c r="J394" s="376" t="s">
        <v>206</v>
      </c>
      <c r="K394" s="377" t="s">
        <v>206</v>
      </c>
    </row>
    <row r="395" spans="2:11" ht="15.5">
      <c r="B395" s="380" t="s">
        <v>530</v>
      </c>
      <c r="C395" s="382">
        <v>0.1</v>
      </c>
      <c r="D395" s="383">
        <v>0</v>
      </c>
      <c r="E395" s="382">
        <v>0.1</v>
      </c>
      <c r="F395" s="382">
        <v>0.1</v>
      </c>
      <c r="G395" s="383">
        <v>0</v>
      </c>
      <c r="H395" s="382">
        <v>0.1</v>
      </c>
      <c r="I395" s="376" t="s">
        <v>206</v>
      </c>
      <c r="J395" s="376" t="s">
        <v>206</v>
      </c>
      <c r="K395" s="377" t="s">
        <v>206</v>
      </c>
    </row>
    <row r="396" spans="2:11" ht="15.5">
      <c r="B396" s="380" t="s">
        <v>531</v>
      </c>
      <c r="C396" s="382">
        <v>0</v>
      </c>
      <c r="D396" s="383">
        <v>0</v>
      </c>
      <c r="E396" s="382">
        <v>0</v>
      </c>
      <c r="F396" s="382">
        <v>0</v>
      </c>
      <c r="G396" s="383">
        <v>0</v>
      </c>
      <c r="H396" s="382">
        <v>0</v>
      </c>
      <c r="I396" s="376" t="s">
        <v>206</v>
      </c>
      <c r="J396" s="376" t="s">
        <v>206</v>
      </c>
      <c r="K396" s="377" t="s">
        <v>206</v>
      </c>
    </row>
    <row r="397" spans="2:11" ht="15.5">
      <c r="B397" s="380" t="s">
        <v>532</v>
      </c>
      <c r="C397" s="382">
        <v>0</v>
      </c>
      <c r="D397" s="383">
        <v>0</v>
      </c>
      <c r="E397" s="382">
        <v>0</v>
      </c>
      <c r="F397" s="382">
        <v>0</v>
      </c>
      <c r="G397" s="383">
        <v>0</v>
      </c>
      <c r="H397" s="382">
        <v>0</v>
      </c>
      <c r="I397" s="376" t="s">
        <v>206</v>
      </c>
      <c r="J397" s="376" t="s">
        <v>206</v>
      </c>
      <c r="K397" s="377" t="s">
        <v>206</v>
      </c>
    </row>
    <row r="398" spans="2:11" ht="15.5">
      <c r="B398" s="380" t="s">
        <v>533</v>
      </c>
      <c r="C398" s="382">
        <v>0.1</v>
      </c>
      <c r="D398" s="383">
        <v>0.1</v>
      </c>
      <c r="E398" s="382">
        <v>0</v>
      </c>
      <c r="F398" s="382">
        <v>0.1</v>
      </c>
      <c r="G398" s="383">
        <v>0.1</v>
      </c>
      <c r="H398" s="382">
        <v>0</v>
      </c>
      <c r="I398" s="376" t="s">
        <v>206</v>
      </c>
      <c r="J398" s="376" t="s">
        <v>206</v>
      </c>
      <c r="K398" s="377" t="s">
        <v>206</v>
      </c>
    </row>
    <row r="399" spans="2:11" ht="15.5">
      <c r="B399" s="380" t="s">
        <v>534</v>
      </c>
      <c r="C399" s="382">
        <v>1.4</v>
      </c>
      <c r="D399" s="383">
        <v>0.7</v>
      </c>
      <c r="E399" s="382">
        <v>0.7</v>
      </c>
      <c r="F399" s="382">
        <v>1.4</v>
      </c>
      <c r="G399" s="383">
        <v>0.7</v>
      </c>
      <c r="H399" s="382">
        <v>0.7</v>
      </c>
      <c r="I399" s="376" t="s">
        <v>206</v>
      </c>
      <c r="J399" s="376" t="s">
        <v>206</v>
      </c>
      <c r="K399" s="377" t="s">
        <v>206</v>
      </c>
    </row>
    <row r="400" spans="2:11" ht="15.5">
      <c r="B400" s="380" t="s">
        <v>535</v>
      </c>
      <c r="C400" s="382">
        <v>3.9</v>
      </c>
      <c r="D400" s="383">
        <v>1.9</v>
      </c>
      <c r="E400" s="382">
        <v>2</v>
      </c>
      <c r="F400" s="382">
        <v>3.9</v>
      </c>
      <c r="G400" s="383">
        <v>1.9</v>
      </c>
      <c r="H400" s="382">
        <v>2</v>
      </c>
      <c r="I400" s="376" t="s">
        <v>206</v>
      </c>
      <c r="J400" s="376" t="s">
        <v>206</v>
      </c>
      <c r="K400" s="377" t="s">
        <v>206</v>
      </c>
    </row>
    <row r="401" spans="2:11" ht="15.5">
      <c r="B401" s="380"/>
      <c r="C401" s="404"/>
      <c r="D401" s="404"/>
      <c r="E401" s="404"/>
      <c r="F401" s="404"/>
      <c r="G401" s="404"/>
      <c r="H401" s="404"/>
      <c r="I401" s="404"/>
      <c r="J401" s="404"/>
      <c r="K401" s="405"/>
    </row>
    <row r="402" spans="2:11" ht="15">
      <c r="B402" s="372" t="s">
        <v>536</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537</v>
      </c>
      <c r="C403" s="382">
        <v>25</v>
      </c>
      <c r="D403" s="383">
        <v>12.4</v>
      </c>
      <c r="E403" s="382">
        <v>12.6</v>
      </c>
      <c r="F403" s="382">
        <v>25</v>
      </c>
      <c r="G403" s="383">
        <v>12.4</v>
      </c>
      <c r="H403" s="382">
        <v>12.6</v>
      </c>
      <c r="I403" s="376" t="s">
        <v>206</v>
      </c>
      <c r="J403" s="376" t="s">
        <v>206</v>
      </c>
      <c r="K403" s="377" t="s">
        <v>206</v>
      </c>
    </row>
    <row r="404" spans="2:11" ht="15.5">
      <c r="B404" s="380" t="s">
        <v>538</v>
      </c>
      <c r="C404" s="382">
        <v>1.8</v>
      </c>
      <c r="D404" s="383">
        <v>0.9</v>
      </c>
      <c r="E404" s="382">
        <v>0.9</v>
      </c>
      <c r="F404" s="382">
        <v>1.8</v>
      </c>
      <c r="G404" s="383">
        <v>0.9</v>
      </c>
      <c r="H404" s="382">
        <v>0.9</v>
      </c>
      <c r="I404" s="376" t="s">
        <v>206</v>
      </c>
      <c r="J404" s="376" t="s">
        <v>206</v>
      </c>
      <c r="K404" s="377" t="s">
        <v>206</v>
      </c>
    </row>
    <row r="405" spans="2:11" ht="15.5">
      <c r="B405" s="380" t="s">
        <v>539</v>
      </c>
      <c r="C405" s="382">
        <v>3.2</v>
      </c>
      <c r="D405" s="383">
        <v>1.7</v>
      </c>
      <c r="E405" s="382">
        <v>1.5000000000000002</v>
      </c>
      <c r="F405" s="382">
        <v>3.2</v>
      </c>
      <c r="G405" s="383">
        <v>1.7</v>
      </c>
      <c r="H405" s="382">
        <v>1.5000000000000002</v>
      </c>
      <c r="I405" s="376" t="s">
        <v>206</v>
      </c>
      <c r="J405" s="376" t="s">
        <v>206</v>
      </c>
      <c r="K405" s="377" t="s">
        <v>206</v>
      </c>
    </row>
    <row r="406" spans="2:11" ht="15.5">
      <c r="B406" s="380" t="s">
        <v>540</v>
      </c>
      <c r="C406" s="382">
        <v>0.5</v>
      </c>
      <c r="D406" s="383">
        <v>0.2</v>
      </c>
      <c r="E406" s="382">
        <v>0.3</v>
      </c>
      <c r="F406" s="382">
        <v>0.5</v>
      </c>
      <c r="G406" s="383">
        <v>0.2</v>
      </c>
      <c r="H406" s="382">
        <v>0.3</v>
      </c>
      <c r="I406" s="376" t="s">
        <v>206</v>
      </c>
      <c r="J406" s="376" t="s">
        <v>206</v>
      </c>
      <c r="K406" s="377" t="s">
        <v>206</v>
      </c>
    </row>
    <row r="407" spans="2:11" ht="15.5">
      <c r="B407" s="380" t="s">
        <v>541</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5">
      <c r="B408" s="380" t="s">
        <v>542</v>
      </c>
      <c r="C408" s="382">
        <v>1.9</v>
      </c>
      <c r="D408" s="383">
        <v>1</v>
      </c>
      <c r="E408" s="382">
        <v>0.89999999999999991</v>
      </c>
      <c r="F408" s="382">
        <v>1.9</v>
      </c>
      <c r="G408" s="383">
        <v>1</v>
      </c>
      <c r="H408" s="382">
        <v>0.89999999999999991</v>
      </c>
      <c r="I408" s="376" t="s">
        <v>206</v>
      </c>
      <c r="J408" s="376" t="s">
        <v>206</v>
      </c>
      <c r="K408" s="377" t="s">
        <v>206</v>
      </c>
    </row>
    <row r="409" spans="2:11" ht="15.5">
      <c r="B409" s="380" t="s">
        <v>543</v>
      </c>
      <c r="C409" s="382">
        <v>2</v>
      </c>
      <c r="D409" s="383">
        <v>1</v>
      </c>
      <c r="E409" s="382">
        <v>1</v>
      </c>
      <c r="F409" s="382">
        <v>2</v>
      </c>
      <c r="G409" s="383">
        <v>1</v>
      </c>
      <c r="H409" s="382">
        <v>1</v>
      </c>
      <c r="I409" s="376" t="s">
        <v>206</v>
      </c>
      <c r="J409" s="376" t="s">
        <v>206</v>
      </c>
      <c r="K409" s="377" t="s">
        <v>206</v>
      </c>
    </row>
    <row r="410" spans="2:11" ht="15.5">
      <c r="B410" s="380" t="s">
        <v>544</v>
      </c>
      <c r="C410" s="382">
        <v>1.7</v>
      </c>
      <c r="D410" s="383">
        <v>0.9</v>
      </c>
      <c r="E410" s="382">
        <v>0.79999999999999993</v>
      </c>
      <c r="F410" s="382">
        <v>1.7</v>
      </c>
      <c r="G410" s="383">
        <v>0.9</v>
      </c>
      <c r="H410" s="382">
        <v>0.79999999999999993</v>
      </c>
      <c r="I410" s="376" t="s">
        <v>206</v>
      </c>
      <c r="J410" s="376" t="s">
        <v>206</v>
      </c>
      <c r="K410" s="377" t="s">
        <v>206</v>
      </c>
    </row>
    <row r="411" spans="2:11" ht="15.5">
      <c r="B411" s="380"/>
      <c r="C411" s="404"/>
      <c r="D411" s="404"/>
      <c r="E411" s="404"/>
      <c r="F411" s="404"/>
      <c r="G411" s="404"/>
      <c r="H411" s="404"/>
      <c r="I411" s="404"/>
      <c r="J411" s="404"/>
      <c r="K411" s="405"/>
    </row>
    <row r="412" spans="2:11" ht="15">
      <c r="B412" s="372" t="s">
        <v>545</v>
      </c>
      <c r="C412" s="381">
        <v>59.3</v>
      </c>
      <c r="D412" s="381">
        <v>30.2</v>
      </c>
      <c r="E412" s="381">
        <v>29.099999999999998</v>
      </c>
      <c r="F412" s="381">
        <v>25.3</v>
      </c>
      <c r="G412" s="381">
        <v>13</v>
      </c>
      <c r="H412" s="381">
        <v>12.3</v>
      </c>
      <c r="I412" s="381">
        <v>34</v>
      </c>
      <c r="J412" s="381">
        <v>17.2</v>
      </c>
      <c r="K412" s="388">
        <v>16.8</v>
      </c>
    </row>
    <row r="413" spans="2:11" ht="15.5">
      <c r="B413" s="380" t="s">
        <v>546</v>
      </c>
      <c r="C413" s="382">
        <v>25.3</v>
      </c>
      <c r="D413" s="383">
        <v>13</v>
      </c>
      <c r="E413" s="382">
        <v>12.3</v>
      </c>
      <c r="F413" s="382">
        <v>25.3</v>
      </c>
      <c r="G413" s="383">
        <v>13</v>
      </c>
      <c r="H413" s="382">
        <v>12.3</v>
      </c>
      <c r="I413" s="376" t="s">
        <v>206</v>
      </c>
      <c r="J413" s="376" t="s">
        <v>206</v>
      </c>
      <c r="K413" s="377" t="s">
        <v>206</v>
      </c>
    </row>
    <row r="414" spans="2:11" ht="15.5">
      <c r="B414" s="380"/>
      <c r="C414" s="392"/>
      <c r="D414" s="392"/>
      <c r="E414" s="392"/>
      <c r="F414" s="392"/>
      <c r="G414" s="392"/>
      <c r="H414" s="392"/>
      <c r="I414" s="392"/>
      <c r="J414" s="392"/>
      <c r="K414" s="393"/>
    </row>
    <row r="415" spans="2:11" ht="15">
      <c r="B415" s="372" t="s">
        <v>547</v>
      </c>
      <c r="C415" s="381">
        <v>42.2</v>
      </c>
      <c r="D415" s="381">
        <v>21</v>
      </c>
      <c r="E415" s="381">
        <v>21.200000000000003</v>
      </c>
      <c r="F415" s="381">
        <v>27</v>
      </c>
      <c r="G415" s="381">
        <v>13.4</v>
      </c>
      <c r="H415" s="381">
        <v>13.6</v>
      </c>
      <c r="I415" s="381">
        <v>15.200000000000003</v>
      </c>
      <c r="J415" s="381">
        <v>7.6</v>
      </c>
      <c r="K415" s="388">
        <v>7.6000000000000032</v>
      </c>
    </row>
    <row r="416" spans="2:11" ht="15.5">
      <c r="B416" s="380" t="s">
        <v>548</v>
      </c>
      <c r="C416" s="382">
        <v>25.9</v>
      </c>
      <c r="D416" s="383">
        <v>12.8</v>
      </c>
      <c r="E416" s="382">
        <v>13.099999999999998</v>
      </c>
      <c r="F416" s="382">
        <v>25.9</v>
      </c>
      <c r="G416" s="383">
        <v>12.8</v>
      </c>
      <c r="H416" s="382">
        <v>13.099999999999998</v>
      </c>
      <c r="I416" s="376" t="s">
        <v>206</v>
      </c>
      <c r="J416" s="376" t="s">
        <v>206</v>
      </c>
      <c r="K416" s="377" t="s">
        <v>206</v>
      </c>
    </row>
    <row r="417" spans="1:11" ht="15.5">
      <c r="B417" s="380" t="s">
        <v>549</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5">
      <c r="B418" s="380"/>
      <c r="C418" s="385"/>
      <c r="D418" s="385"/>
      <c r="E418" s="385"/>
      <c r="F418" s="385"/>
      <c r="G418" s="385"/>
      <c r="H418" s="385"/>
      <c r="I418" s="385"/>
      <c r="J418" s="385"/>
      <c r="K418" s="394"/>
    </row>
    <row r="419" spans="1:11" ht="15">
      <c r="A419" t="s">
        <v>937</v>
      </c>
      <c r="B419" s="372" t="s">
        <v>550</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303</v>
      </c>
      <c r="C420" s="382"/>
      <c r="D420" s="382"/>
      <c r="E420" s="382"/>
      <c r="F420" s="382"/>
      <c r="G420" s="382"/>
      <c r="H420" s="382"/>
      <c r="I420" s="382"/>
      <c r="J420" s="382"/>
      <c r="K420" s="389"/>
    </row>
    <row r="421" spans="1:11" ht="15">
      <c r="B421" s="372" t="s">
        <v>551</v>
      </c>
      <c r="C421" s="381">
        <v>120.6</v>
      </c>
      <c r="D421" s="381">
        <v>60.4</v>
      </c>
      <c r="E421" s="381">
        <v>60.199999999999996</v>
      </c>
      <c r="F421" s="381">
        <v>37.1</v>
      </c>
      <c r="G421" s="381">
        <v>18.2</v>
      </c>
      <c r="H421" s="381">
        <v>18.900000000000002</v>
      </c>
      <c r="I421" s="381">
        <v>83.5</v>
      </c>
      <c r="J421" s="381">
        <v>42.2</v>
      </c>
      <c r="K421" s="388">
        <v>41.3</v>
      </c>
    </row>
    <row r="422" spans="1:11" ht="15.5">
      <c r="B422" s="380" t="s">
        <v>552</v>
      </c>
      <c r="C422" s="382">
        <v>37.1</v>
      </c>
      <c r="D422" s="383">
        <v>18.2</v>
      </c>
      <c r="E422" s="382">
        <v>18.900000000000002</v>
      </c>
      <c r="F422" s="382">
        <v>37.1</v>
      </c>
      <c r="G422" s="383">
        <v>18.2</v>
      </c>
      <c r="H422" s="382">
        <v>18.900000000000002</v>
      </c>
      <c r="I422" s="376" t="s">
        <v>206</v>
      </c>
      <c r="J422" s="376" t="s">
        <v>206</v>
      </c>
      <c r="K422" s="377" t="s">
        <v>206</v>
      </c>
    </row>
    <row r="423" spans="1:11" ht="15.5">
      <c r="B423" s="380"/>
      <c r="C423" s="392"/>
      <c r="D423" s="392"/>
      <c r="E423" s="392"/>
      <c r="F423" s="392"/>
      <c r="G423" s="392"/>
      <c r="H423" s="392"/>
      <c r="I423" s="392"/>
      <c r="J423" s="392"/>
      <c r="K423" s="393"/>
    </row>
    <row r="424" spans="1:11" ht="15">
      <c r="B424" s="372" t="s">
        <v>553</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554</v>
      </c>
      <c r="C425" s="382">
        <v>16.7</v>
      </c>
      <c r="D425" s="383">
        <v>8.5</v>
      </c>
      <c r="E425" s="382">
        <v>8.1999999999999993</v>
      </c>
      <c r="F425" s="382">
        <v>16.7</v>
      </c>
      <c r="G425" s="383">
        <v>8.5</v>
      </c>
      <c r="H425" s="382">
        <v>8.1999999999999993</v>
      </c>
      <c r="I425" s="376" t="s">
        <v>206</v>
      </c>
      <c r="J425" s="376" t="s">
        <v>206</v>
      </c>
      <c r="K425" s="377" t="s">
        <v>206</v>
      </c>
    </row>
    <row r="426" spans="1:11" ht="15.5">
      <c r="B426" s="380" t="s">
        <v>555</v>
      </c>
      <c r="C426" s="382">
        <v>2</v>
      </c>
      <c r="D426" s="383">
        <v>1</v>
      </c>
      <c r="E426" s="382">
        <v>1</v>
      </c>
      <c r="F426" s="382">
        <v>2</v>
      </c>
      <c r="G426" s="383">
        <v>1</v>
      </c>
      <c r="H426" s="382">
        <v>1</v>
      </c>
      <c r="I426" s="376" t="s">
        <v>206</v>
      </c>
      <c r="J426" s="376" t="s">
        <v>206</v>
      </c>
      <c r="K426" s="377" t="s">
        <v>206</v>
      </c>
    </row>
    <row r="427" spans="1:11" ht="15.5">
      <c r="B427" s="380" t="s">
        <v>556</v>
      </c>
      <c r="C427" s="382">
        <v>1.9</v>
      </c>
      <c r="D427" s="383">
        <v>1</v>
      </c>
      <c r="E427" s="382">
        <v>0.89999999999999991</v>
      </c>
      <c r="F427" s="382">
        <v>1.9</v>
      </c>
      <c r="G427" s="383">
        <v>1</v>
      </c>
      <c r="H427" s="382">
        <v>0.89999999999999991</v>
      </c>
      <c r="I427" s="376" t="s">
        <v>206</v>
      </c>
      <c r="J427" s="376" t="s">
        <v>206</v>
      </c>
      <c r="K427" s="377" t="s">
        <v>206</v>
      </c>
    </row>
    <row r="428" spans="1:11" ht="15.5">
      <c r="B428" s="380" t="s">
        <v>557</v>
      </c>
      <c r="C428" s="382">
        <v>0.8</v>
      </c>
      <c r="D428" s="383">
        <v>0.4</v>
      </c>
      <c r="E428" s="382">
        <v>0.4</v>
      </c>
      <c r="F428" s="382">
        <v>0.8</v>
      </c>
      <c r="G428" s="383">
        <v>0.4</v>
      </c>
      <c r="H428" s="382">
        <v>0.4</v>
      </c>
      <c r="I428" s="376" t="s">
        <v>206</v>
      </c>
      <c r="J428" s="376" t="s">
        <v>206</v>
      </c>
      <c r="K428" s="377" t="s">
        <v>206</v>
      </c>
    </row>
    <row r="429" spans="1:11" ht="15.5">
      <c r="B429" s="380" t="s">
        <v>558</v>
      </c>
      <c r="C429" s="382">
        <v>2.4</v>
      </c>
      <c r="D429" s="383">
        <v>1.2</v>
      </c>
      <c r="E429" s="382">
        <v>1.2</v>
      </c>
      <c r="F429" s="382">
        <v>2.4</v>
      </c>
      <c r="G429" s="383">
        <v>1.2</v>
      </c>
      <c r="H429" s="382">
        <v>1.2</v>
      </c>
      <c r="I429" s="376" t="s">
        <v>206</v>
      </c>
      <c r="J429" s="376" t="s">
        <v>206</v>
      </c>
      <c r="K429" s="377" t="s">
        <v>206</v>
      </c>
    </row>
    <row r="430" spans="1:11" ht="15.5">
      <c r="B430" s="380" t="s">
        <v>559</v>
      </c>
      <c r="C430" s="382">
        <v>2.1</v>
      </c>
      <c r="D430" s="383">
        <v>1</v>
      </c>
      <c r="E430" s="382">
        <v>1.1000000000000001</v>
      </c>
      <c r="F430" s="382">
        <v>2.1</v>
      </c>
      <c r="G430" s="383">
        <v>1</v>
      </c>
      <c r="H430" s="382">
        <v>1.1000000000000001</v>
      </c>
      <c r="I430" s="376" t="s">
        <v>206</v>
      </c>
      <c r="J430" s="376" t="s">
        <v>206</v>
      </c>
      <c r="K430" s="377" t="s">
        <v>206</v>
      </c>
    </row>
    <row r="431" spans="1:11" ht="15.5">
      <c r="B431" s="380" t="s">
        <v>560</v>
      </c>
      <c r="C431" s="382">
        <v>1</v>
      </c>
      <c r="D431" s="383">
        <v>0.5</v>
      </c>
      <c r="E431" s="382">
        <v>0.5</v>
      </c>
      <c r="F431" s="382">
        <v>1</v>
      </c>
      <c r="G431" s="383">
        <v>0.5</v>
      </c>
      <c r="H431" s="382">
        <v>0.5</v>
      </c>
      <c r="I431" s="376" t="s">
        <v>206</v>
      </c>
      <c r="J431" s="376" t="s">
        <v>206</v>
      </c>
      <c r="K431" s="377" t="s">
        <v>206</v>
      </c>
    </row>
    <row r="432" spans="1:11" ht="15.5">
      <c r="B432" s="380" t="s">
        <v>561</v>
      </c>
      <c r="C432" s="382">
        <v>0.9</v>
      </c>
      <c r="D432" s="383">
        <v>0.5</v>
      </c>
      <c r="E432" s="382">
        <v>0.4</v>
      </c>
      <c r="F432" s="382">
        <v>0.9</v>
      </c>
      <c r="G432" s="383">
        <v>0.5</v>
      </c>
      <c r="H432" s="382">
        <v>0.4</v>
      </c>
      <c r="I432" s="376" t="s">
        <v>206</v>
      </c>
      <c r="J432" s="376" t="s">
        <v>206</v>
      </c>
      <c r="K432" s="377" t="s">
        <v>206</v>
      </c>
    </row>
    <row r="433" spans="2:11" ht="15.5">
      <c r="B433" s="380" t="s">
        <v>562</v>
      </c>
      <c r="C433" s="382">
        <v>0.9</v>
      </c>
      <c r="D433" s="383">
        <v>0.5</v>
      </c>
      <c r="E433" s="382">
        <v>0.4</v>
      </c>
      <c r="F433" s="382">
        <v>0.9</v>
      </c>
      <c r="G433" s="383">
        <v>0.5</v>
      </c>
      <c r="H433" s="382">
        <v>0.4</v>
      </c>
      <c r="I433" s="376" t="s">
        <v>206</v>
      </c>
      <c r="J433" s="376" t="s">
        <v>206</v>
      </c>
      <c r="K433" s="377" t="s">
        <v>206</v>
      </c>
    </row>
    <row r="434" spans="2:11" ht="15.5">
      <c r="B434" s="380" t="s">
        <v>563</v>
      </c>
      <c r="C434" s="382">
        <v>0.2</v>
      </c>
      <c r="D434" s="383">
        <v>0.1</v>
      </c>
      <c r="E434" s="382">
        <v>0.1</v>
      </c>
      <c r="F434" s="382">
        <v>0.2</v>
      </c>
      <c r="G434" s="383">
        <v>0.1</v>
      </c>
      <c r="H434" s="382">
        <v>0.1</v>
      </c>
      <c r="I434" s="376" t="s">
        <v>206</v>
      </c>
      <c r="J434" s="376" t="s">
        <v>206</v>
      </c>
      <c r="K434" s="377" t="s">
        <v>206</v>
      </c>
    </row>
    <row r="435" spans="2:11" ht="15.5">
      <c r="B435" s="380" t="s">
        <v>564</v>
      </c>
      <c r="C435" s="382">
        <v>1.9</v>
      </c>
      <c r="D435" s="383">
        <v>1</v>
      </c>
      <c r="E435" s="382">
        <v>0.89999999999999991</v>
      </c>
      <c r="F435" s="382">
        <v>1.9</v>
      </c>
      <c r="G435" s="383">
        <v>1</v>
      </c>
      <c r="H435" s="382">
        <v>0.89999999999999991</v>
      </c>
      <c r="I435" s="376" t="s">
        <v>206</v>
      </c>
      <c r="J435" s="376" t="s">
        <v>206</v>
      </c>
      <c r="K435" s="377" t="s">
        <v>206</v>
      </c>
    </row>
    <row r="436" spans="2:11" ht="15.5">
      <c r="B436" s="380" t="s">
        <v>565</v>
      </c>
      <c r="C436" s="382">
        <v>0.7</v>
      </c>
      <c r="D436" s="383">
        <v>0.4</v>
      </c>
      <c r="E436" s="382">
        <v>0.29999999999999993</v>
      </c>
      <c r="F436" s="382">
        <v>0.7</v>
      </c>
      <c r="G436" s="383">
        <v>0.4</v>
      </c>
      <c r="H436" s="382">
        <v>0.29999999999999993</v>
      </c>
      <c r="I436" s="376" t="s">
        <v>206</v>
      </c>
      <c r="J436" s="376" t="s">
        <v>206</v>
      </c>
      <c r="K436" s="377" t="s">
        <v>206</v>
      </c>
    </row>
    <row r="437" spans="2:11" ht="15.5">
      <c r="B437" s="380" t="s">
        <v>566</v>
      </c>
      <c r="C437" s="382">
        <v>2.4</v>
      </c>
      <c r="D437" s="383">
        <v>1.3</v>
      </c>
      <c r="E437" s="382">
        <v>1.0999999999999999</v>
      </c>
      <c r="F437" s="382">
        <v>2.4</v>
      </c>
      <c r="G437" s="383">
        <v>1.3</v>
      </c>
      <c r="H437" s="382">
        <v>1.0999999999999999</v>
      </c>
      <c r="I437" s="376" t="s">
        <v>206</v>
      </c>
      <c r="J437" s="376" t="s">
        <v>206</v>
      </c>
      <c r="K437" s="377" t="s">
        <v>206</v>
      </c>
    </row>
    <row r="438" spans="2:11" ht="15.5">
      <c r="B438" s="380" t="s">
        <v>567</v>
      </c>
      <c r="C438" s="382">
        <v>1.8</v>
      </c>
      <c r="D438" s="383">
        <v>0.9</v>
      </c>
      <c r="E438" s="382">
        <v>0.9</v>
      </c>
      <c r="F438" s="382">
        <v>1.8</v>
      </c>
      <c r="G438" s="383">
        <v>0.9</v>
      </c>
      <c r="H438" s="382">
        <v>0.9</v>
      </c>
      <c r="I438" s="376" t="s">
        <v>206</v>
      </c>
      <c r="J438" s="376" t="s">
        <v>206</v>
      </c>
      <c r="K438" s="377" t="s">
        <v>206</v>
      </c>
    </row>
    <row r="439" spans="2:11" ht="15.5">
      <c r="B439" s="380" t="s">
        <v>568</v>
      </c>
      <c r="C439" s="382">
        <v>1.3</v>
      </c>
      <c r="D439" s="383">
        <v>0.6</v>
      </c>
      <c r="E439" s="382">
        <v>0.70000000000000007</v>
      </c>
      <c r="F439" s="382">
        <v>1.3</v>
      </c>
      <c r="G439" s="383">
        <v>0.6</v>
      </c>
      <c r="H439" s="382">
        <v>0.70000000000000007</v>
      </c>
      <c r="I439" s="376" t="s">
        <v>206</v>
      </c>
      <c r="J439" s="376" t="s">
        <v>206</v>
      </c>
      <c r="K439" s="377" t="s">
        <v>206</v>
      </c>
    </row>
    <row r="440" spans="2:11" ht="15.5">
      <c r="B440" s="380" t="s">
        <v>569</v>
      </c>
      <c r="C440" s="382">
        <v>1.3</v>
      </c>
      <c r="D440" s="383">
        <v>0.6</v>
      </c>
      <c r="E440" s="382">
        <v>0.70000000000000007</v>
      </c>
      <c r="F440" s="382">
        <v>1.3</v>
      </c>
      <c r="G440" s="383">
        <v>0.6</v>
      </c>
      <c r="H440" s="382">
        <v>0.70000000000000007</v>
      </c>
      <c r="I440" s="376" t="s">
        <v>206</v>
      </c>
      <c r="J440" s="376" t="s">
        <v>206</v>
      </c>
      <c r="K440" s="377" t="s">
        <v>206</v>
      </c>
    </row>
    <row r="441" spans="2:11" ht="15.5">
      <c r="B441" s="380" t="s">
        <v>570</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5">
      <c r="B442" s="380"/>
      <c r="C442" s="404"/>
      <c r="D442" s="404"/>
      <c r="E442" s="404"/>
      <c r="F442" s="404"/>
      <c r="G442" s="404"/>
      <c r="H442" s="404"/>
      <c r="I442" s="404"/>
      <c r="J442" s="404"/>
      <c r="K442" s="405"/>
    </row>
    <row r="443" spans="2:11" ht="15">
      <c r="B443" s="372" t="s">
        <v>571</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572</v>
      </c>
      <c r="C444" s="382">
        <v>41.2</v>
      </c>
      <c r="D444" s="383">
        <v>21</v>
      </c>
      <c r="E444" s="382">
        <v>20.200000000000003</v>
      </c>
      <c r="F444" s="382">
        <v>41.2</v>
      </c>
      <c r="G444" s="383">
        <v>21</v>
      </c>
      <c r="H444" s="382">
        <v>20.200000000000003</v>
      </c>
      <c r="I444" s="376" t="s">
        <v>206</v>
      </c>
      <c r="J444" s="376" t="s">
        <v>206</v>
      </c>
      <c r="K444" s="377" t="s">
        <v>206</v>
      </c>
    </row>
    <row r="445" spans="2:11" ht="15.5">
      <c r="B445" s="380" t="s">
        <v>573</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5">
      <c r="B446" s="380"/>
      <c r="C446" s="392"/>
      <c r="D446" s="392"/>
      <c r="E446" s="392"/>
      <c r="F446" s="392"/>
      <c r="G446" s="392"/>
      <c r="H446" s="392"/>
      <c r="I446" s="392"/>
      <c r="J446" s="392"/>
      <c r="K446" s="393"/>
    </row>
    <row r="447" spans="2:11" ht="15">
      <c r="B447" s="372" t="s">
        <v>574</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575</v>
      </c>
      <c r="C448" s="382">
        <v>40</v>
      </c>
      <c r="D448" s="383">
        <v>19.8</v>
      </c>
      <c r="E448" s="382">
        <v>20.2</v>
      </c>
      <c r="F448" s="382">
        <v>40</v>
      </c>
      <c r="G448" s="383">
        <v>19.8</v>
      </c>
      <c r="H448" s="382">
        <v>20.2</v>
      </c>
      <c r="I448" s="376" t="s">
        <v>206</v>
      </c>
      <c r="J448" s="376" t="s">
        <v>206</v>
      </c>
      <c r="K448" s="377" t="s">
        <v>206</v>
      </c>
    </row>
    <row r="449" spans="2:11" ht="15.5">
      <c r="B449" s="380"/>
      <c r="C449" s="409"/>
      <c r="D449" s="409"/>
      <c r="E449" s="409"/>
      <c r="F449" s="409"/>
      <c r="G449" s="409"/>
      <c r="H449" s="409"/>
      <c r="I449" s="409"/>
      <c r="J449" s="409"/>
      <c r="K449" s="410"/>
    </row>
    <row r="450" spans="2:11" ht="15">
      <c r="B450" s="372" t="s">
        <v>576</v>
      </c>
      <c r="C450" s="381">
        <v>88</v>
      </c>
      <c r="D450" s="381">
        <v>43.6</v>
      </c>
      <c r="E450" s="381">
        <v>44.4</v>
      </c>
      <c r="F450" s="381">
        <v>41</v>
      </c>
      <c r="G450" s="381">
        <v>20.3</v>
      </c>
      <c r="H450" s="381">
        <v>20.7</v>
      </c>
      <c r="I450" s="381">
        <v>47</v>
      </c>
      <c r="J450" s="381">
        <v>23.3</v>
      </c>
      <c r="K450" s="391">
        <v>23.7</v>
      </c>
    </row>
    <row r="451" spans="2:11" ht="15.5">
      <c r="B451" s="380" t="s">
        <v>577</v>
      </c>
      <c r="C451" s="382">
        <v>21.9</v>
      </c>
      <c r="D451" s="383">
        <v>10.9</v>
      </c>
      <c r="E451" s="382">
        <v>10.999999999999998</v>
      </c>
      <c r="F451" s="382">
        <v>21.9</v>
      </c>
      <c r="G451" s="383">
        <v>10.9</v>
      </c>
      <c r="H451" s="382">
        <v>10.999999999999998</v>
      </c>
      <c r="I451" s="376" t="s">
        <v>206</v>
      </c>
      <c r="J451" s="376" t="s">
        <v>206</v>
      </c>
      <c r="K451" s="377" t="s">
        <v>206</v>
      </c>
    </row>
    <row r="452" spans="2:11" ht="15.5">
      <c r="B452" s="380" t="s">
        <v>578</v>
      </c>
      <c r="C452" s="382">
        <v>7.9</v>
      </c>
      <c r="D452" s="383">
        <v>3.9</v>
      </c>
      <c r="E452" s="382">
        <v>4</v>
      </c>
      <c r="F452" s="382">
        <v>7.9</v>
      </c>
      <c r="G452" s="383">
        <v>3.9</v>
      </c>
      <c r="H452" s="382">
        <v>4</v>
      </c>
      <c r="I452" s="376" t="s">
        <v>206</v>
      </c>
      <c r="J452" s="376" t="s">
        <v>206</v>
      </c>
      <c r="K452" s="377" t="s">
        <v>206</v>
      </c>
    </row>
    <row r="453" spans="2:11" ht="15.5">
      <c r="B453" s="380" t="s">
        <v>579</v>
      </c>
      <c r="C453" s="382">
        <v>6.9</v>
      </c>
      <c r="D453" s="383">
        <v>3.4</v>
      </c>
      <c r="E453" s="382">
        <v>3.5000000000000004</v>
      </c>
      <c r="F453" s="382">
        <v>6.9</v>
      </c>
      <c r="G453" s="383">
        <v>3.4</v>
      </c>
      <c r="H453" s="382">
        <v>3.5000000000000004</v>
      </c>
      <c r="I453" s="376" t="s">
        <v>206</v>
      </c>
      <c r="J453" s="376" t="s">
        <v>206</v>
      </c>
      <c r="K453" s="377" t="s">
        <v>206</v>
      </c>
    </row>
    <row r="454" spans="2:11" ht="15.5">
      <c r="B454" s="380" t="s">
        <v>580</v>
      </c>
      <c r="C454" s="382">
        <v>4.3</v>
      </c>
      <c r="D454" s="383">
        <v>2.1</v>
      </c>
      <c r="E454" s="382">
        <v>2.1999999999999997</v>
      </c>
      <c r="F454" s="382">
        <v>4.3</v>
      </c>
      <c r="G454" s="383">
        <v>2.1</v>
      </c>
      <c r="H454" s="382">
        <v>2.1999999999999997</v>
      </c>
      <c r="I454" s="376" t="s">
        <v>206</v>
      </c>
      <c r="J454" s="376" t="s">
        <v>206</v>
      </c>
      <c r="K454" s="377" t="s">
        <v>206</v>
      </c>
    </row>
    <row r="455" spans="2:11" ht="15.5">
      <c r="B455" s="380"/>
      <c r="C455" s="385"/>
      <c r="D455" s="385"/>
      <c r="E455" s="385"/>
      <c r="F455" s="385"/>
      <c r="G455" s="385"/>
      <c r="H455" s="385"/>
      <c r="I455" s="385"/>
      <c r="J455" s="385"/>
      <c r="K455" s="394"/>
    </row>
    <row r="456" spans="2:11" ht="15">
      <c r="B456" s="372" t="s">
        <v>581</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582</v>
      </c>
      <c r="C457" s="382">
        <v>23.1</v>
      </c>
      <c r="D457" s="383">
        <v>11.6</v>
      </c>
      <c r="E457" s="382">
        <v>11.500000000000002</v>
      </c>
      <c r="F457" s="382">
        <v>23.1</v>
      </c>
      <c r="G457" s="383">
        <v>11.6</v>
      </c>
      <c r="H457" s="382">
        <v>11.500000000000002</v>
      </c>
      <c r="I457" s="376" t="s">
        <v>206</v>
      </c>
      <c r="J457" s="376" t="s">
        <v>206</v>
      </c>
      <c r="K457" s="377" t="s">
        <v>206</v>
      </c>
    </row>
    <row r="458" spans="2:11" ht="15.5">
      <c r="B458" s="380"/>
      <c r="C458" s="392"/>
      <c r="D458" s="392"/>
      <c r="E458" s="392"/>
      <c r="F458" s="392"/>
      <c r="G458" s="392"/>
      <c r="H458" s="392"/>
      <c r="I458" s="392"/>
      <c r="J458" s="392"/>
      <c r="K458" s="393"/>
    </row>
    <row r="459" spans="2:11" ht="15">
      <c r="B459" s="372" t="s">
        <v>583</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584</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5">
      <c r="B461" s="380" t="s">
        <v>585</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5">
      <c r="B462" s="380" t="s">
        <v>586</v>
      </c>
      <c r="C462" s="382">
        <v>0.3</v>
      </c>
      <c r="D462" s="383">
        <v>0.2</v>
      </c>
      <c r="E462" s="382">
        <v>9.9999999999999978E-2</v>
      </c>
      <c r="F462" s="382">
        <v>0.3</v>
      </c>
      <c r="G462" s="383">
        <v>0.2</v>
      </c>
      <c r="H462" s="382">
        <v>9.9999999999999978E-2</v>
      </c>
      <c r="I462" s="376" t="s">
        <v>206</v>
      </c>
      <c r="J462" s="376" t="s">
        <v>206</v>
      </c>
      <c r="K462" s="377" t="s">
        <v>206</v>
      </c>
    </row>
    <row r="463" spans="2:11" ht="15.5">
      <c r="B463" s="380"/>
      <c r="C463" s="404"/>
      <c r="D463" s="404"/>
      <c r="E463" s="404"/>
      <c r="F463" s="404"/>
      <c r="G463" s="404"/>
      <c r="H463" s="404"/>
      <c r="I463" s="404"/>
      <c r="J463" s="404"/>
      <c r="K463" s="405"/>
    </row>
    <row r="464" spans="2:11" ht="15">
      <c r="B464" s="372" t="s">
        <v>587</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588</v>
      </c>
      <c r="C465" s="382">
        <v>61.7</v>
      </c>
      <c r="D465" s="383">
        <v>28.2</v>
      </c>
      <c r="E465" s="382">
        <v>33.5</v>
      </c>
      <c r="F465" s="382">
        <v>61.7</v>
      </c>
      <c r="G465" s="383">
        <v>28.2</v>
      </c>
      <c r="H465" s="382">
        <v>33.5</v>
      </c>
      <c r="I465" s="376" t="s">
        <v>206</v>
      </c>
      <c r="J465" s="376" t="s">
        <v>206</v>
      </c>
      <c r="K465" s="377" t="s">
        <v>206</v>
      </c>
    </row>
    <row r="466" spans="2:11" ht="15.5">
      <c r="B466" s="380" t="s">
        <v>589</v>
      </c>
      <c r="C466" s="382">
        <v>0.5</v>
      </c>
      <c r="D466" s="383">
        <v>0.2</v>
      </c>
      <c r="E466" s="382">
        <v>0.3</v>
      </c>
      <c r="F466" s="382">
        <v>0.5</v>
      </c>
      <c r="G466" s="383">
        <v>0.2</v>
      </c>
      <c r="H466" s="382">
        <v>0.3</v>
      </c>
      <c r="I466" s="376" t="s">
        <v>206</v>
      </c>
      <c r="J466" s="376" t="s">
        <v>206</v>
      </c>
      <c r="K466" s="377" t="s">
        <v>206</v>
      </c>
    </row>
    <row r="467" spans="2:11" ht="15.5">
      <c r="B467" s="380" t="s">
        <v>590</v>
      </c>
      <c r="C467" s="382">
        <v>0.3</v>
      </c>
      <c r="D467" s="383">
        <v>0.2</v>
      </c>
      <c r="E467" s="382">
        <v>9.9999999999999978E-2</v>
      </c>
      <c r="F467" s="382">
        <v>0.3</v>
      </c>
      <c r="G467" s="383">
        <v>0.2</v>
      </c>
      <c r="H467" s="382">
        <v>9.9999999999999978E-2</v>
      </c>
      <c r="I467" s="376" t="s">
        <v>206</v>
      </c>
      <c r="J467" s="376" t="s">
        <v>206</v>
      </c>
      <c r="K467" s="377" t="s">
        <v>206</v>
      </c>
    </row>
    <row r="468" spans="2:11" ht="15.5">
      <c r="B468" s="380" t="s">
        <v>591</v>
      </c>
      <c r="C468" s="382">
        <v>6.9</v>
      </c>
      <c r="D468" s="383">
        <v>3.4</v>
      </c>
      <c r="E468" s="382">
        <v>3.5000000000000004</v>
      </c>
      <c r="F468" s="382">
        <v>6.9</v>
      </c>
      <c r="G468" s="383">
        <v>3.4</v>
      </c>
      <c r="H468" s="382">
        <v>3.5000000000000004</v>
      </c>
      <c r="I468" s="376" t="s">
        <v>206</v>
      </c>
      <c r="J468" s="376" t="s">
        <v>206</v>
      </c>
      <c r="K468" s="377" t="s">
        <v>206</v>
      </c>
    </row>
    <row r="469" spans="2:11" ht="15.5">
      <c r="B469" s="380"/>
      <c r="C469" s="392"/>
      <c r="D469" s="392"/>
      <c r="E469" s="392"/>
      <c r="F469" s="392"/>
      <c r="G469" s="392"/>
      <c r="H469" s="392"/>
      <c r="I469" s="392"/>
      <c r="J469" s="392"/>
      <c r="K469" s="393"/>
    </row>
    <row r="470" spans="2:11" ht="15">
      <c r="B470" s="372" t="s">
        <v>592</v>
      </c>
      <c r="C470" s="381">
        <v>105.4</v>
      </c>
      <c r="D470" s="381">
        <v>50.7</v>
      </c>
      <c r="E470" s="381">
        <v>54.7</v>
      </c>
      <c r="F470" s="381">
        <v>105.4</v>
      </c>
      <c r="G470" s="381">
        <v>50.7</v>
      </c>
      <c r="H470" s="381">
        <v>54.7</v>
      </c>
      <c r="I470" s="376" t="s">
        <v>206</v>
      </c>
      <c r="J470" s="376" t="s">
        <v>206</v>
      </c>
      <c r="K470" s="377" t="s">
        <v>206</v>
      </c>
    </row>
    <row r="471" spans="2:11" ht="15">
      <c r="B471" s="372"/>
      <c r="C471" s="409"/>
      <c r="D471" s="409"/>
      <c r="E471" s="409"/>
      <c r="F471" s="409"/>
      <c r="G471" s="409"/>
      <c r="H471" s="409"/>
      <c r="I471" s="409"/>
      <c r="J471" s="409"/>
      <c r="K471" s="410"/>
    </row>
    <row r="472" spans="2:11" ht="15">
      <c r="B472" s="372" t="s">
        <v>593</v>
      </c>
      <c r="C472" s="381">
        <v>109.9</v>
      </c>
      <c r="D472" s="381">
        <v>54.8</v>
      </c>
      <c r="E472" s="381">
        <v>55.100000000000009</v>
      </c>
      <c r="F472" s="381">
        <v>36.4</v>
      </c>
      <c r="G472" s="390">
        <v>17.8</v>
      </c>
      <c r="H472" s="381">
        <v>18.599999999999998</v>
      </c>
      <c r="I472" s="381">
        <v>73.5</v>
      </c>
      <c r="J472" s="381">
        <v>37</v>
      </c>
      <c r="K472" s="388">
        <v>36.5</v>
      </c>
    </row>
    <row r="473" spans="2:11" ht="15.5">
      <c r="B473" s="380" t="s">
        <v>594</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5">
      <c r="B474" s="380" t="s">
        <v>595</v>
      </c>
      <c r="C474" s="382">
        <v>0.3</v>
      </c>
      <c r="D474" s="383">
        <v>0.2</v>
      </c>
      <c r="E474" s="382">
        <v>9.9999999999999978E-2</v>
      </c>
      <c r="F474" s="382">
        <v>0.3</v>
      </c>
      <c r="G474" s="383">
        <v>0.2</v>
      </c>
      <c r="H474" s="382">
        <v>9.9999999999999978E-2</v>
      </c>
      <c r="I474" s="376" t="s">
        <v>206</v>
      </c>
      <c r="J474" s="376" t="s">
        <v>206</v>
      </c>
      <c r="K474" s="377" t="s">
        <v>206</v>
      </c>
    </row>
    <row r="475" spans="2:11" ht="15.5">
      <c r="B475" s="380" t="s">
        <v>596</v>
      </c>
      <c r="C475" s="382">
        <v>3.8</v>
      </c>
      <c r="D475" s="383">
        <v>1.9</v>
      </c>
      <c r="E475" s="382">
        <v>1.9</v>
      </c>
      <c r="F475" s="382">
        <v>3.8</v>
      </c>
      <c r="G475" s="383">
        <v>1.9</v>
      </c>
      <c r="H475" s="382">
        <v>1.9</v>
      </c>
      <c r="I475" s="376" t="s">
        <v>206</v>
      </c>
      <c r="J475" s="376" t="s">
        <v>206</v>
      </c>
      <c r="K475" s="377" t="s">
        <v>206</v>
      </c>
    </row>
    <row r="476" spans="2:11" ht="15.5">
      <c r="B476" s="380"/>
      <c r="C476" s="404"/>
      <c r="D476" s="404"/>
      <c r="E476" s="404"/>
      <c r="F476" s="404"/>
      <c r="G476" s="404"/>
      <c r="H476" s="404"/>
      <c r="I476" s="404"/>
      <c r="J476" s="404"/>
      <c r="K476" s="405"/>
    </row>
    <row r="477" spans="2:11" ht="15">
      <c r="B477" s="372" t="s">
        <v>597</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598</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5">
      <c r="B479" s="380"/>
      <c r="C479" s="392"/>
      <c r="D479" s="392"/>
      <c r="E479" s="392"/>
      <c r="F479" s="392"/>
      <c r="G479" s="392"/>
      <c r="H479" s="392"/>
      <c r="I479" s="392"/>
      <c r="J479" s="392"/>
      <c r="K479" s="393"/>
    </row>
    <row r="480" spans="2:11" ht="15">
      <c r="B480" s="372" t="s">
        <v>599</v>
      </c>
      <c r="C480" s="381">
        <v>58.8</v>
      </c>
      <c r="D480" s="381">
        <v>29.5</v>
      </c>
      <c r="E480" s="381">
        <v>29.299999999999997</v>
      </c>
      <c r="F480" s="381">
        <v>11.9</v>
      </c>
      <c r="G480" s="390">
        <v>5.9</v>
      </c>
      <c r="H480" s="381">
        <v>6</v>
      </c>
      <c r="I480" s="381">
        <v>46.9</v>
      </c>
      <c r="J480" s="381">
        <v>23.6</v>
      </c>
      <c r="K480" s="388">
        <v>23.299999999999997</v>
      </c>
    </row>
    <row r="481" spans="2:11" ht="15.5">
      <c r="B481" s="380" t="s">
        <v>600</v>
      </c>
      <c r="C481" s="382">
        <v>10.9</v>
      </c>
      <c r="D481" s="383">
        <v>5.4</v>
      </c>
      <c r="E481" s="382">
        <v>5.5</v>
      </c>
      <c r="F481" s="382">
        <v>10.9</v>
      </c>
      <c r="G481" s="383">
        <v>5.4</v>
      </c>
      <c r="H481" s="382">
        <v>5.5</v>
      </c>
      <c r="I481" s="376" t="s">
        <v>206</v>
      </c>
      <c r="J481" s="376" t="s">
        <v>206</v>
      </c>
      <c r="K481" s="377" t="s">
        <v>206</v>
      </c>
    </row>
    <row r="482" spans="2:11" ht="15.5">
      <c r="B482" s="380" t="s">
        <v>601</v>
      </c>
      <c r="C482" s="382">
        <v>1</v>
      </c>
      <c r="D482" s="383">
        <v>0.5</v>
      </c>
      <c r="E482" s="382">
        <v>0.5</v>
      </c>
      <c r="F482" s="382">
        <v>1</v>
      </c>
      <c r="G482" s="383">
        <v>0.5</v>
      </c>
      <c r="H482" s="382">
        <v>0.5</v>
      </c>
      <c r="I482" s="376" t="s">
        <v>206</v>
      </c>
      <c r="J482" s="376" t="s">
        <v>206</v>
      </c>
      <c r="K482" s="377" t="s">
        <v>206</v>
      </c>
    </row>
    <row r="483" spans="2:11" ht="15.5">
      <c r="B483" s="380"/>
      <c r="C483" s="392"/>
      <c r="D483" s="392"/>
      <c r="E483" s="392"/>
      <c r="F483" s="392"/>
      <c r="G483" s="392"/>
      <c r="H483" s="392"/>
      <c r="I483" s="392"/>
      <c r="J483" s="392"/>
      <c r="K483" s="393"/>
    </row>
    <row r="484" spans="2:11" ht="15">
      <c r="B484" s="372" t="s">
        <v>602</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603</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5">
      <c r="B486" s="380" t="s">
        <v>604</v>
      </c>
      <c r="C486" s="382">
        <v>1.7</v>
      </c>
      <c r="D486" s="383">
        <v>0.9</v>
      </c>
      <c r="E486" s="382">
        <v>0.79999999999999993</v>
      </c>
      <c r="F486" s="382">
        <v>1.7</v>
      </c>
      <c r="G486" s="383">
        <v>0.9</v>
      </c>
      <c r="H486" s="382">
        <v>0.79999999999999993</v>
      </c>
      <c r="I486" s="376" t="s">
        <v>206</v>
      </c>
      <c r="J486" s="376" t="s">
        <v>206</v>
      </c>
      <c r="K486" s="377" t="s">
        <v>206</v>
      </c>
    </row>
    <row r="487" spans="2:11" ht="15.5">
      <c r="B487" s="380" t="s">
        <v>605</v>
      </c>
      <c r="C487" s="382">
        <v>1.6</v>
      </c>
      <c r="D487" s="383">
        <v>0.8</v>
      </c>
      <c r="E487" s="382">
        <v>0.8</v>
      </c>
      <c r="F487" s="382">
        <v>1.6</v>
      </c>
      <c r="G487" s="383">
        <v>0.8</v>
      </c>
      <c r="H487" s="382">
        <v>0.8</v>
      </c>
      <c r="I487" s="376" t="s">
        <v>206</v>
      </c>
      <c r="J487" s="376" t="s">
        <v>206</v>
      </c>
      <c r="K487" s="377" t="s">
        <v>206</v>
      </c>
    </row>
    <row r="488" spans="2:11" ht="15.5">
      <c r="B488" s="380"/>
      <c r="C488" s="404"/>
      <c r="D488" s="404"/>
      <c r="E488" s="404"/>
      <c r="F488" s="404"/>
      <c r="G488" s="404"/>
      <c r="H488" s="404"/>
      <c r="I488" s="404"/>
      <c r="J488" s="404"/>
      <c r="K488" s="405"/>
    </row>
    <row r="489" spans="2:11" ht="15">
      <c r="B489" s="372" t="s">
        <v>606</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607</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5">
      <c r="B491" s="380" t="s">
        <v>608</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5">
      <c r="B492" s="380" t="s">
        <v>609</v>
      </c>
      <c r="C492" s="382" t="s">
        <v>206</v>
      </c>
      <c r="D492" s="382" t="s">
        <v>206</v>
      </c>
      <c r="E492" s="382" t="s">
        <v>206</v>
      </c>
      <c r="F492" s="382" t="s">
        <v>206</v>
      </c>
      <c r="G492" s="382" t="s">
        <v>206</v>
      </c>
      <c r="H492" s="382" t="s">
        <v>206</v>
      </c>
      <c r="I492" s="376" t="s">
        <v>206</v>
      </c>
      <c r="J492" s="376" t="s">
        <v>206</v>
      </c>
      <c r="K492" s="377" t="s">
        <v>206</v>
      </c>
    </row>
    <row r="493" spans="2:11" ht="15.5">
      <c r="B493" s="380"/>
      <c r="C493" s="385"/>
      <c r="D493" s="385"/>
      <c r="E493" s="385"/>
      <c r="F493" s="385"/>
      <c r="G493" s="385"/>
      <c r="H493" s="385"/>
      <c r="I493" s="385"/>
      <c r="J493" s="385"/>
      <c r="K493" s="394"/>
    </row>
    <row r="494" spans="2:11" ht="15">
      <c r="B494" s="372" t="s">
        <v>610</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611</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5">
      <c r="B496" s="380"/>
      <c r="C496" s="392"/>
      <c r="D496" s="392"/>
      <c r="E496" s="392"/>
      <c r="F496" s="392"/>
      <c r="G496" s="392"/>
      <c r="H496" s="392"/>
      <c r="I496" s="392"/>
      <c r="J496" s="392"/>
      <c r="K496" s="393"/>
    </row>
    <row r="497" spans="2:11" ht="15">
      <c r="B497" s="372" t="s">
        <v>612</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613</v>
      </c>
      <c r="C498" s="382">
        <v>30.8</v>
      </c>
      <c r="D498" s="383">
        <v>15.2</v>
      </c>
      <c r="E498" s="382">
        <v>15.600000000000001</v>
      </c>
      <c r="F498" s="382">
        <v>30.8</v>
      </c>
      <c r="G498" s="383">
        <v>15.2</v>
      </c>
      <c r="H498" s="382">
        <v>15.600000000000001</v>
      </c>
      <c r="I498" s="376" t="s">
        <v>206</v>
      </c>
      <c r="J498" s="376" t="s">
        <v>206</v>
      </c>
      <c r="K498" s="377" t="s">
        <v>206</v>
      </c>
    </row>
    <row r="499" spans="2:11" ht="15.5">
      <c r="B499" s="380"/>
      <c r="C499" s="392"/>
      <c r="D499" s="392"/>
      <c r="E499" s="392"/>
      <c r="F499" s="392"/>
      <c r="G499" s="392"/>
      <c r="H499" s="392"/>
      <c r="I499" s="392"/>
      <c r="J499" s="392"/>
      <c r="K499" s="393"/>
    </row>
    <row r="500" spans="2:11" ht="15">
      <c r="B500" s="372" t="s">
        <v>614</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615</v>
      </c>
      <c r="C501" s="382">
        <v>27.2</v>
      </c>
      <c r="D501" s="383">
        <v>13.4</v>
      </c>
      <c r="E501" s="382">
        <v>13.799999999999999</v>
      </c>
      <c r="F501" s="382">
        <v>27.2</v>
      </c>
      <c r="G501" s="383">
        <v>13.4</v>
      </c>
      <c r="H501" s="382">
        <v>13.799999999999999</v>
      </c>
      <c r="I501" s="376" t="s">
        <v>206</v>
      </c>
      <c r="J501" s="376" t="s">
        <v>206</v>
      </c>
      <c r="K501" s="377" t="s">
        <v>206</v>
      </c>
    </row>
    <row r="502" spans="2:11" ht="15.5">
      <c r="B502" s="380" t="s">
        <v>616</v>
      </c>
      <c r="C502" s="382">
        <v>0</v>
      </c>
      <c r="D502" s="383">
        <v>0</v>
      </c>
      <c r="E502" s="382">
        <v>0</v>
      </c>
      <c r="F502" s="382">
        <v>0</v>
      </c>
      <c r="G502" s="383">
        <v>0</v>
      </c>
      <c r="H502" s="382">
        <v>0</v>
      </c>
      <c r="I502" s="376" t="s">
        <v>206</v>
      </c>
      <c r="J502" s="376" t="s">
        <v>206</v>
      </c>
      <c r="K502" s="377" t="s">
        <v>206</v>
      </c>
    </row>
    <row r="503" spans="2:11" ht="15.5">
      <c r="B503" s="380" t="s">
        <v>617</v>
      </c>
      <c r="C503" s="382">
        <v>2.5</v>
      </c>
      <c r="D503" s="383">
        <v>1.2</v>
      </c>
      <c r="E503" s="382">
        <v>1.3</v>
      </c>
      <c r="F503" s="382">
        <v>2.5</v>
      </c>
      <c r="G503" s="383">
        <v>1.2</v>
      </c>
      <c r="H503" s="382">
        <v>1.3</v>
      </c>
      <c r="I503" s="376" t="s">
        <v>206</v>
      </c>
      <c r="J503" s="376" t="s">
        <v>206</v>
      </c>
      <c r="K503" s="377" t="s">
        <v>206</v>
      </c>
    </row>
    <row r="504" spans="2:11" ht="15.5">
      <c r="B504" s="380" t="s">
        <v>322</v>
      </c>
      <c r="C504" s="382">
        <v>1.2</v>
      </c>
      <c r="D504" s="383">
        <v>0.6</v>
      </c>
      <c r="E504" s="382">
        <v>0.6</v>
      </c>
      <c r="F504" s="382">
        <v>1.2</v>
      </c>
      <c r="G504" s="383">
        <v>0.6</v>
      </c>
      <c r="H504" s="382">
        <v>0.6</v>
      </c>
      <c r="I504" s="376" t="s">
        <v>206</v>
      </c>
      <c r="J504" s="376" t="s">
        <v>206</v>
      </c>
      <c r="K504" s="377" t="s">
        <v>206</v>
      </c>
    </row>
    <row r="505" spans="2:11" ht="15.5">
      <c r="B505" s="380" t="s">
        <v>618</v>
      </c>
      <c r="C505" s="382">
        <v>5.7</v>
      </c>
      <c r="D505" s="383">
        <v>2.6</v>
      </c>
      <c r="E505" s="382">
        <v>3.1</v>
      </c>
      <c r="F505" s="382">
        <v>5.7</v>
      </c>
      <c r="G505" s="383">
        <v>2.6</v>
      </c>
      <c r="H505" s="382">
        <v>3.1</v>
      </c>
      <c r="I505" s="376" t="s">
        <v>206</v>
      </c>
      <c r="J505" s="376" t="s">
        <v>206</v>
      </c>
      <c r="K505" s="377" t="s">
        <v>206</v>
      </c>
    </row>
    <row r="506" spans="2:11" ht="15.5">
      <c r="B506" s="380" t="s">
        <v>619</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5">
      <c r="B507" s="380"/>
      <c r="C507" s="404"/>
      <c r="D507" s="404"/>
      <c r="E507" s="404"/>
      <c r="F507" s="404"/>
      <c r="G507" s="404"/>
      <c r="H507" s="404"/>
      <c r="I507" s="404"/>
      <c r="J507" s="404"/>
      <c r="K507" s="405"/>
    </row>
    <row r="508" spans="2:11" ht="15">
      <c r="B508" s="372" t="s">
        <v>620</v>
      </c>
      <c r="C508" s="381">
        <v>86.6</v>
      </c>
      <c r="D508" s="381">
        <v>42.5</v>
      </c>
      <c r="E508" s="381">
        <v>44.099999999999994</v>
      </c>
      <c r="F508" s="381">
        <v>86.6</v>
      </c>
      <c r="G508" s="381">
        <v>42.5</v>
      </c>
      <c r="H508" s="381">
        <v>44.099999999999994</v>
      </c>
      <c r="I508" s="376" t="s">
        <v>206</v>
      </c>
      <c r="J508" s="376" t="s">
        <v>206</v>
      </c>
      <c r="K508" s="377" t="s">
        <v>206</v>
      </c>
    </row>
    <row r="509" spans="2:11" ht="15.5">
      <c r="B509" s="380" t="s">
        <v>621</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5">
      <c r="B510" s="380" t="s">
        <v>622</v>
      </c>
      <c r="C510" s="382">
        <v>2.5</v>
      </c>
      <c r="D510" s="383">
        <v>1.3</v>
      </c>
      <c r="E510" s="382">
        <v>1.2</v>
      </c>
      <c r="F510" s="382">
        <v>2.5</v>
      </c>
      <c r="G510" s="383">
        <v>1.3</v>
      </c>
      <c r="H510" s="382">
        <v>1.2</v>
      </c>
      <c r="I510" s="376" t="s">
        <v>206</v>
      </c>
      <c r="J510" s="376" t="s">
        <v>206</v>
      </c>
      <c r="K510" s="377" t="s">
        <v>206</v>
      </c>
    </row>
    <row r="511" spans="2:11" ht="15.5">
      <c r="B511" s="380" t="s">
        <v>623</v>
      </c>
      <c r="C511" s="382">
        <v>2.5</v>
      </c>
      <c r="D511" s="383">
        <v>1.2</v>
      </c>
      <c r="E511" s="382">
        <v>1.3</v>
      </c>
      <c r="F511" s="382">
        <v>2.5</v>
      </c>
      <c r="G511" s="383">
        <v>1.2</v>
      </c>
      <c r="H511" s="382">
        <v>1.3</v>
      </c>
      <c r="I511" s="376" t="s">
        <v>206</v>
      </c>
      <c r="J511" s="376" t="s">
        <v>206</v>
      </c>
      <c r="K511" s="377" t="s">
        <v>206</v>
      </c>
    </row>
    <row r="512" spans="2:11" ht="15.5">
      <c r="B512" s="380"/>
      <c r="C512" s="385"/>
      <c r="D512" s="385"/>
      <c r="E512" s="385"/>
      <c r="F512" s="385"/>
      <c r="G512" s="385"/>
      <c r="H512" s="385"/>
      <c r="I512" s="385"/>
      <c r="J512" s="385"/>
      <c r="K512" s="394"/>
    </row>
    <row r="513" spans="1:11" ht="15">
      <c r="A513" s="106" t="s">
        <v>237</v>
      </c>
      <c r="B513" s="372" t="s">
        <v>624</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303</v>
      </c>
      <c r="C514" s="373"/>
      <c r="D514" s="373"/>
      <c r="E514" s="373"/>
      <c r="F514" s="373"/>
      <c r="G514" s="373"/>
      <c r="H514" s="373"/>
      <c r="I514" s="373"/>
      <c r="J514" s="373"/>
      <c r="K514" s="379"/>
    </row>
    <row r="515" spans="1:11" ht="15">
      <c r="B515" s="372" t="s">
        <v>625</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626</v>
      </c>
      <c r="C516" s="382">
        <v>10.8</v>
      </c>
      <c r="D516" s="383">
        <v>5.3</v>
      </c>
      <c r="E516" s="382">
        <v>5.5000000000000009</v>
      </c>
      <c r="F516" s="382">
        <v>10.8</v>
      </c>
      <c r="G516" s="383">
        <v>5.3</v>
      </c>
      <c r="H516" s="382">
        <v>5.5000000000000009</v>
      </c>
      <c r="I516" s="376" t="s">
        <v>206</v>
      </c>
      <c r="J516" s="376" t="s">
        <v>206</v>
      </c>
      <c r="K516" s="377" t="s">
        <v>206</v>
      </c>
    </row>
    <row r="517" spans="1:11" ht="15.5">
      <c r="B517" s="380" t="s">
        <v>627</v>
      </c>
      <c r="C517" s="382">
        <v>0.3</v>
      </c>
      <c r="D517" s="383">
        <v>0.2</v>
      </c>
      <c r="E517" s="382">
        <v>9.9999999999999978E-2</v>
      </c>
      <c r="F517" s="382">
        <v>0.3</v>
      </c>
      <c r="G517" s="383">
        <v>0.2</v>
      </c>
      <c r="H517" s="382">
        <v>9.9999999999999978E-2</v>
      </c>
      <c r="I517" s="376" t="s">
        <v>206</v>
      </c>
      <c r="J517" s="376" t="s">
        <v>206</v>
      </c>
      <c r="K517" s="377" t="s">
        <v>206</v>
      </c>
    </row>
    <row r="518" spans="1:11" ht="15.5">
      <c r="B518" s="380" t="s">
        <v>628</v>
      </c>
      <c r="C518" s="382">
        <v>0.5</v>
      </c>
      <c r="D518" s="383">
        <v>0.3</v>
      </c>
      <c r="E518" s="382">
        <v>0.2</v>
      </c>
      <c r="F518" s="382">
        <v>0.5</v>
      </c>
      <c r="G518" s="383">
        <v>0.3</v>
      </c>
      <c r="H518" s="382">
        <v>0.2</v>
      </c>
      <c r="I518" s="376" t="s">
        <v>206</v>
      </c>
      <c r="J518" s="376" t="s">
        <v>206</v>
      </c>
      <c r="K518" s="377" t="s">
        <v>206</v>
      </c>
    </row>
    <row r="519" spans="1:11" ht="15.5">
      <c r="B519" s="380" t="s">
        <v>629</v>
      </c>
      <c r="C519" s="382">
        <v>0.4</v>
      </c>
      <c r="D519" s="383">
        <v>0.2</v>
      </c>
      <c r="E519" s="382">
        <v>0.2</v>
      </c>
      <c r="F519" s="382">
        <v>0.4</v>
      </c>
      <c r="G519" s="383">
        <v>0.2</v>
      </c>
      <c r="H519" s="382">
        <v>0.2</v>
      </c>
      <c r="I519" s="376" t="s">
        <v>206</v>
      </c>
      <c r="J519" s="376" t="s">
        <v>206</v>
      </c>
      <c r="K519" s="377" t="s">
        <v>206</v>
      </c>
    </row>
    <row r="520" spans="1:11" ht="15.5">
      <c r="B520" s="380" t="s">
        <v>630</v>
      </c>
      <c r="C520" s="382">
        <v>1.3</v>
      </c>
      <c r="D520" s="383">
        <v>0.6</v>
      </c>
      <c r="E520" s="382">
        <v>0.70000000000000007</v>
      </c>
      <c r="F520" s="382">
        <v>1.3</v>
      </c>
      <c r="G520" s="383">
        <v>0.6</v>
      </c>
      <c r="H520" s="382">
        <v>0.70000000000000007</v>
      </c>
      <c r="I520" s="376" t="s">
        <v>206</v>
      </c>
      <c r="J520" s="376" t="s">
        <v>206</v>
      </c>
      <c r="K520" s="377" t="s">
        <v>206</v>
      </c>
    </row>
    <row r="521" spans="1:11" ht="15.5">
      <c r="B521" s="380"/>
      <c r="C521" s="374"/>
      <c r="D521" s="374"/>
      <c r="E521" s="374"/>
      <c r="F521" s="374"/>
      <c r="G521" s="374"/>
      <c r="H521" s="374"/>
      <c r="I521" s="374"/>
      <c r="J521" s="374"/>
      <c r="K521" s="375"/>
    </row>
    <row r="522" spans="1:11" ht="15">
      <c r="B522" s="372" t="s">
        <v>631</v>
      </c>
      <c r="C522" s="381">
        <v>132.4</v>
      </c>
      <c r="D522" s="381">
        <v>64.8</v>
      </c>
      <c r="E522" s="381">
        <v>67.600000000000009</v>
      </c>
      <c r="F522" s="381">
        <v>31.9</v>
      </c>
      <c r="G522" s="390">
        <v>15.4</v>
      </c>
      <c r="H522" s="381">
        <v>16.5</v>
      </c>
      <c r="I522" s="381">
        <v>100.5</v>
      </c>
      <c r="J522" s="381">
        <v>49.4</v>
      </c>
      <c r="K522" s="388">
        <v>51.1</v>
      </c>
    </row>
    <row r="523" spans="1:11" ht="15.5">
      <c r="B523" s="380" t="s">
        <v>632</v>
      </c>
      <c r="C523" s="382">
        <v>24.3</v>
      </c>
      <c r="D523" s="383">
        <v>11.8</v>
      </c>
      <c r="E523" s="382">
        <v>12.5</v>
      </c>
      <c r="F523" s="382">
        <v>24.3</v>
      </c>
      <c r="G523" s="383">
        <v>11.8</v>
      </c>
      <c r="H523" s="382">
        <v>12.5</v>
      </c>
      <c r="I523" s="376" t="s">
        <v>206</v>
      </c>
      <c r="J523" s="376" t="s">
        <v>206</v>
      </c>
      <c r="K523" s="377" t="s">
        <v>206</v>
      </c>
    </row>
    <row r="524" spans="1:11" ht="15.5">
      <c r="B524" s="380" t="s">
        <v>633</v>
      </c>
      <c r="C524" s="382">
        <v>7.6</v>
      </c>
      <c r="D524" s="383">
        <v>3.6</v>
      </c>
      <c r="E524" s="382">
        <v>3.9999999999999996</v>
      </c>
      <c r="F524" s="382">
        <v>7.6</v>
      </c>
      <c r="G524" s="383">
        <v>3.6</v>
      </c>
      <c r="H524" s="382">
        <v>3.9999999999999996</v>
      </c>
      <c r="I524" s="376" t="s">
        <v>206</v>
      </c>
      <c r="J524" s="376" t="s">
        <v>206</v>
      </c>
      <c r="K524" s="377" t="s">
        <v>206</v>
      </c>
    </row>
    <row r="525" spans="1:11" ht="15.5">
      <c r="B525" s="380" t="s">
        <v>634</v>
      </c>
      <c r="C525" s="382" t="s">
        <v>206</v>
      </c>
      <c r="D525" s="382" t="s">
        <v>206</v>
      </c>
      <c r="E525" s="382" t="s">
        <v>206</v>
      </c>
      <c r="F525" s="382" t="s">
        <v>206</v>
      </c>
      <c r="G525" s="382" t="s">
        <v>206</v>
      </c>
      <c r="H525" s="382" t="s">
        <v>206</v>
      </c>
      <c r="I525" s="376" t="s">
        <v>206</v>
      </c>
      <c r="J525" s="376" t="s">
        <v>206</v>
      </c>
      <c r="K525" s="377" t="s">
        <v>206</v>
      </c>
    </row>
    <row r="526" spans="1:11" ht="15.5">
      <c r="B526" s="380" t="s">
        <v>635</v>
      </c>
      <c r="C526" s="382" t="s">
        <v>206</v>
      </c>
      <c r="D526" s="382" t="s">
        <v>206</v>
      </c>
      <c r="E526" s="382" t="s">
        <v>206</v>
      </c>
      <c r="F526" s="382" t="s">
        <v>206</v>
      </c>
      <c r="G526" s="382" t="s">
        <v>206</v>
      </c>
      <c r="H526" s="382" t="s">
        <v>206</v>
      </c>
      <c r="I526" s="376" t="s">
        <v>206</v>
      </c>
      <c r="J526" s="376" t="s">
        <v>206</v>
      </c>
      <c r="K526" s="377" t="s">
        <v>206</v>
      </c>
    </row>
    <row r="527" spans="1:11" ht="15.5">
      <c r="B527" s="380" t="s">
        <v>636</v>
      </c>
      <c r="C527" s="382" t="s">
        <v>206</v>
      </c>
      <c r="D527" s="382" t="s">
        <v>206</v>
      </c>
      <c r="E527" s="382" t="s">
        <v>206</v>
      </c>
      <c r="F527" s="382" t="s">
        <v>206</v>
      </c>
      <c r="G527" s="382" t="s">
        <v>206</v>
      </c>
      <c r="H527" s="382" t="s">
        <v>206</v>
      </c>
      <c r="I527" s="376" t="s">
        <v>206</v>
      </c>
      <c r="J527" s="376" t="s">
        <v>206</v>
      </c>
      <c r="K527" s="377" t="s">
        <v>206</v>
      </c>
    </row>
    <row r="528" spans="1:11" ht="15.5">
      <c r="B528" s="380" t="s">
        <v>637</v>
      </c>
      <c r="C528" s="382" t="s">
        <v>206</v>
      </c>
      <c r="D528" s="382" t="s">
        <v>206</v>
      </c>
      <c r="E528" s="382" t="s">
        <v>206</v>
      </c>
      <c r="F528" s="382" t="s">
        <v>206</v>
      </c>
      <c r="G528" s="382" t="s">
        <v>206</v>
      </c>
      <c r="H528" s="382" t="s">
        <v>206</v>
      </c>
      <c r="I528" s="376" t="s">
        <v>206</v>
      </c>
      <c r="J528" s="376" t="s">
        <v>206</v>
      </c>
      <c r="K528" s="377" t="s">
        <v>206</v>
      </c>
    </row>
    <row r="529" spans="2:11" ht="15.5">
      <c r="B529" s="380" t="s">
        <v>638</v>
      </c>
      <c r="C529" s="382" t="s">
        <v>206</v>
      </c>
      <c r="D529" s="382" t="s">
        <v>206</v>
      </c>
      <c r="E529" s="382" t="s">
        <v>206</v>
      </c>
      <c r="F529" s="382" t="s">
        <v>206</v>
      </c>
      <c r="G529" s="382" t="s">
        <v>206</v>
      </c>
      <c r="H529" s="382" t="s">
        <v>206</v>
      </c>
      <c r="I529" s="376" t="s">
        <v>206</v>
      </c>
      <c r="J529" s="376" t="s">
        <v>206</v>
      </c>
      <c r="K529" s="377" t="s">
        <v>206</v>
      </c>
    </row>
    <row r="530" spans="2:11" ht="15.5">
      <c r="B530" s="380" t="s">
        <v>639</v>
      </c>
      <c r="C530" s="382" t="s">
        <v>206</v>
      </c>
      <c r="D530" s="382" t="s">
        <v>206</v>
      </c>
      <c r="E530" s="382" t="s">
        <v>206</v>
      </c>
      <c r="F530" s="382" t="s">
        <v>206</v>
      </c>
      <c r="G530" s="382" t="s">
        <v>206</v>
      </c>
      <c r="H530" s="382" t="s">
        <v>206</v>
      </c>
      <c r="I530" s="376" t="s">
        <v>206</v>
      </c>
      <c r="J530" s="376" t="s">
        <v>206</v>
      </c>
      <c r="K530" s="377" t="s">
        <v>206</v>
      </c>
    </row>
    <row r="531" spans="2:11" ht="15.5">
      <c r="B531" s="380" t="s">
        <v>640</v>
      </c>
      <c r="C531" s="382" t="s">
        <v>206</v>
      </c>
      <c r="D531" s="382" t="s">
        <v>206</v>
      </c>
      <c r="E531" s="382" t="s">
        <v>206</v>
      </c>
      <c r="F531" s="382" t="s">
        <v>206</v>
      </c>
      <c r="G531" s="382" t="s">
        <v>206</v>
      </c>
      <c r="H531" s="382" t="s">
        <v>206</v>
      </c>
      <c r="I531" s="376" t="s">
        <v>206</v>
      </c>
      <c r="J531" s="376" t="s">
        <v>206</v>
      </c>
      <c r="K531" s="377" t="s">
        <v>206</v>
      </c>
    </row>
    <row r="532" spans="2:11" ht="15.5">
      <c r="B532" s="380" t="s">
        <v>641</v>
      </c>
      <c r="C532" s="382" t="s">
        <v>206</v>
      </c>
      <c r="D532" s="382" t="s">
        <v>206</v>
      </c>
      <c r="E532" s="382" t="s">
        <v>206</v>
      </c>
      <c r="F532" s="382" t="s">
        <v>206</v>
      </c>
      <c r="G532" s="382" t="s">
        <v>206</v>
      </c>
      <c r="H532" s="382" t="s">
        <v>206</v>
      </c>
      <c r="I532" s="376" t="s">
        <v>206</v>
      </c>
      <c r="J532" s="376" t="s">
        <v>206</v>
      </c>
      <c r="K532" s="377" t="s">
        <v>206</v>
      </c>
    </row>
    <row r="533" spans="2:11" ht="15.5">
      <c r="B533" s="380" t="s">
        <v>642</v>
      </c>
      <c r="C533" s="382" t="s">
        <v>206</v>
      </c>
      <c r="D533" s="382" t="s">
        <v>206</v>
      </c>
      <c r="E533" s="382" t="s">
        <v>206</v>
      </c>
      <c r="F533" s="382" t="s">
        <v>206</v>
      </c>
      <c r="G533" s="382" t="s">
        <v>206</v>
      </c>
      <c r="H533" s="382" t="s">
        <v>206</v>
      </c>
      <c r="I533" s="376" t="s">
        <v>206</v>
      </c>
      <c r="J533" s="376" t="s">
        <v>206</v>
      </c>
      <c r="K533" s="377" t="s">
        <v>206</v>
      </c>
    </row>
    <row r="534" spans="2:11" ht="15.5">
      <c r="B534" s="380" t="s">
        <v>643</v>
      </c>
      <c r="C534" s="382" t="s">
        <v>206</v>
      </c>
      <c r="D534" s="382" t="s">
        <v>206</v>
      </c>
      <c r="E534" s="382" t="s">
        <v>206</v>
      </c>
      <c r="F534" s="382" t="s">
        <v>206</v>
      </c>
      <c r="G534" s="382" t="s">
        <v>206</v>
      </c>
      <c r="H534" s="382" t="s">
        <v>206</v>
      </c>
      <c r="I534" s="376" t="s">
        <v>206</v>
      </c>
      <c r="J534" s="376" t="s">
        <v>206</v>
      </c>
      <c r="K534" s="377" t="s">
        <v>206</v>
      </c>
    </row>
    <row r="535" spans="2:11" ht="15.5">
      <c r="B535" s="380" t="s">
        <v>644</v>
      </c>
      <c r="C535" s="382" t="s">
        <v>206</v>
      </c>
      <c r="D535" s="382" t="s">
        <v>206</v>
      </c>
      <c r="E535" s="382" t="s">
        <v>206</v>
      </c>
      <c r="F535" s="382" t="s">
        <v>206</v>
      </c>
      <c r="G535" s="382" t="s">
        <v>206</v>
      </c>
      <c r="H535" s="382" t="s">
        <v>206</v>
      </c>
      <c r="I535" s="376" t="s">
        <v>206</v>
      </c>
      <c r="J535" s="376" t="s">
        <v>206</v>
      </c>
      <c r="K535" s="377" t="s">
        <v>206</v>
      </c>
    </row>
    <row r="536" spans="2:11" ht="15.5">
      <c r="B536" s="380" t="s">
        <v>645</v>
      </c>
      <c r="C536" s="382" t="s">
        <v>206</v>
      </c>
      <c r="D536" s="382" t="s">
        <v>206</v>
      </c>
      <c r="E536" s="382" t="s">
        <v>206</v>
      </c>
      <c r="F536" s="382" t="s">
        <v>206</v>
      </c>
      <c r="G536" s="382" t="s">
        <v>206</v>
      </c>
      <c r="H536" s="382" t="s">
        <v>206</v>
      </c>
      <c r="I536" s="376" t="s">
        <v>206</v>
      </c>
      <c r="J536" s="376" t="s">
        <v>206</v>
      </c>
      <c r="K536" s="377" t="s">
        <v>206</v>
      </c>
    </row>
    <row r="537" spans="2:11" ht="15.5">
      <c r="B537" s="380" t="s">
        <v>646</v>
      </c>
      <c r="C537" s="382" t="s">
        <v>206</v>
      </c>
      <c r="D537" s="382" t="s">
        <v>206</v>
      </c>
      <c r="E537" s="382" t="s">
        <v>206</v>
      </c>
      <c r="F537" s="382" t="s">
        <v>206</v>
      </c>
      <c r="G537" s="382" t="s">
        <v>206</v>
      </c>
      <c r="H537" s="382" t="s">
        <v>206</v>
      </c>
      <c r="I537" s="376" t="s">
        <v>206</v>
      </c>
      <c r="J537" s="376" t="s">
        <v>206</v>
      </c>
      <c r="K537" s="377" t="s">
        <v>206</v>
      </c>
    </row>
    <row r="538" spans="2:11" ht="15.5">
      <c r="B538" s="380" t="s">
        <v>647</v>
      </c>
      <c r="C538" s="382" t="s">
        <v>206</v>
      </c>
      <c r="D538" s="382" t="s">
        <v>206</v>
      </c>
      <c r="E538" s="382" t="s">
        <v>206</v>
      </c>
      <c r="F538" s="382" t="s">
        <v>206</v>
      </c>
      <c r="G538" s="382" t="s">
        <v>206</v>
      </c>
      <c r="H538" s="382" t="s">
        <v>206</v>
      </c>
      <c r="I538" s="376" t="s">
        <v>206</v>
      </c>
      <c r="J538" s="376" t="s">
        <v>206</v>
      </c>
      <c r="K538" s="377" t="s">
        <v>206</v>
      </c>
    </row>
    <row r="539" spans="2:11" ht="15.5">
      <c r="B539" s="380" t="s">
        <v>648</v>
      </c>
      <c r="C539" s="382" t="s">
        <v>206</v>
      </c>
      <c r="D539" s="382" t="s">
        <v>206</v>
      </c>
      <c r="E539" s="382" t="s">
        <v>206</v>
      </c>
      <c r="F539" s="382" t="s">
        <v>206</v>
      </c>
      <c r="G539" s="382" t="s">
        <v>206</v>
      </c>
      <c r="H539" s="382" t="s">
        <v>206</v>
      </c>
      <c r="I539" s="376" t="s">
        <v>206</v>
      </c>
      <c r="J539" s="376" t="s">
        <v>206</v>
      </c>
      <c r="K539" s="377" t="s">
        <v>206</v>
      </c>
    </row>
    <row r="540" spans="2:11" ht="15.5">
      <c r="B540" s="380" t="s">
        <v>649</v>
      </c>
      <c r="C540" s="382" t="s">
        <v>206</v>
      </c>
      <c r="D540" s="382" t="s">
        <v>206</v>
      </c>
      <c r="E540" s="382" t="s">
        <v>206</v>
      </c>
      <c r="F540" s="381" t="s">
        <v>206</v>
      </c>
      <c r="G540" s="381" t="s">
        <v>206</v>
      </c>
      <c r="H540" s="381" t="s">
        <v>206</v>
      </c>
      <c r="I540" s="376" t="s">
        <v>206</v>
      </c>
      <c r="J540" s="376" t="s">
        <v>206</v>
      </c>
      <c r="K540" s="377" t="s">
        <v>206</v>
      </c>
    </row>
    <row r="541" spans="2:11" ht="15.5">
      <c r="B541" s="380"/>
      <c r="C541" s="404"/>
      <c r="D541" s="404"/>
      <c r="E541" s="404"/>
      <c r="F541" s="404"/>
      <c r="G541" s="404"/>
      <c r="H541" s="404"/>
      <c r="I541" s="404"/>
      <c r="J541" s="404"/>
      <c r="K541" s="405"/>
    </row>
    <row r="542" spans="2:11" ht="15">
      <c r="B542" s="372" t="s">
        <v>650</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651</v>
      </c>
      <c r="C543" s="382">
        <v>42.4</v>
      </c>
      <c r="D543" s="383">
        <v>20.399999999999999</v>
      </c>
      <c r="E543" s="382">
        <v>22</v>
      </c>
      <c r="F543" s="382">
        <v>42.4</v>
      </c>
      <c r="G543" s="383">
        <v>20.399999999999999</v>
      </c>
      <c r="H543" s="382">
        <v>22</v>
      </c>
      <c r="I543" s="376" t="s">
        <v>206</v>
      </c>
      <c r="J543" s="376" t="s">
        <v>206</v>
      </c>
      <c r="K543" s="377" t="s">
        <v>206</v>
      </c>
    </row>
    <row r="544" spans="2:11" ht="15.5">
      <c r="B544" s="380" t="s">
        <v>652</v>
      </c>
      <c r="C544" s="382">
        <v>3.1</v>
      </c>
      <c r="D544" s="383">
        <v>1.6</v>
      </c>
      <c r="E544" s="382">
        <v>1.5</v>
      </c>
      <c r="F544" s="382">
        <v>3.1</v>
      </c>
      <c r="G544" s="383">
        <v>1.6</v>
      </c>
      <c r="H544" s="382">
        <v>1.5</v>
      </c>
      <c r="I544" s="376" t="s">
        <v>206</v>
      </c>
      <c r="J544" s="376" t="s">
        <v>206</v>
      </c>
      <c r="K544" s="377" t="s">
        <v>206</v>
      </c>
    </row>
    <row r="545" spans="2:11" ht="15.5">
      <c r="B545" s="380" t="s">
        <v>653</v>
      </c>
      <c r="C545" s="382" t="s">
        <v>206</v>
      </c>
      <c r="D545" s="382" t="s">
        <v>206</v>
      </c>
      <c r="E545" s="382" t="s">
        <v>206</v>
      </c>
      <c r="F545" s="382" t="s">
        <v>206</v>
      </c>
      <c r="G545" s="382" t="s">
        <v>206</v>
      </c>
      <c r="H545" s="382" t="s">
        <v>206</v>
      </c>
      <c r="I545" s="376" t="s">
        <v>206</v>
      </c>
      <c r="J545" s="376" t="s">
        <v>206</v>
      </c>
      <c r="K545" s="377" t="s">
        <v>206</v>
      </c>
    </row>
    <row r="546" spans="2:11" ht="15.5">
      <c r="B546" s="380" t="s">
        <v>654</v>
      </c>
      <c r="C546" s="382" t="s">
        <v>206</v>
      </c>
      <c r="D546" s="382" t="s">
        <v>206</v>
      </c>
      <c r="E546" s="382" t="s">
        <v>206</v>
      </c>
      <c r="F546" s="382" t="s">
        <v>206</v>
      </c>
      <c r="G546" s="382" t="s">
        <v>206</v>
      </c>
      <c r="H546" s="382" t="s">
        <v>206</v>
      </c>
      <c r="I546" s="376" t="s">
        <v>206</v>
      </c>
      <c r="J546" s="376" t="s">
        <v>206</v>
      </c>
      <c r="K546" s="377" t="s">
        <v>206</v>
      </c>
    </row>
    <row r="547" spans="2:11" ht="15.5">
      <c r="B547" s="380" t="s">
        <v>655</v>
      </c>
      <c r="C547" s="382" t="s">
        <v>206</v>
      </c>
      <c r="D547" s="382" t="s">
        <v>206</v>
      </c>
      <c r="E547" s="382" t="s">
        <v>206</v>
      </c>
      <c r="F547" s="382" t="s">
        <v>206</v>
      </c>
      <c r="G547" s="382" t="s">
        <v>206</v>
      </c>
      <c r="H547" s="382" t="s">
        <v>206</v>
      </c>
      <c r="I547" s="376" t="s">
        <v>206</v>
      </c>
      <c r="J547" s="376" t="s">
        <v>206</v>
      </c>
      <c r="K547" s="377" t="s">
        <v>206</v>
      </c>
    </row>
    <row r="548" spans="2:11" ht="15.5">
      <c r="B548" s="380" t="s">
        <v>656</v>
      </c>
      <c r="C548" s="382" t="s">
        <v>206</v>
      </c>
      <c r="D548" s="382" t="s">
        <v>206</v>
      </c>
      <c r="E548" s="382" t="s">
        <v>206</v>
      </c>
      <c r="F548" s="382" t="s">
        <v>206</v>
      </c>
      <c r="G548" s="382" t="s">
        <v>206</v>
      </c>
      <c r="H548" s="382" t="s">
        <v>206</v>
      </c>
      <c r="I548" s="376" t="s">
        <v>206</v>
      </c>
      <c r="J548" s="376" t="s">
        <v>206</v>
      </c>
      <c r="K548" s="377" t="s">
        <v>206</v>
      </c>
    </row>
    <row r="549" spans="2:11" ht="15.5">
      <c r="B549" s="380" t="s">
        <v>657</v>
      </c>
      <c r="C549" s="382" t="s">
        <v>206</v>
      </c>
      <c r="D549" s="382" t="s">
        <v>206</v>
      </c>
      <c r="E549" s="382" t="s">
        <v>206</v>
      </c>
      <c r="F549" s="382" t="s">
        <v>206</v>
      </c>
      <c r="G549" s="382" t="s">
        <v>206</v>
      </c>
      <c r="H549" s="382" t="s">
        <v>206</v>
      </c>
      <c r="I549" s="376" t="s">
        <v>206</v>
      </c>
      <c r="J549" s="376" t="s">
        <v>206</v>
      </c>
      <c r="K549" s="377" t="s">
        <v>206</v>
      </c>
    </row>
    <row r="550" spans="2:11" ht="15.5">
      <c r="B550" s="380" t="s">
        <v>658</v>
      </c>
      <c r="C550" s="382" t="s">
        <v>206</v>
      </c>
      <c r="D550" s="382" t="s">
        <v>206</v>
      </c>
      <c r="E550" s="382" t="s">
        <v>206</v>
      </c>
      <c r="F550" s="382" t="s">
        <v>206</v>
      </c>
      <c r="G550" s="382" t="s">
        <v>206</v>
      </c>
      <c r="H550" s="382" t="s">
        <v>206</v>
      </c>
      <c r="I550" s="376" t="s">
        <v>206</v>
      </c>
      <c r="J550" s="376" t="s">
        <v>206</v>
      </c>
      <c r="K550" s="377" t="s">
        <v>206</v>
      </c>
    </row>
    <row r="551" spans="2:11" ht="15.5">
      <c r="B551" s="380" t="s">
        <v>659</v>
      </c>
      <c r="C551" s="382" t="s">
        <v>206</v>
      </c>
      <c r="D551" s="382" t="s">
        <v>206</v>
      </c>
      <c r="E551" s="382" t="s">
        <v>206</v>
      </c>
      <c r="F551" s="382" t="s">
        <v>206</v>
      </c>
      <c r="G551" s="382" t="s">
        <v>206</v>
      </c>
      <c r="H551" s="382" t="s">
        <v>206</v>
      </c>
      <c r="I551" s="376" t="s">
        <v>206</v>
      </c>
      <c r="J551" s="376" t="s">
        <v>206</v>
      </c>
      <c r="K551" s="377" t="s">
        <v>206</v>
      </c>
    </row>
    <row r="552" spans="2:11" ht="15.5">
      <c r="B552" s="380" t="s">
        <v>660</v>
      </c>
      <c r="C552" s="382" t="s">
        <v>206</v>
      </c>
      <c r="D552" s="382" t="s">
        <v>206</v>
      </c>
      <c r="E552" s="382" t="s">
        <v>206</v>
      </c>
      <c r="F552" s="382" t="s">
        <v>206</v>
      </c>
      <c r="G552" s="382" t="s">
        <v>206</v>
      </c>
      <c r="H552" s="382" t="s">
        <v>206</v>
      </c>
      <c r="I552" s="376" t="s">
        <v>206</v>
      </c>
      <c r="J552" s="376" t="s">
        <v>206</v>
      </c>
      <c r="K552" s="377" t="s">
        <v>206</v>
      </c>
    </row>
    <row r="553" spans="2:11" ht="15.5">
      <c r="B553" s="380" t="s">
        <v>661</v>
      </c>
      <c r="C553" s="382" t="s">
        <v>206</v>
      </c>
      <c r="D553" s="382" t="s">
        <v>206</v>
      </c>
      <c r="E553" s="382" t="s">
        <v>206</v>
      </c>
      <c r="F553" s="382" t="s">
        <v>206</v>
      </c>
      <c r="G553" s="382" t="s">
        <v>206</v>
      </c>
      <c r="H553" s="382" t="s">
        <v>206</v>
      </c>
      <c r="I553" s="376" t="s">
        <v>206</v>
      </c>
      <c r="J553" s="376" t="s">
        <v>206</v>
      </c>
      <c r="K553" s="377" t="s">
        <v>206</v>
      </c>
    </row>
    <row r="554" spans="2:11" ht="15.5">
      <c r="B554" s="380" t="s">
        <v>662</v>
      </c>
      <c r="C554" s="382" t="s">
        <v>206</v>
      </c>
      <c r="D554" s="382" t="s">
        <v>206</v>
      </c>
      <c r="E554" s="382" t="s">
        <v>206</v>
      </c>
      <c r="F554" s="382" t="s">
        <v>206</v>
      </c>
      <c r="G554" s="382" t="s">
        <v>206</v>
      </c>
      <c r="H554" s="382" t="s">
        <v>206</v>
      </c>
      <c r="I554" s="376" t="s">
        <v>206</v>
      </c>
      <c r="J554" s="376" t="s">
        <v>206</v>
      </c>
      <c r="K554" s="377" t="s">
        <v>206</v>
      </c>
    </row>
    <row r="555" spans="2:11" ht="15.5">
      <c r="B555" s="380" t="s">
        <v>663</v>
      </c>
      <c r="C555" s="382" t="s">
        <v>206</v>
      </c>
      <c r="D555" s="382" t="s">
        <v>206</v>
      </c>
      <c r="E555" s="382" t="s">
        <v>206</v>
      </c>
      <c r="F555" s="382" t="s">
        <v>206</v>
      </c>
      <c r="G555" s="382" t="s">
        <v>206</v>
      </c>
      <c r="H555" s="382" t="s">
        <v>206</v>
      </c>
      <c r="I555" s="376" t="s">
        <v>206</v>
      </c>
      <c r="J555" s="376" t="s">
        <v>206</v>
      </c>
      <c r="K555" s="377" t="s">
        <v>206</v>
      </c>
    </row>
    <row r="556" spans="2:11" ht="15.5">
      <c r="B556" s="380" t="s">
        <v>664</v>
      </c>
      <c r="C556" s="382" t="s">
        <v>206</v>
      </c>
      <c r="D556" s="382" t="s">
        <v>206</v>
      </c>
      <c r="E556" s="382" t="s">
        <v>206</v>
      </c>
      <c r="F556" s="382" t="s">
        <v>206</v>
      </c>
      <c r="G556" s="382" t="s">
        <v>206</v>
      </c>
      <c r="H556" s="382" t="s">
        <v>206</v>
      </c>
      <c r="I556" s="376" t="s">
        <v>206</v>
      </c>
      <c r="J556" s="376" t="s">
        <v>206</v>
      </c>
      <c r="K556" s="377" t="s">
        <v>206</v>
      </c>
    </row>
    <row r="557" spans="2:11" ht="15.5">
      <c r="B557" s="380" t="s">
        <v>665</v>
      </c>
      <c r="C557" s="382" t="s">
        <v>206</v>
      </c>
      <c r="D557" s="382" t="s">
        <v>206</v>
      </c>
      <c r="E557" s="382" t="s">
        <v>206</v>
      </c>
      <c r="F557" s="382" t="s">
        <v>206</v>
      </c>
      <c r="G557" s="382" t="s">
        <v>206</v>
      </c>
      <c r="H557" s="382" t="s">
        <v>206</v>
      </c>
      <c r="I557" s="376" t="s">
        <v>206</v>
      </c>
      <c r="J557" s="376" t="s">
        <v>206</v>
      </c>
      <c r="K557" s="377" t="s">
        <v>206</v>
      </c>
    </row>
    <row r="558" spans="2:11" ht="15.5">
      <c r="B558" s="380"/>
      <c r="C558" s="409"/>
      <c r="D558" s="409"/>
      <c r="E558" s="409"/>
      <c r="F558" s="409"/>
      <c r="G558" s="409"/>
      <c r="H558" s="409"/>
      <c r="I558" s="409"/>
      <c r="J558" s="409"/>
      <c r="K558" s="410"/>
    </row>
    <row r="559" spans="2:11" ht="15">
      <c r="B559" s="372" t="s">
        <v>666</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667</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5">
      <c r="B561" s="380" t="s">
        <v>668</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5">
      <c r="B562" s="380" t="s">
        <v>669</v>
      </c>
      <c r="C562" s="382">
        <v>0.1</v>
      </c>
      <c r="D562" s="383">
        <v>0</v>
      </c>
      <c r="E562" s="382">
        <v>0.1</v>
      </c>
      <c r="F562" s="382">
        <v>0.1</v>
      </c>
      <c r="G562" s="383">
        <v>0</v>
      </c>
      <c r="H562" s="382">
        <v>0.1</v>
      </c>
      <c r="I562" s="376" t="s">
        <v>206</v>
      </c>
      <c r="J562" s="376" t="s">
        <v>206</v>
      </c>
      <c r="K562" s="377" t="s">
        <v>206</v>
      </c>
    </row>
    <row r="563" spans="2:11" ht="15.5">
      <c r="B563" s="380"/>
      <c r="C563" s="374"/>
      <c r="D563" s="374"/>
      <c r="E563" s="374"/>
      <c r="F563" s="374"/>
      <c r="G563" s="374"/>
      <c r="H563" s="374"/>
      <c r="I563" s="374"/>
      <c r="J563" s="374"/>
      <c r="K563" s="375"/>
    </row>
    <row r="564" spans="2:11" ht="15">
      <c r="B564" s="372" t="s">
        <v>670</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671</v>
      </c>
      <c r="C565" s="382">
        <v>8</v>
      </c>
      <c r="D565" s="383">
        <v>3.9</v>
      </c>
      <c r="E565" s="382">
        <v>4.0999999999999996</v>
      </c>
      <c r="F565" s="382">
        <v>8</v>
      </c>
      <c r="G565" s="383">
        <v>3.9</v>
      </c>
      <c r="H565" s="382">
        <v>4.0999999999999996</v>
      </c>
      <c r="I565" s="376" t="s">
        <v>206</v>
      </c>
      <c r="J565" s="376" t="s">
        <v>206</v>
      </c>
      <c r="K565" s="377" t="s">
        <v>206</v>
      </c>
    </row>
    <row r="566" spans="2:11" ht="15.5">
      <c r="B566" s="380" t="s">
        <v>672</v>
      </c>
      <c r="C566" s="382">
        <v>1.6</v>
      </c>
      <c r="D566" s="383">
        <v>0.8</v>
      </c>
      <c r="E566" s="382">
        <v>0.8</v>
      </c>
      <c r="F566" s="382">
        <v>1.6</v>
      </c>
      <c r="G566" s="383">
        <v>0.8</v>
      </c>
      <c r="H566" s="382">
        <v>0.8</v>
      </c>
      <c r="I566" s="376" t="s">
        <v>206</v>
      </c>
      <c r="J566" s="376" t="s">
        <v>206</v>
      </c>
      <c r="K566" s="377" t="s">
        <v>206</v>
      </c>
    </row>
    <row r="567" spans="2:11" ht="15.5">
      <c r="B567" s="380"/>
      <c r="C567" s="373"/>
      <c r="D567" s="373"/>
      <c r="E567" s="373"/>
      <c r="F567" s="373"/>
      <c r="G567" s="373"/>
      <c r="H567" s="373"/>
      <c r="I567" s="373"/>
      <c r="J567" s="373"/>
      <c r="K567" s="379"/>
    </row>
    <row r="568" spans="2:11" ht="15">
      <c r="B568" s="372" t="s">
        <v>673</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674</v>
      </c>
      <c r="C569" s="382">
        <v>23.5</v>
      </c>
      <c r="D569" s="383">
        <v>11.3</v>
      </c>
      <c r="E569" s="382">
        <v>12.2</v>
      </c>
      <c r="F569" s="382">
        <v>23.5</v>
      </c>
      <c r="G569" s="383">
        <v>11.3</v>
      </c>
      <c r="H569" s="382">
        <v>12.2</v>
      </c>
      <c r="I569" s="376" t="s">
        <v>206</v>
      </c>
      <c r="J569" s="376" t="s">
        <v>206</v>
      </c>
      <c r="K569" s="377" t="s">
        <v>206</v>
      </c>
    </row>
    <row r="570" spans="2:11" ht="15.5">
      <c r="B570" s="380" t="s">
        <v>675</v>
      </c>
      <c r="C570" s="382">
        <v>1.3</v>
      </c>
      <c r="D570" s="383">
        <v>0.6</v>
      </c>
      <c r="E570" s="382">
        <v>0.70000000000000007</v>
      </c>
      <c r="F570" s="382">
        <v>1.3</v>
      </c>
      <c r="G570" s="383">
        <v>0.6</v>
      </c>
      <c r="H570" s="382">
        <v>0.70000000000000007</v>
      </c>
      <c r="I570" s="376" t="s">
        <v>206</v>
      </c>
      <c r="J570" s="376" t="s">
        <v>206</v>
      </c>
      <c r="K570" s="377" t="s">
        <v>206</v>
      </c>
    </row>
    <row r="571" spans="2:11" ht="15.5">
      <c r="B571" s="380"/>
      <c r="C571" s="392"/>
      <c r="D571" s="392"/>
      <c r="E571" s="392"/>
      <c r="F571" s="392"/>
      <c r="G571" s="392"/>
      <c r="H571" s="392"/>
      <c r="I571" s="392"/>
      <c r="J571" s="392"/>
      <c r="K571" s="393"/>
    </row>
    <row r="572" spans="2:11" ht="15">
      <c r="B572" s="372" t="s">
        <v>676</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677</v>
      </c>
      <c r="C573" s="382">
        <v>5.9</v>
      </c>
      <c r="D573" s="383">
        <v>2.9</v>
      </c>
      <c r="E573" s="382">
        <v>3.0000000000000004</v>
      </c>
      <c r="F573" s="382">
        <v>5.9</v>
      </c>
      <c r="G573" s="383">
        <v>2.9</v>
      </c>
      <c r="H573" s="382">
        <v>3.0000000000000004</v>
      </c>
      <c r="I573" s="376" t="s">
        <v>206</v>
      </c>
      <c r="J573" s="376" t="s">
        <v>206</v>
      </c>
      <c r="K573" s="377" t="s">
        <v>206</v>
      </c>
    </row>
    <row r="574" spans="2:11" ht="15.5">
      <c r="B574" s="380" t="s">
        <v>678</v>
      </c>
      <c r="C574" s="382">
        <v>1.2</v>
      </c>
      <c r="D574" s="383">
        <v>0.6</v>
      </c>
      <c r="E574" s="382">
        <v>0.6</v>
      </c>
      <c r="F574" s="382">
        <v>1.2</v>
      </c>
      <c r="G574" s="383">
        <v>0.6</v>
      </c>
      <c r="H574" s="382">
        <v>0.6</v>
      </c>
      <c r="I574" s="376" t="s">
        <v>206</v>
      </c>
      <c r="J574" s="376" t="s">
        <v>206</v>
      </c>
      <c r="K574" s="377" t="s">
        <v>206</v>
      </c>
    </row>
    <row r="575" spans="2:11" ht="15.5">
      <c r="B575" s="380" t="s">
        <v>679</v>
      </c>
      <c r="C575" s="382">
        <v>2.5</v>
      </c>
      <c r="D575" s="383">
        <v>1.2</v>
      </c>
      <c r="E575" s="382">
        <v>1.3</v>
      </c>
      <c r="F575" s="382">
        <v>2.5</v>
      </c>
      <c r="G575" s="383">
        <v>1.2</v>
      </c>
      <c r="H575" s="382">
        <v>1.3</v>
      </c>
      <c r="I575" s="376" t="s">
        <v>206</v>
      </c>
      <c r="J575" s="376" t="s">
        <v>206</v>
      </c>
      <c r="K575" s="377" t="s">
        <v>206</v>
      </c>
    </row>
    <row r="576" spans="2:11" ht="15.5">
      <c r="B576" s="380"/>
      <c r="C576" s="385"/>
      <c r="D576" s="385"/>
      <c r="E576" s="385"/>
      <c r="F576" s="385"/>
      <c r="G576" s="385"/>
      <c r="H576" s="385"/>
      <c r="I576" s="385"/>
      <c r="J576" s="385"/>
      <c r="K576" s="394"/>
    </row>
    <row r="577" spans="1:11" ht="15">
      <c r="B577" s="372" t="s">
        <v>680</v>
      </c>
      <c r="C577" s="381">
        <v>55.8</v>
      </c>
      <c r="D577" s="381">
        <v>27</v>
      </c>
      <c r="E577" s="381">
        <v>28.799999999999997</v>
      </c>
      <c r="F577" s="381">
        <v>55.8</v>
      </c>
      <c r="G577" s="381">
        <v>27</v>
      </c>
      <c r="H577" s="381">
        <v>28.799999999999997</v>
      </c>
      <c r="I577" s="376" t="s">
        <v>206</v>
      </c>
      <c r="J577" s="376" t="s">
        <v>206</v>
      </c>
      <c r="K577" s="377" t="s">
        <v>206</v>
      </c>
    </row>
    <row r="578" spans="1:11" ht="15.5">
      <c r="B578" s="380" t="s">
        <v>681</v>
      </c>
      <c r="C578" s="382">
        <v>53.6</v>
      </c>
      <c r="D578" s="383">
        <v>26</v>
      </c>
      <c r="E578" s="382">
        <v>27.6</v>
      </c>
      <c r="F578" s="382">
        <v>53.6</v>
      </c>
      <c r="G578" s="383">
        <v>26</v>
      </c>
      <c r="H578" s="382">
        <v>27.6</v>
      </c>
      <c r="I578" s="376" t="s">
        <v>206</v>
      </c>
      <c r="J578" s="376" t="s">
        <v>206</v>
      </c>
      <c r="K578" s="377" t="s">
        <v>206</v>
      </c>
    </row>
    <row r="579" spans="1:11" ht="15.5">
      <c r="B579" s="380" t="s">
        <v>682</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5">
      <c r="B580" s="380"/>
      <c r="C580" s="404"/>
      <c r="D580" s="404"/>
      <c r="E580" s="404"/>
      <c r="F580" s="404"/>
      <c r="G580" s="404"/>
      <c r="H580" s="404"/>
      <c r="I580" s="404"/>
      <c r="J580" s="404"/>
      <c r="K580" s="405"/>
    </row>
    <row r="581" spans="1:11" ht="15">
      <c r="A581" s="106" t="s">
        <v>237</v>
      </c>
      <c r="B581" s="372" t="s">
        <v>683</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303</v>
      </c>
      <c r="C582" s="382"/>
      <c r="D582" s="383"/>
      <c r="E582" s="382"/>
      <c r="F582" s="383"/>
      <c r="G582" s="383"/>
      <c r="H582" s="383"/>
      <c r="I582" s="383"/>
      <c r="J582" s="383"/>
      <c r="K582" s="413"/>
    </row>
    <row r="583" spans="1:11" ht="15">
      <c r="B583" s="372" t="s">
        <v>684</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685</v>
      </c>
      <c r="C584" s="382">
        <v>12</v>
      </c>
      <c r="D584" s="383">
        <v>6</v>
      </c>
      <c r="E584" s="382">
        <v>6</v>
      </c>
      <c r="F584" s="382">
        <v>12</v>
      </c>
      <c r="G584" s="383">
        <v>6</v>
      </c>
      <c r="H584" s="382">
        <v>6</v>
      </c>
      <c r="I584" s="376" t="s">
        <v>206</v>
      </c>
      <c r="J584" s="376" t="s">
        <v>206</v>
      </c>
      <c r="K584" s="377" t="s">
        <v>206</v>
      </c>
    </row>
    <row r="585" spans="1:11" ht="15.5">
      <c r="B585" s="380" t="s">
        <v>504</v>
      </c>
      <c r="C585" s="382">
        <v>1.4</v>
      </c>
      <c r="D585" s="383">
        <v>0.7</v>
      </c>
      <c r="E585" s="382">
        <v>0.7</v>
      </c>
      <c r="F585" s="382">
        <v>1.4</v>
      </c>
      <c r="G585" s="383">
        <v>0.7</v>
      </c>
      <c r="H585" s="382">
        <v>0.7</v>
      </c>
      <c r="I585" s="376" t="s">
        <v>206</v>
      </c>
      <c r="J585" s="376" t="s">
        <v>206</v>
      </c>
      <c r="K585" s="377" t="s">
        <v>206</v>
      </c>
    </row>
    <row r="586" spans="1:11" ht="15.5">
      <c r="B586" s="380"/>
      <c r="C586" s="409"/>
      <c r="D586" s="409"/>
      <c r="E586" s="409"/>
      <c r="F586" s="409"/>
      <c r="G586" s="409"/>
      <c r="H586" s="409"/>
      <c r="I586" s="409"/>
      <c r="J586" s="409"/>
      <c r="K586" s="410"/>
    </row>
    <row r="587" spans="1:11" ht="15">
      <c r="B587" s="372" t="s">
        <v>686</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687</v>
      </c>
      <c r="C588" s="382">
        <v>13.2</v>
      </c>
      <c r="D588" s="383">
        <v>6.6</v>
      </c>
      <c r="E588" s="382">
        <v>6.6</v>
      </c>
      <c r="F588" s="382">
        <v>13.2</v>
      </c>
      <c r="G588" s="383">
        <v>6.6</v>
      </c>
      <c r="H588" s="382">
        <v>6.6</v>
      </c>
      <c r="I588" s="376" t="s">
        <v>206</v>
      </c>
      <c r="J588" s="376" t="s">
        <v>206</v>
      </c>
      <c r="K588" s="377" t="s">
        <v>206</v>
      </c>
    </row>
    <row r="589" spans="1:11" ht="15.5">
      <c r="B589" s="380" t="s">
        <v>688</v>
      </c>
      <c r="C589" s="382">
        <v>0.4</v>
      </c>
      <c r="D589" s="383">
        <v>0.2</v>
      </c>
      <c r="E589" s="382">
        <v>0.2</v>
      </c>
      <c r="F589" s="382">
        <v>0.4</v>
      </c>
      <c r="G589" s="383">
        <v>0.2</v>
      </c>
      <c r="H589" s="382">
        <v>0.2</v>
      </c>
      <c r="I589" s="376" t="s">
        <v>206</v>
      </c>
      <c r="J589" s="376" t="s">
        <v>206</v>
      </c>
      <c r="K589" s="377" t="s">
        <v>206</v>
      </c>
    </row>
    <row r="590" spans="1:11" ht="15.5">
      <c r="B590" s="380"/>
      <c r="C590" s="392"/>
      <c r="D590" s="392"/>
      <c r="E590" s="392"/>
      <c r="F590" s="392"/>
      <c r="G590" s="392"/>
      <c r="H590" s="392"/>
      <c r="I590" s="392"/>
      <c r="J590" s="392"/>
      <c r="K590" s="393"/>
    </row>
    <row r="591" spans="1:11" ht="15">
      <c r="B591" s="372" t="s">
        <v>689</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690</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5">
      <c r="B593" s="380"/>
      <c r="C593" s="392"/>
      <c r="D593" s="392"/>
      <c r="E593" s="392"/>
      <c r="F593" s="392"/>
      <c r="G593" s="392"/>
      <c r="H593" s="392"/>
      <c r="I593" s="392"/>
      <c r="J593" s="392"/>
      <c r="K593" s="393"/>
    </row>
    <row r="594" spans="1:11" ht="15">
      <c r="B594" s="372" t="s">
        <v>691</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692</v>
      </c>
      <c r="C595" s="382">
        <v>11.2</v>
      </c>
      <c r="D595" s="383">
        <v>5.5</v>
      </c>
      <c r="E595" s="382">
        <v>5.6999999999999993</v>
      </c>
      <c r="F595" s="382">
        <v>11.2</v>
      </c>
      <c r="G595" s="383">
        <v>5.5</v>
      </c>
      <c r="H595" s="382">
        <v>5.6999999999999993</v>
      </c>
      <c r="I595" s="376" t="s">
        <v>206</v>
      </c>
      <c r="J595" s="376" t="s">
        <v>206</v>
      </c>
      <c r="K595" s="377" t="s">
        <v>206</v>
      </c>
    </row>
    <row r="596" spans="1:11" ht="15.5">
      <c r="B596" s="380" t="s">
        <v>693</v>
      </c>
      <c r="C596" s="382">
        <v>6.5</v>
      </c>
      <c r="D596" s="383">
        <v>3.2</v>
      </c>
      <c r="E596" s="382">
        <v>3.3</v>
      </c>
      <c r="F596" s="382">
        <v>6.5</v>
      </c>
      <c r="G596" s="383">
        <v>3.2</v>
      </c>
      <c r="H596" s="382">
        <v>3.3</v>
      </c>
      <c r="I596" s="376" t="s">
        <v>206</v>
      </c>
      <c r="J596" s="376" t="s">
        <v>206</v>
      </c>
      <c r="K596" s="377" t="s">
        <v>206</v>
      </c>
    </row>
    <row r="597" spans="1:11" ht="15.5">
      <c r="B597" s="380" t="s">
        <v>694</v>
      </c>
      <c r="C597" s="382">
        <v>0.2</v>
      </c>
      <c r="D597" s="383">
        <v>0.1</v>
      </c>
      <c r="E597" s="382">
        <v>0.1</v>
      </c>
      <c r="F597" s="382">
        <v>0.2</v>
      </c>
      <c r="G597" s="383">
        <v>0.1</v>
      </c>
      <c r="H597" s="382">
        <v>0.1</v>
      </c>
      <c r="I597" s="376" t="s">
        <v>206</v>
      </c>
      <c r="J597" s="376" t="s">
        <v>206</v>
      </c>
      <c r="K597" s="377" t="s">
        <v>206</v>
      </c>
    </row>
    <row r="598" spans="1:11" ht="15.5">
      <c r="B598" s="380" t="s">
        <v>695</v>
      </c>
      <c r="C598" s="382">
        <v>1</v>
      </c>
      <c r="D598" s="383">
        <v>0.5</v>
      </c>
      <c r="E598" s="382">
        <v>0.5</v>
      </c>
      <c r="F598" s="382">
        <v>1</v>
      </c>
      <c r="G598" s="383">
        <v>0.5</v>
      </c>
      <c r="H598" s="382">
        <v>0.5</v>
      </c>
      <c r="I598" s="376" t="s">
        <v>206</v>
      </c>
      <c r="J598" s="376" t="s">
        <v>206</v>
      </c>
      <c r="K598" s="377" t="s">
        <v>206</v>
      </c>
    </row>
    <row r="599" spans="1:11" ht="15.5">
      <c r="B599" s="380" t="s">
        <v>696</v>
      </c>
      <c r="C599" s="382">
        <v>0.5</v>
      </c>
      <c r="D599" s="383">
        <v>0.2</v>
      </c>
      <c r="E599" s="382">
        <v>0.3</v>
      </c>
      <c r="F599" s="382">
        <v>0.5</v>
      </c>
      <c r="G599" s="383">
        <v>0.2</v>
      </c>
      <c r="H599" s="382">
        <v>0.3</v>
      </c>
      <c r="I599" s="376" t="s">
        <v>206</v>
      </c>
      <c r="J599" s="376" t="s">
        <v>206</v>
      </c>
      <c r="K599" s="377" t="s">
        <v>206</v>
      </c>
    </row>
    <row r="600" spans="1:11" ht="15.5">
      <c r="B600" s="380" t="s">
        <v>697</v>
      </c>
      <c r="C600" s="382">
        <v>0.7</v>
      </c>
      <c r="D600" s="383">
        <v>0.3</v>
      </c>
      <c r="E600" s="382">
        <v>0.39999999999999997</v>
      </c>
      <c r="F600" s="382">
        <v>0.7</v>
      </c>
      <c r="G600" s="383">
        <v>0.3</v>
      </c>
      <c r="H600" s="382">
        <v>0.39999999999999997</v>
      </c>
      <c r="I600" s="376" t="s">
        <v>206</v>
      </c>
      <c r="J600" s="376" t="s">
        <v>206</v>
      </c>
      <c r="K600" s="377" t="s">
        <v>206</v>
      </c>
    </row>
    <row r="601" spans="1:11" ht="15.5">
      <c r="B601" s="380"/>
      <c r="C601" s="385"/>
      <c r="D601" s="385"/>
      <c r="E601" s="385"/>
      <c r="F601" s="385"/>
      <c r="G601" s="385"/>
      <c r="H601" s="385"/>
      <c r="I601" s="385"/>
      <c r="J601" s="385"/>
      <c r="K601" s="394"/>
    </row>
    <row r="602" spans="1:11" ht="15">
      <c r="A602" s="106" t="s">
        <v>937</v>
      </c>
      <c r="B602" s="372" t="s">
        <v>698</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303</v>
      </c>
      <c r="C603" s="382"/>
      <c r="D603" s="383"/>
      <c r="E603" s="382"/>
      <c r="F603" s="383"/>
      <c r="G603" s="383"/>
      <c r="H603" s="383"/>
      <c r="I603" s="383"/>
      <c r="J603" s="383"/>
      <c r="K603" s="413"/>
    </row>
    <row r="604" spans="1:11" ht="15">
      <c r="B604" s="372" t="s">
        <v>699</v>
      </c>
      <c r="C604" s="381">
        <v>46.7</v>
      </c>
      <c r="D604" s="381">
        <v>23.6</v>
      </c>
      <c r="E604" s="381">
        <v>23.1</v>
      </c>
      <c r="F604" s="381">
        <v>9.5</v>
      </c>
      <c r="G604" s="390">
        <v>4.8</v>
      </c>
      <c r="H604" s="381">
        <v>4.7</v>
      </c>
      <c r="I604" s="381">
        <v>37.200000000000003</v>
      </c>
      <c r="J604" s="381">
        <v>18.8</v>
      </c>
      <c r="K604" s="388">
        <v>18.400000000000002</v>
      </c>
    </row>
    <row r="605" spans="1:11" ht="15.5">
      <c r="B605" s="380" t="s">
        <v>700</v>
      </c>
      <c r="C605" s="382">
        <v>9.1</v>
      </c>
      <c r="D605" s="383">
        <v>4.5999999999999996</v>
      </c>
      <c r="E605" s="382">
        <v>4.5</v>
      </c>
      <c r="F605" s="382">
        <v>9.1</v>
      </c>
      <c r="G605" s="383">
        <v>4.5999999999999996</v>
      </c>
      <c r="H605" s="382">
        <v>4.5</v>
      </c>
      <c r="I605" s="376" t="s">
        <v>206</v>
      </c>
      <c r="J605" s="376" t="s">
        <v>206</v>
      </c>
      <c r="K605" s="377" t="s">
        <v>206</v>
      </c>
    </row>
    <row r="606" spans="1:11" ht="15.5">
      <c r="B606" s="380" t="s">
        <v>701</v>
      </c>
      <c r="C606" s="382">
        <v>0.4</v>
      </c>
      <c r="D606" s="383">
        <v>0.2</v>
      </c>
      <c r="E606" s="382">
        <v>0.2</v>
      </c>
      <c r="F606" s="382">
        <v>0.4</v>
      </c>
      <c r="G606" s="383">
        <v>0.2</v>
      </c>
      <c r="H606" s="382">
        <v>0.2</v>
      </c>
      <c r="I606" s="376" t="s">
        <v>206</v>
      </c>
      <c r="J606" s="376" t="s">
        <v>206</v>
      </c>
      <c r="K606" s="377" t="s">
        <v>206</v>
      </c>
    </row>
    <row r="607" spans="1:11" ht="15.5">
      <c r="B607" s="380"/>
      <c r="C607" s="392"/>
      <c r="D607" s="392"/>
      <c r="E607" s="392"/>
      <c r="F607" s="392"/>
      <c r="G607" s="392"/>
      <c r="H607" s="392"/>
      <c r="I607" s="392"/>
      <c r="J607" s="392"/>
      <c r="K607" s="393"/>
    </row>
    <row r="608" spans="1:11" ht="15">
      <c r="B608" s="372" t="s">
        <v>702</v>
      </c>
      <c r="C608" s="381">
        <v>86.7</v>
      </c>
      <c r="D608" s="381">
        <v>43.7</v>
      </c>
      <c r="E608" s="381">
        <v>43</v>
      </c>
      <c r="F608" s="381">
        <v>28.1</v>
      </c>
      <c r="G608" s="390">
        <v>14.3</v>
      </c>
      <c r="H608" s="381">
        <v>13.8</v>
      </c>
      <c r="I608" s="381">
        <v>58.6</v>
      </c>
      <c r="J608" s="381">
        <v>29.400000000000002</v>
      </c>
      <c r="K608" s="388">
        <v>29.2</v>
      </c>
    </row>
    <row r="609" spans="1:11" ht="15.5">
      <c r="B609" s="380" t="s">
        <v>703</v>
      </c>
      <c r="C609" s="382">
        <v>25.7</v>
      </c>
      <c r="D609" s="383">
        <v>13</v>
      </c>
      <c r="E609" s="382">
        <v>12.7</v>
      </c>
      <c r="F609" s="382">
        <v>25.7</v>
      </c>
      <c r="G609" s="383">
        <v>13</v>
      </c>
      <c r="H609" s="382">
        <v>12.7</v>
      </c>
      <c r="I609" s="376" t="s">
        <v>206</v>
      </c>
      <c r="J609" s="376" t="s">
        <v>206</v>
      </c>
      <c r="K609" s="377" t="s">
        <v>206</v>
      </c>
    </row>
    <row r="610" spans="1:11" ht="15.5">
      <c r="B610" s="380" t="s">
        <v>704</v>
      </c>
      <c r="C610" s="382">
        <v>0.9</v>
      </c>
      <c r="D610" s="383">
        <v>0.5</v>
      </c>
      <c r="E610" s="382">
        <v>0.4</v>
      </c>
      <c r="F610" s="382">
        <v>0.9</v>
      </c>
      <c r="G610" s="383">
        <v>0.5</v>
      </c>
      <c r="H610" s="382">
        <v>0.4</v>
      </c>
      <c r="I610" s="376" t="s">
        <v>206</v>
      </c>
      <c r="J610" s="376" t="s">
        <v>206</v>
      </c>
      <c r="K610" s="377" t="s">
        <v>206</v>
      </c>
    </row>
    <row r="611" spans="1:11" ht="15.5">
      <c r="B611" s="380" t="s">
        <v>705</v>
      </c>
      <c r="C611" s="382">
        <v>1.5</v>
      </c>
      <c r="D611" s="383">
        <v>0.8</v>
      </c>
      <c r="E611" s="382">
        <v>0.7</v>
      </c>
      <c r="F611" s="382">
        <v>1.5</v>
      </c>
      <c r="G611" s="383">
        <v>0.8</v>
      </c>
      <c r="H611" s="382">
        <v>0.7</v>
      </c>
      <c r="I611" s="376" t="s">
        <v>206</v>
      </c>
      <c r="J611" s="376" t="s">
        <v>206</v>
      </c>
      <c r="K611" s="377" t="s">
        <v>206</v>
      </c>
    </row>
    <row r="612" spans="1:11" ht="15.5">
      <c r="B612" s="380"/>
      <c r="C612" s="409"/>
      <c r="D612" s="409"/>
      <c r="E612" s="409"/>
      <c r="F612" s="409"/>
      <c r="G612" s="409"/>
      <c r="H612" s="409"/>
      <c r="I612" s="409"/>
      <c r="J612" s="409"/>
      <c r="K612" s="410"/>
    </row>
    <row r="613" spans="1:11" ht="15">
      <c r="B613" s="372" t="s">
        <v>706</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707</v>
      </c>
      <c r="C614" s="382">
        <v>22</v>
      </c>
      <c r="D614" s="383">
        <v>11</v>
      </c>
      <c r="E614" s="382">
        <v>11</v>
      </c>
      <c r="F614" s="382">
        <v>22</v>
      </c>
      <c r="G614" s="383">
        <v>11</v>
      </c>
      <c r="H614" s="382">
        <v>11</v>
      </c>
      <c r="I614" s="376" t="s">
        <v>206</v>
      </c>
      <c r="J614" s="376" t="s">
        <v>206</v>
      </c>
      <c r="K614" s="377" t="s">
        <v>206</v>
      </c>
    </row>
    <row r="615" spans="1:11" ht="15.5">
      <c r="B615" s="380"/>
      <c r="C615" s="404"/>
      <c r="D615" s="404"/>
      <c r="E615" s="404"/>
      <c r="F615" s="404"/>
      <c r="G615" s="404"/>
      <c r="H615" s="404"/>
      <c r="I615" s="404"/>
      <c r="J615" s="404"/>
      <c r="K615" s="405"/>
    </row>
    <row r="616" spans="1:11" ht="15">
      <c r="B616" s="372" t="s">
        <v>708</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709</v>
      </c>
      <c r="C617" s="382">
        <v>40.1</v>
      </c>
      <c r="D617" s="383">
        <v>19.600000000000001</v>
      </c>
      <c r="E617" s="382">
        <v>20.5</v>
      </c>
      <c r="F617" s="382">
        <v>40.1</v>
      </c>
      <c r="G617" s="383">
        <v>19.600000000000001</v>
      </c>
      <c r="H617" s="382">
        <v>20.5</v>
      </c>
      <c r="I617" s="376" t="s">
        <v>206</v>
      </c>
      <c r="J617" s="376" t="s">
        <v>206</v>
      </c>
      <c r="K617" s="377" t="s">
        <v>206</v>
      </c>
    </row>
    <row r="618" spans="1:11" ht="15.5">
      <c r="B618" s="380" t="s">
        <v>710</v>
      </c>
      <c r="C618" s="382">
        <v>3.8</v>
      </c>
      <c r="D618" s="383">
        <v>1.9</v>
      </c>
      <c r="E618" s="382">
        <v>1.9</v>
      </c>
      <c r="F618" s="382">
        <v>3.8</v>
      </c>
      <c r="G618" s="383">
        <v>1.9</v>
      </c>
      <c r="H618" s="382">
        <v>1.9</v>
      </c>
      <c r="I618" s="376" t="s">
        <v>206</v>
      </c>
      <c r="J618" s="376" t="s">
        <v>206</v>
      </c>
      <c r="K618" s="377" t="s">
        <v>206</v>
      </c>
    </row>
    <row r="619" spans="1:11" ht="15.5">
      <c r="B619" s="380" t="s">
        <v>711</v>
      </c>
      <c r="C619" s="382">
        <v>0.1</v>
      </c>
      <c r="D619" s="383">
        <v>0.1</v>
      </c>
      <c r="E619" s="382">
        <v>0</v>
      </c>
      <c r="F619" s="382">
        <v>0.1</v>
      </c>
      <c r="G619" s="383">
        <v>0.1</v>
      </c>
      <c r="H619" s="382">
        <v>0</v>
      </c>
      <c r="I619" s="376" t="s">
        <v>206</v>
      </c>
      <c r="J619" s="376" t="s">
        <v>206</v>
      </c>
      <c r="K619" s="377" t="s">
        <v>206</v>
      </c>
    </row>
    <row r="620" spans="1:11" ht="15.5">
      <c r="B620" s="380" t="s">
        <v>712</v>
      </c>
      <c r="C620" s="382">
        <v>2.5</v>
      </c>
      <c r="D620" s="383">
        <v>1.2</v>
      </c>
      <c r="E620" s="382">
        <v>1.3</v>
      </c>
      <c r="F620" s="382">
        <v>2.5</v>
      </c>
      <c r="G620" s="383">
        <v>1.2</v>
      </c>
      <c r="H620" s="382">
        <v>1.3</v>
      </c>
      <c r="I620" s="376" t="s">
        <v>206</v>
      </c>
      <c r="J620" s="376" t="s">
        <v>206</v>
      </c>
      <c r="K620" s="377" t="s">
        <v>206</v>
      </c>
    </row>
    <row r="621" spans="1:11" ht="15.5">
      <c r="B621" s="380" t="s">
        <v>713</v>
      </c>
      <c r="C621" s="382">
        <v>2.9</v>
      </c>
      <c r="D621" s="383">
        <v>1.4</v>
      </c>
      <c r="E621" s="382">
        <v>1.5</v>
      </c>
      <c r="F621" s="382">
        <v>2.9</v>
      </c>
      <c r="G621" s="383">
        <v>1.4</v>
      </c>
      <c r="H621" s="382">
        <v>1.5</v>
      </c>
      <c r="I621" s="376" t="s">
        <v>206</v>
      </c>
      <c r="J621" s="376" t="s">
        <v>206</v>
      </c>
      <c r="K621" s="377" t="s">
        <v>206</v>
      </c>
    </row>
    <row r="622" spans="1:11" ht="15.5">
      <c r="B622" s="380" t="s">
        <v>714</v>
      </c>
      <c r="C622" s="382">
        <v>0</v>
      </c>
      <c r="D622" s="383">
        <v>0</v>
      </c>
      <c r="E622" s="382">
        <v>0</v>
      </c>
      <c r="F622" s="382">
        <v>0</v>
      </c>
      <c r="G622" s="383">
        <v>0</v>
      </c>
      <c r="H622" s="382">
        <v>0</v>
      </c>
      <c r="I622" s="376" t="s">
        <v>206</v>
      </c>
      <c r="J622" s="376" t="s">
        <v>206</v>
      </c>
      <c r="K622" s="377" t="s">
        <v>206</v>
      </c>
    </row>
    <row r="623" spans="1:11" ht="15.5">
      <c r="B623" s="380"/>
      <c r="C623" s="404"/>
      <c r="D623" s="404"/>
      <c r="E623" s="404"/>
      <c r="F623" s="404"/>
      <c r="G623" s="404"/>
      <c r="H623" s="404"/>
      <c r="I623" s="404"/>
      <c r="J623" s="404"/>
      <c r="K623" s="405"/>
    </row>
    <row r="624" spans="1:11" ht="15">
      <c r="A624" s="106" t="s">
        <v>238</v>
      </c>
      <c r="B624" s="372" t="s">
        <v>715</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303</v>
      </c>
      <c r="C625" s="374"/>
      <c r="D625" s="374"/>
      <c r="E625" s="374"/>
      <c r="F625" s="374"/>
      <c r="G625" s="374"/>
      <c r="H625" s="374"/>
      <c r="I625" s="374"/>
      <c r="J625" s="374"/>
      <c r="K625" s="375"/>
    </row>
    <row r="626" spans="2:11" ht="15">
      <c r="B626" s="414" t="s">
        <v>716</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717</v>
      </c>
      <c r="C627" s="382">
        <v>80.3</v>
      </c>
      <c r="D627" s="383">
        <v>40</v>
      </c>
      <c r="E627" s="382">
        <v>40.299999999999997</v>
      </c>
      <c r="F627" s="382">
        <v>80.3</v>
      </c>
      <c r="G627" s="383">
        <v>40</v>
      </c>
      <c r="H627" s="382">
        <v>40.299999999999997</v>
      </c>
      <c r="I627" s="376" t="s">
        <v>206</v>
      </c>
      <c r="J627" s="376" t="s">
        <v>206</v>
      </c>
      <c r="K627" s="377" t="s">
        <v>206</v>
      </c>
    </row>
    <row r="628" spans="2:11" ht="15.5">
      <c r="B628" s="380" t="s">
        <v>477</v>
      </c>
      <c r="C628" s="382">
        <v>2.9</v>
      </c>
      <c r="D628" s="383">
        <v>1.5</v>
      </c>
      <c r="E628" s="382">
        <v>1.4</v>
      </c>
      <c r="F628" s="382">
        <v>2.9</v>
      </c>
      <c r="G628" s="383">
        <v>1.5</v>
      </c>
      <c r="H628" s="382">
        <v>1.4</v>
      </c>
      <c r="I628" s="376" t="s">
        <v>206</v>
      </c>
      <c r="J628" s="376" t="s">
        <v>206</v>
      </c>
      <c r="K628" s="377" t="s">
        <v>206</v>
      </c>
    </row>
    <row r="629" spans="2:11" ht="15.5">
      <c r="B629" s="380"/>
      <c r="C629" s="404"/>
      <c r="D629" s="404"/>
      <c r="E629" s="404"/>
      <c r="F629" s="404"/>
      <c r="G629" s="404"/>
      <c r="H629" s="404"/>
      <c r="I629" s="404"/>
      <c r="J629" s="404"/>
      <c r="K629" s="405"/>
    </row>
    <row r="630" spans="2:11" ht="15">
      <c r="B630" s="414" t="s">
        <v>718</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719</v>
      </c>
      <c r="C631" s="382">
        <v>7.4</v>
      </c>
      <c r="D631" s="383">
        <v>3.6</v>
      </c>
      <c r="E631" s="382">
        <v>3.8000000000000003</v>
      </c>
      <c r="F631" s="382">
        <v>7.4</v>
      </c>
      <c r="G631" s="383">
        <v>3.6</v>
      </c>
      <c r="H631" s="382">
        <v>3.8000000000000003</v>
      </c>
      <c r="I631" s="376" t="s">
        <v>206</v>
      </c>
      <c r="J631" s="376" t="s">
        <v>206</v>
      </c>
      <c r="K631" s="377" t="s">
        <v>206</v>
      </c>
    </row>
    <row r="632" spans="2:11" ht="15.5">
      <c r="B632" s="380"/>
      <c r="C632" s="392"/>
      <c r="D632" s="392"/>
      <c r="E632" s="392"/>
      <c r="F632" s="392"/>
      <c r="G632" s="392"/>
      <c r="H632" s="392"/>
      <c r="I632" s="392"/>
      <c r="J632" s="392"/>
      <c r="K632" s="393"/>
    </row>
    <row r="633" spans="2:11" ht="15">
      <c r="B633" s="414" t="s">
        <v>720</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721</v>
      </c>
      <c r="C634" s="382">
        <v>5.8</v>
      </c>
      <c r="D634" s="383">
        <v>2.9</v>
      </c>
      <c r="E634" s="382">
        <v>2.9</v>
      </c>
      <c r="F634" s="382">
        <v>5.8</v>
      </c>
      <c r="G634" s="383">
        <v>2.9</v>
      </c>
      <c r="H634" s="382">
        <v>2.9</v>
      </c>
      <c r="I634" s="376" t="s">
        <v>206</v>
      </c>
      <c r="J634" s="376" t="s">
        <v>206</v>
      </c>
      <c r="K634" s="377" t="s">
        <v>206</v>
      </c>
    </row>
    <row r="635" spans="2:11" ht="15.5">
      <c r="B635" s="380"/>
      <c r="C635" s="385"/>
      <c r="D635" s="385"/>
      <c r="E635" s="385"/>
      <c r="F635" s="385"/>
      <c r="G635" s="385"/>
      <c r="H635" s="385"/>
      <c r="I635" s="385"/>
      <c r="J635" s="385"/>
      <c r="K635" s="394"/>
    </row>
    <row r="636" spans="2:11" ht="15">
      <c r="B636" s="414" t="s">
        <v>722</v>
      </c>
      <c r="C636" s="381">
        <v>50</v>
      </c>
      <c r="D636" s="381">
        <v>24.9</v>
      </c>
      <c r="E636" s="381">
        <v>25.1</v>
      </c>
      <c r="F636" s="381">
        <v>11.2</v>
      </c>
      <c r="G636" s="390">
        <v>5.6</v>
      </c>
      <c r="H636" s="381">
        <v>5.6</v>
      </c>
      <c r="I636" s="381">
        <v>38.799999999999997</v>
      </c>
      <c r="J636" s="381">
        <v>19.299999999999997</v>
      </c>
      <c r="K636" s="388">
        <v>19.5</v>
      </c>
    </row>
    <row r="637" spans="2:11" ht="15.5">
      <c r="B637" s="380" t="s">
        <v>723</v>
      </c>
      <c r="C637" s="382">
        <v>10.7</v>
      </c>
      <c r="D637" s="383">
        <v>5.3</v>
      </c>
      <c r="E637" s="382">
        <v>5.3999999999999995</v>
      </c>
      <c r="F637" s="382">
        <v>10.7</v>
      </c>
      <c r="G637" s="383">
        <v>5.3</v>
      </c>
      <c r="H637" s="382">
        <v>5.3999999999999995</v>
      </c>
      <c r="I637" s="376" t="s">
        <v>206</v>
      </c>
      <c r="J637" s="376" t="s">
        <v>206</v>
      </c>
      <c r="K637" s="377" t="s">
        <v>206</v>
      </c>
    </row>
    <row r="638" spans="2:11" ht="15.5">
      <c r="B638" s="380" t="s">
        <v>724</v>
      </c>
      <c r="C638" s="382">
        <v>0.1</v>
      </c>
      <c r="D638" s="383">
        <v>0.1</v>
      </c>
      <c r="E638" s="382">
        <v>0</v>
      </c>
      <c r="F638" s="382">
        <v>0.1</v>
      </c>
      <c r="G638" s="383">
        <v>0.1</v>
      </c>
      <c r="H638" s="382">
        <v>0</v>
      </c>
      <c r="I638" s="376" t="s">
        <v>206</v>
      </c>
      <c r="J638" s="376" t="s">
        <v>206</v>
      </c>
      <c r="K638" s="377" t="s">
        <v>206</v>
      </c>
    </row>
    <row r="639" spans="2:11" ht="15.5">
      <c r="B639" s="380" t="s">
        <v>725</v>
      </c>
      <c r="C639" s="382">
        <v>0</v>
      </c>
      <c r="D639" s="383">
        <v>0</v>
      </c>
      <c r="E639" s="382">
        <v>0</v>
      </c>
      <c r="F639" s="382">
        <v>0</v>
      </c>
      <c r="G639" s="383">
        <v>0</v>
      </c>
      <c r="H639" s="382">
        <v>0</v>
      </c>
      <c r="I639" s="376" t="s">
        <v>206</v>
      </c>
      <c r="J639" s="376" t="s">
        <v>206</v>
      </c>
      <c r="K639" s="377" t="s">
        <v>206</v>
      </c>
    </row>
    <row r="640" spans="2:11" ht="15.5">
      <c r="B640" s="380" t="s">
        <v>726</v>
      </c>
      <c r="C640" s="382">
        <v>0.4</v>
      </c>
      <c r="D640" s="383">
        <v>0.2</v>
      </c>
      <c r="E640" s="382">
        <v>0.2</v>
      </c>
      <c r="F640" s="382">
        <v>0.4</v>
      </c>
      <c r="G640" s="383">
        <v>0.2</v>
      </c>
      <c r="H640" s="382">
        <v>0.2</v>
      </c>
      <c r="I640" s="376" t="s">
        <v>206</v>
      </c>
      <c r="J640" s="376" t="s">
        <v>206</v>
      </c>
      <c r="K640" s="377" t="s">
        <v>206</v>
      </c>
    </row>
    <row r="641" spans="2:11" ht="15.5">
      <c r="B641" s="380"/>
      <c r="C641" s="392"/>
      <c r="D641" s="392"/>
      <c r="E641" s="392"/>
      <c r="F641" s="392"/>
      <c r="G641" s="392"/>
      <c r="H641" s="392"/>
      <c r="I641" s="392"/>
      <c r="J641" s="392"/>
      <c r="K641" s="393"/>
    </row>
    <row r="642" spans="2:11" ht="15">
      <c r="B642" s="414" t="s">
        <v>727</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728</v>
      </c>
      <c r="C643" s="382">
        <v>13.4</v>
      </c>
      <c r="D643" s="383">
        <v>6.8</v>
      </c>
      <c r="E643" s="382">
        <v>6.6000000000000005</v>
      </c>
      <c r="F643" s="382">
        <v>13.4</v>
      </c>
      <c r="G643" s="383">
        <v>6.8</v>
      </c>
      <c r="H643" s="382">
        <v>6.6000000000000005</v>
      </c>
      <c r="I643" s="376" t="s">
        <v>206</v>
      </c>
      <c r="J643" s="376" t="s">
        <v>206</v>
      </c>
      <c r="K643" s="377" t="s">
        <v>206</v>
      </c>
    </row>
    <row r="644" spans="2:11" ht="15.5">
      <c r="B644" s="380"/>
      <c r="C644" s="392"/>
      <c r="D644" s="392"/>
      <c r="E644" s="392"/>
      <c r="F644" s="392"/>
      <c r="G644" s="392"/>
      <c r="H644" s="392"/>
      <c r="I644" s="392"/>
      <c r="J644" s="392"/>
      <c r="K644" s="393"/>
    </row>
    <row r="645" spans="2:11" ht="15">
      <c r="B645" s="414" t="s">
        <v>729</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730</v>
      </c>
      <c r="C646" s="382">
        <v>6.1</v>
      </c>
      <c r="D646" s="383">
        <v>3</v>
      </c>
      <c r="E646" s="382">
        <v>3.0999999999999996</v>
      </c>
      <c r="F646" s="382">
        <v>6.1</v>
      </c>
      <c r="G646" s="383">
        <v>3</v>
      </c>
      <c r="H646" s="382">
        <v>3.0999999999999996</v>
      </c>
      <c r="I646" s="376" t="s">
        <v>206</v>
      </c>
      <c r="J646" s="376" t="s">
        <v>206</v>
      </c>
      <c r="K646" s="377" t="s">
        <v>206</v>
      </c>
    </row>
    <row r="647" spans="2:11" ht="15.5">
      <c r="B647" s="380"/>
      <c r="C647" s="392"/>
      <c r="D647" s="392"/>
      <c r="E647" s="392"/>
      <c r="F647" s="392"/>
      <c r="G647" s="392"/>
      <c r="H647" s="392"/>
      <c r="I647" s="392"/>
      <c r="J647" s="392"/>
      <c r="K647" s="393"/>
    </row>
    <row r="648" spans="2:11" ht="15">
      <c r="B648" s="414" t="s">
        <v>731</v>
      </c>
      <c r="C648" s="381">
        <v>25.2</v>
      </c>
      <c r="D648" s="381">
        <v>12.7</v>
      </c>
      <c r="E648" s="381">
        <v>12.5</v>
      </c>
      <c r="F648" s="381">
        <v>5.2</v>
      </c>
      <c r="G648" s="390">
        <v>2.6</v>
      </c>
      <c r="H648" s="381">
        <v>2.6</v>
      </c>
      <c r="I648" s="381">
        <v>20</v>
      </c>
      <c r="J648" s="381">
        <v>10.1</v>
      </c>
      <c r="K648" s="388">
        <v>9.9</v>
      </c>
    </row>
    <row r="649" spans="2:11" ht="15.5">
      <c r="B649" s="380" t="s">
        <v>732</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5">
      <c r="B650" s="380" t="s">
        <v>733</v>
      </c>
      <c r="C650" s="382">
        <v>0.7</v>
      </c>
      <c r="D650" s="383">
        <v>0.4</v>
      </c>
      <c r="E650" s="382">
        <v>0.29999999999999993</v>
      </c>
      <c r="F650" s="382">
        <v>0.7</v>
      </c>
      <c r="G650" s="383">
        <v>0.4</v>
      </c>
      <c r="H650" s="382">
        <v>0.29999999999999993</v>
      </c>
      <c r="I650" s="376" t="s">
        <v>206</v>
      </c>
      <c r="J650" s="376" t="s">
        <v>206</v>
      </c>
      <c r="K650" s="377" t="s">
        <v>206</v>
      </c>
    </row>
    <row r="651" spans="2:11" ht="15.5">
      <c r="B651" s="380"/>
      <c r="C651" s="392"/>
      <c r="D651" s="392"/>
      <c r="E651" s="392"/>
      <c r="F651" s="392"/>
      <c r="G651" s="392"/>
      <c r="H651" s="392"/>
      <c r="I651" s="392"/>
      <c r="J651" s="392"/>
      <c r="K651" s="393"/>
    </row>
    <row r="652" spans="2:11" ht="15">
      <c r="B652" s="414" t="s">
        <v>734</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735</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7" t="s">
        <v>203</v>
      </c>
      <c r="C2" s="677"/>
      <c r="D2" s="677"/>
      <c r="E2" s="677"/>
      <c r="F2" s="677"/>
      <c r="G2" s="677"/>
      <c r="H2" s="677"/>
      <c r="I2" s="677"/>
      <c r="J2" s="677"/>
      <c r="K2" s="677"/>
      <c r="L2" s="677"/>
      <c r="M2" s="677"/>
      <c r="N2" s="677"/>
    </row>
    <row r="3" spans="2:15" ht="14.5" thickBot="1">
      <c r="B3" s="678" t="s">
        <v>204</v>
      </c>
      <c r="C3" s="678"/>
      <c r="D3" s="678"/>
      <c r="E3" s="678"/>
      <c r="F3" s="678"/>
      <c r="G3" s="678"/>
      <c r="H3" s="678"/>
      <c r="I3" s="678"/>
      <c r="J3" s="678"/>
      <c r="K3" s="678"/>
      <c r="L3" s="678"/>
      <c r="M3" s="678"/>
      <c r="N3" s="678"/>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168</v>
      </c>
      <c r="I2" s="171"/>
      <c r="J2" s="171"/>
      <c r="K2" s="171"/>
    </row>
    <row r="3" spans="1:20" ht="16.5" thickTop="1" thickBot="1">
      <c r="A3" s="108" t="s">
        <v>1</v>
      </c>
      <c r="B3" s="109" t="s">
        <v>78</v>
      </c>
      <c r="C3" s="679" t="s">
        <v>137</v>
      </c>
      <c r="D3" s="680"/>
      <c r="E3" s="681"/>
      <c r="H3" s="171"/>
      <c r="I3" s="171"/>
      <c r="J3" s="171"/>
      <c r="K3" s="171"/>
    </row>
    <row r="4" spans="1:20" ht="15.9" customHeight="1" thickBot="1">
      <c r="A4" s="682" t="s">
        <v>937</v>
      </c>
      <c r="B4" s="116" t="s">
        <v>49</v>
      </c>
      <c r="C4" s="122" t="s">
        <v>178</v>
      </c>
      <c r="D4" s="117" t="s">
        <v>179</v>
      </c>
      <c r="E4" s="118" t="s">
        <v>51</v>
      </c>
      <c r="H4" s="171"/>
      <c r="I4" s="172">
        <v>2010</v>
      </c>
      <c r="J4" s="171"/>
      <c r="K4" s="171"/>
    </row>
    <row r="5" spans="1:20" ht="15.9" customHeight="1">
      <c r="A5" s="683"/>
      <c r="B5" s="110" t="s">
        <v>275</v>
      </c>
      <c r="C5" s="123" t="s">
        <v>178</v>
      </c>
      <c r="D5" s="111" t="s">
        <v>179</v>
      </c>
      <c r="E5" s="112" t="s">
        <v>51</v>
      </c>
      <c r="H5" s="173"/>
      <c r="I5" s="174" t="s">
        <v>169</v>
      </c>
      <c r="J5" s="175"/>
      <c r="K5" s="176"/>
    </row>
    <row r="6" spans="1:20" ht="15.9" customHeight="1">
      <c r="A6" s="683"/>
      <c r="B6" s="110" t="s">
        <v>277</v>
      </c>
      <c r="C6" s="123" t="s">
        <v>178</v>
      </c>
      <c r="D6" s="111" t="s">
        <v>179</v>
      </c>
      <c r="E6" s="112" t="s">
        <v>51</v>
      </c>
      <c r="H6" s="177" t="s">
        <v>167</v>
      </c>
      <c r="I6" s="178" t="e">
        <f>#REF!</f>
        <v>#REF!</v>
      </c>
      <c r="J6" s="179" t="s">
        <v>170</v>
      </c>
      <c r="K6" s="686" t="s">
        <v>116</v>
      </c>
    </row>
    <row r="7" spans="1:20" ht="15.9" customHeight="1">
      <c r="A7" s="683"/>
      <c r="B7" s="110" t="s">
        <v>50</v>
      </c>
      <c r="C7" s="123" t="s">
        <v>178</v>
      </c>
      <c r="D7" s="111" t="s">
        <v>179</v>
      </c>
      <c r="E7" s="112" t="s">
        <v>51</v>
      </c>
      <c r="H7" s="177" t="s">
        <v>171</v>
      </c>
      <c r="I7" s="178" t="e">
        <f>#REF!</f>
        <v>#REF!</v>
      </c>
      <c r="J7" s="179" t="s">
        <v>172</v>
      </c>
      <c r="K7" s="687"/>
    </row>
    <row r="8" spans="1:20" ht="15.9" customHeight="1">
      <c r="A8" s="683"/>
      <c r="B8" s="110" t="s">
        <v>276</v>
      </c>
      <c r="C8" s="123" t="s">
        <v>178</v>
      </c>
      <c r="D8" s="111" t="s">
        <v>179</v>
      </c>
      <c r="E8" s="112" t="s">
        <v>51</v>
      </c>
      <c r="H8" s="177" t="s">
        <v>174</v>
      </c>
      <c r="I8" s="178" t="e">
        <f>#REF!</f>
        <v>#REF!</v>
      </c>
      <c r="J8" s="179" t="s">
        <v>172</v>
      </c>
      <c r="K8" s="688"/>
    </row>
    <row r="9" spans="1:20" ht="15.9" customHeight="1" thickBot="1">
      <c r="A9" s="684"/>
      <c r="B9" s="119" t="s">
        <v>278</v>
      </c>
      <c r="C9" s="125" t="s">
        <v>178</v>
      </c>
      <c r="D9" s="120" t="s">
        <v>179</v>
      </c>
      <c r="E9" s="121" t="s">
        <v>51</v>
      </c>
      <c r="H9" s="177" t="s">
        <v>166</v>
      </c>
      <c r="I9" s="178" t="e">
        <f>#REF!</f>
        <v>#REF!</v>
      </c>
      <c r="J9" s="179" t="s">
        <v>175</v>
      </c>
      <c r="K9" s="686" t="s">
        <v>173</v>
      </c>
      <c r="N9" s="1"/>
      <c r="O9" s="1"/>
      <c r="P9" s="1"/>
      <c r="Q9" s="1"/>
    </row>
    <row r="10" spans="1:20" ht="15.9" customHeight="1">
      <c r="A10" s="683" t="s">
        <v>185</v>
      </c>
      <c r="B10" s="110" t="s">
        <v>49</v>
      </c>
      <c r="C10" s="123" t="s">
        <v>178</v>
      </c>
      <c r="D10" s="111" t="s">
        <v>179</v>
      </c>
      <c r="E10" s="112" t="s">
        <v>51</v>
      </c>
      <c r="H10" s="177" t="s">
        <v>176</v>
      </c>
      <c r="I10" s="178" t="e">
        <f>#REF!</f>
        <v>#REF!</v>
      </c>
      <c r="J10" s="179" t="s">
        <v>175</v>
      </c>
      <c r="K10" s="688"/>
      <c r="N10" s="1"/>
      <c r="O10" s="1"/>
      <c r="P10" s="1"/>
      <c r="Q10" s="1"/>
    </row>
    <row r="11" spans="1:20" ht="15.9" customHeight="1">
      <c r="A11" s="683"/>
      <c r="B11" s="110" t="s">
        <v>275</v>
      </c>
      <c r="C11" s="123" t="s">
        <v>178</v>
      </c>
      <c r="D11" s="111" t="s">
        <v>179</v>
      </c>
      <c r="E11" s="112" t="s">
        <v>51</v>
      </c>
      <c r="H11" s="177" t="s">
        <v>177</v>
      </c>
      <c r="I11" s="178" t="e">
        <f>#REF!</f>
        <v>#REF!</v>
      </c>
      <c r="J11" s="179" t="s">
        <v>175</v>
      </c>
      <c r="K11" s="180" t="s">
        <v>180</v>
      </c>
      <c r="N11" s="1"/>
      <c r="O11" s="1"/>
      <c r="P11" s="1"/>
      <c r="Q11" s="1"/>
    </row>
    <row r="12" spans="1:20" ht="15.9" customHeight="1" thickBot="1">
      <c r="A12" s="683"/>
      <c r="B12" s="110" t="s">
        <v>277</v>
      </c>
      <c r="C12" s="123" t="s">
        <v>178</v>
      </c>
      <c r="D12" s="111" t="s">
        <v>179</v>
      </c>
      <c r="E12" s="112" t="s">
        <v>51</v>
      </c>
      <c r="H12" s="181" t="s">
        <v>106</v>
      </c>
      <c r="I12" s="182" t="e">
        <f>SUM(I6:I11)</f>
        <v>#REF!</v>
      </c>
      <c r="J12" s="183"/>
      <c r="K12" s="184"/>
      <c r="N12" s="1"/>
      <c r="O12" s="1"/>
      <c r="P12" s="1"/>
      <c r="Q12" s="1"/>
    </row>
    <row r="13" spans="1:20" ht="15.9" customHeight="1">
      <c r="A13" s="683"/>
      <c r="B13" s="110" t="s">
        <v>50</v>
      </c>
      <c r="C13" s="123" t="s">
        <v>178</v>
      </c>
      <c r="D13" s="111" t="s">
        <v>179</v>
      </c>
      <c r="E13" s="112" t="s">
        <v>51</v>
      </c>
      <c r="N13" s="1"/>
      <c r="O13" s="1"/>
      <c r="P13" s="1"/>
      <c r="Q13" s="1"/>
    </row>
    <row r="14" spans="1:20" ht="15.9" customHeight="1">
      <c r="A14" s="683"/>
      <c r="B14" s="110" t="s">
        <v>276</v>
      </c>
      <c r="C14" s="123" t="s">
        <v>178</v>
      </c>
      <c r="D14" s="111" t="s">
        <v>179</v>
      </c>
      <c r="E14" s="112" t="s">
        <v>51</v>
      </c>
      <c r="N14" s="1"/>
      <c r="O14" s="1"/>
      <c r="P14" s="1"/>
      <c r="Q14" s="1"/>
      <c r="R14" s="1"/>
      <c r="S14" s="1"/>
      <c r="T14" s="1"/>
    </row>
    <row r="15" spans="1:20" ht="15.9" customHeight="1" thickBot="1">
      <c r="A15" s="685"/>
      <c r="B15" s="113" t="s">
        <v>278</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93" t="s">
        <v>98</v>
      </c>
      <c r="C7" s="693"/>
      <c r="D7" s="694" t="s">
        <v>99</v>
      </c>
      <c r="E7" s="694"/>
      <c r="F7" s="695" t="s">
        <v>100</v>
      </c>
      <c r="G7" s="695"/>
      <c r="H7" s="695" t="s">
        <v>101</v>
      </c>
      <c r="I7" s="695"/>
      <c r="J7" s="696" t="s">
        <v>102</v>
      </c>
      <c r="K7" s="696"/>
      <c r="L7" s="691" t="s">
        <v>103</v>
      </c>
      <c r="M7" s="691"/>
      <c r="N7" s="692" t="s">
        <v>104</v>
      </c>
      <c r="O7" s="692"/>
      <c r="P7" s="692" t="s">
        <v>105</v>
      </c>
      <c r="Q7" s="692"/>
      <c r="U7" s="690" t="s">
        <v>69</v>
      </c>
      <c r="V7" s="690"/>
      <c r="W7" s="690" t="s">
        <v>71</v>
      </c>
      <c r="X7" s="690"/>
      <c r="Y7" s="690" t="s">
        <v>73</v>
      </c>
      <c r="Z7" s="690"/>
      <c r="AA7" s="143" t="s">
        <v>70</v>
      </c>
      <c r="AB7" s="143"/>
      <c r="AC7" s="143" t="s">
        <v>72</v>
      </c>
      <c r="AD7" s="143"/>
      <c r="AE7" s="143" t="s">
        <v>74</v>
      </c>
      <c r="AF7" s="143"/>
      <c r="AJ7" s="690" t="e">
        <f>Commodities!#REF!</f>
        <v>#REF!</v>
      </c>
      <c r="AK7" s="690"/>
      <c r="AL7" s="690" t="str">
        <f>Commodities!$C$7</f>
        <v>RHUDB</v>
      </c>
      <c r="AM7" s="690"/>
      <c r="AN7" s="690" t="str">
        <f>Commodities!$C$8</f>
        <v>RHRDB</v>
      </c>
      <c r="AO7" s="690"/>
      <c r="AP7" s="689" t="e">
        <f>Commodities!#REF!</f>
        <v>#REF!</v>
      </c>
      <c r="AQ7" s="689"/>
      <c r="AR7" s="689" t="str">
        <f>Commodities!$C$9</f>
        <v>RHUMB</v>
      </c>
      <c r="AS7" s="689"/>
      <c r="AT7" s="689" t="str">
        <f>Commodities!$C$10</f>
        <v>RHRMB</v>
      </c>
      <c r="AU7" s="689"/>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2022-03-28T13:19:32Z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